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Template" sheetId="2" r:id="rId5"/>
    <sheet state="visible" name="#WALSUI-v10-b0.7-e0.7-grouped-s" sheetId="3" r:id="rId6"/>
    <sheet state="visible" name="Sheet8" sheetId="4" r:id="rId7"/>
    <sheet state="visible" name="#TURITA-v15-b0.6-e0.6-grouped-s" sheetId="5" r:id="rId8"/>
    <sheet state="visible" name="Sheet9" sheetId="6" r:id="rId9"/>
    <sheet state="visible" name="#SOUARS-v15-b0.7-e0.7-grouped-s" sheetId="7" r:id="rId10"/>
    <sheet state="visible" name="Sheet10" sheetId="8" r:id="rId11"/>
    <sheet state="visible" name="#LEIMUN-v30-b0.6-e0.6-grouped-s" sheetId="9" r:id="rId12"/>
    <sheet state="visible" name="Sheet11" sheetId="10" r:id="rId13"/>
    <sheet state="visible" name="#SCOCZE-v15-b0.7-e0.7-grouped-s" sheetId="11" r:id="rId14"/>
    <sheet state="visible" name="Sheet12" sheetId="12" r:id="rId15"/>
    <sheet state="visible" name="#HUNFRA-v15-b0.7-e0.7-grouped-s" sheetId="13" r:id="rId16"/>
    <sheet state="visible" name="Sheet13" sheetId="14" r:id="rId17"/>
  </sheets>
  <definedNames/>
  <calcPr/>
</workbook>
</file>

<file path=xl/comments1.xml><?xml version="1.0" encoding="utf-8"?>
<comments xmlns:r="http://schemas.openxmlformats.org/officeDocument/2006/relationships" xmlns="http://schemas.openxmlformats.org/spreadsheetml/2006/main">
  <authors>
    <author/>
  </authors>
  <commentList>
    <comment authorId="0" ref="J9">
      <text>
        <t xml:space="preserve">The general streams tend to have a lower precision than even the noisy and spam stream.</t>
      </text>
    </comment>
    <comment authorId="0" ref="J12">
      <text>
        <t xml:space="preserve">How much noise in this stream is due to the word 'need', which can express an opinion?
</t>
      </text>
    </comment>
    <comment authorId="0" ref="J16">
      <text>
        <t xml:space="preserve">Not even the noisy stream is excessively noisy.</t>
      </text>
    </comment>
    <comment authorId="0" ref="I55">
      <text>
        <t xml:space="preserve">There is almost no correlation between the number of precise topics and precision. In other words, if a stream has many precise topics, it does not mean it is precise.</t>
      </text>
    </comment>
  </commentList>
</comments>
</file>

<file path=xl/sharedStrings.xml><?xml version="1.0" encoding="utf-8"?>
<sst xmlns="http://schemas.openxmlformats.org/spreadsheetml/2006/main" count="4750" uniqueCount="1148">
  <si>
    <t>Configurations</t>
  </si>
  <si>
    <t>#WALSUI</t>
  </si>
  <si>
    <t>#TURITA</t>
  </si>
  <si>
    <t>#SOUARS</t>
  </si>
  <si>
    <t>#LEIMUN</t>
  </si>
  <si>
    <t>#SCOCZE</t>
  </si>
  <si>
    <t>#HUNFRA</t>
  </si>
  <si>
    <t>#WALSUI-v10-b0.7-e0.7-grouped-split-processed</t>
  </si>
  <si>
    <t>#TURITA-v15-b0.6-e0.6-grouped-split-processed</t>
  </si>
  <si>
    <t>#SOUARS-v15-b0.7-e0.7-grouped-split-processed</t>
  </si>
  <si>
    <t>#LEIMUN-v30-b0.6-e0.6-grouped-split-processed</t>
  </si>
  <si>
    <t>#SCOCZE-v15-b0.7-e0.7-grouped-split-processed</t>
  </si>
  <si>
    <t>#HUNFRA-v15-b0.7-e0.7-grouped-split-processed</t>
  </si>
  <si>
    <t>Precision</t>
  </si>
  <si>
    <t>Redundant</t>
  </si>
  <si>
    <t>Noise</t>
  </si>
  <si>
    <t>Opinion</t>
  </si>
  <si>
    <t>Topic</t>
  </si>
  <si>
    <t>Valid</t>
  </si>
  <si>
    <t>Stream</t>
  </si>
  <si>
    <t>Macro-average</t>
  </si>
  <si>
    <t>Micro-average</t>
  </si>
  <si>
    <t>NOTE</t>
  </si>
  <si>
    <t># Topics</t>
  </si>
  <si>
    <t>Micro-average summary</t>
  </si>
  <si>
    <t>Macro-average summary</t>
  </si>
  <si>
    <t>Sum</t>
  </si>
  <si>
    <t>Precise (Topic + Valid)</t>
  </si>
  <si>
    <t>Correlation</t>
  </si>
  <si>
    <t># Precise</t>
  </si>
  <si>
    <t>Splits</t>
  </si>
  <si>
    <t>File</t>
  </si>
  <si>
    <t>Fill in with file name</t>
  </si>
  <si>
    <t>Legend</t>
  </si>
  <si>
    <t>Count</t>
  </si>
  <si>
    <t>%</t>
  </si>
  <si>
    <t>Already reported, no new information</t>
  </si>
  <si>
    <t>Unrelated to the event or illegible</t>
  </si>
  <si>
    <t>Subjective content</t>
  </si>
  <si>
    <t>Key or non-key topic (enumerable)</t>
  </si>
  <si>
    <t>Newsworthy (non-enumerable)</t>
  </si>
  <si>
    <t>Total</t>
  </si>
  <si>
    <t>Macro-average precision</t>
  </si>
  <si>
    <t>Micro-average precision</t>
  </si>
  <si>
    <t>Gold</t>
  </si>
  <si>
    <t>Ground truth source</t>
  </si>
  <si>
    <t>Topic type</t>
  </si>
  <si>
    <t>Goal</t>
  </si>
  <si>
    <t>Goal, own-goal, cancelled goal</t>
  </si>
  <si>
    <t>Discipline</t>
  </si>
  <si>
    <t>Yellow or red card</t>
  </si>
  <si>
    <t>Half</t>
  </si>
  <si>
    <t>The start and end of each half</t>
  </si>
  <si>
    <t>Substitution</t>
  </si>
  <si>
    <t>Substitutions</t>
  </si>
  <si>
    <t>Recall</t>
  </si>
  <si>
    <t>Type</t>
  </si>
  <si>
    <t>Detail</t>
  </si>
  <si>
    <t>Time</t>
  </si>
  <si>
    <t>Recalled</t>
  </si>
  <si>
    <t>Game start</t>
  </si>
  <si>
    <t>Pavard</t>
  </si>
  <si>
    <t>Nikolic for Szalai</t>
  </si>
  <si>
    <t>Fiola</t>
  </si>
  <si>
    <t>Half-time</t>
  </si>
  <si>
    <t>Second half</t>
  </si>
  <si>
    <t>Botka</t>
  </si>
  <si>
    <t>Dembélé for Rabiot</t>
  </si>
  <si>
    <t>Griezmann</t>
  </si>
  <si>
    <t>Cseri for Schafer</t>
  </si>
  <si>
    <t>Tolisso for Pogba</t>
  </si>
  <si>
    <t>Giroud for Benzema</t>
  </si>
  <si>
    <t>Lovrencsics for Kleinheisler</t>
  </si>
  <si>
    <t>Lemar for Dembélé</t>
  </si>
  <si>
    <t>Full-time</t>
  </si>
  <si>
    <t>node</t>
  </si>
  <si>
    <t>timestamp</t>
  </si>
  <si>
    <t>date</t>
  </si>
  <si>
    <t>split</t>
  </si>
  <si>
    <t>query</t>
  </si>
  <si>
    <t>summary</t>
  </si>
  <si>
    <t>['champion', 'final', 'leagu', 'footbal', 'win']</t>
  </si>
  <si>
    <t>[["win", 1.0]]</t>
  </si>
  <si>
    <t>Italy was very good in yesterday’s game, I think that they will win the euros… EURO 2020. 28 matches unbeaten. Eased to a 3-0 win on the opening day of EURO 2020. #ITA are all business.. Wales to win 2-1 Bale to score. Game 2 of the EURO 2020 I’m hoping for a Wales win #WALSUI.</t>
  </si>
  <si>
    <t>[["saturday", 0.5982183508484745], ["ridicul", 0.5210988179459565], ["guarante", 0.4313576662546015], ["bother", 0.4295595306902669]]</t>
  </si>
  <si>
    <t>Saturday with football!!!🤩🤩. EURO 2020. Not too bother who wins this. Just want Dan James to have a good game #WALSUI. Guaranteed win for switzerland if they play mbabu at CB. Gareth Bale - ridiculously good footballer, just ridiculous hair.</t>
  </si>
  <si>
    <t>[["final", 0.7383441211210121], ["easternmost", 0.4315625428989911], ["xhaka", 0.4166568052431703], ["semi", 0.3082188135353704]]</t>
  </si>
  <si>
    <t>Is this the easternmost European Championships finals fixture that's ever been played? #WALSUI. If they don't meet in the quarters and semis, I predict France v Italy in the EURO 2020 finals. This will be a 2-1 Switzerland win with Dan James, Shaqiri and Xhaka scoring.</t>
  </si>
  <si>
    <t>[["prepar", 0.8098947844032224], ["ahead", 0.5865751769351121]]</t>
  </si>
  <si>
    <t>Final preparations ahead of #WALSUI ✅ EURO 2020.</t>
  </si>
  <si>
    <t>['take', 'knee', 'player']</t>
  </si>
  <si>
    <t>[["anthem", 0.9129033001608763], ["player", 0.29947574990662273], ["sing", 0.27734786780007337]]</t>
  </si>
  <si>
    <t>The Rugby players do that anthem a lot more justice.. #Wal. #WALSUI 🏴󠁧󠁢󠁷󠁬󠁳󠁿. The #Wales anthem would sound a million times better if the players didn't sing it! Please make the players stand in order of height for the anthems EURO 2020.</t>
  </si>
  <si>
    <t>['goal', 'score', 'conced', 'equalis', 'offsid', 'assist']</t>
  </si>
  <si>
    <t>[["brace", 1.0]]</t>
  </si>
  <si>
    <t>Dan James to score a brace EURO 2020. Bale to score a brace today.</t>
  </si>
  <si>
    <t>['need', 'half', 'sub', 'second', 'lead', '2nd']</t>
  </si>
  <si>
    <t>[["2nd", 1.0]]</t>
  </si>
  <si>
    <t>Time for the 2nd game of EURO 2020.</t>
  </si>
  <si>
    <t>[["matchday", 0.8110386331651441], ["win", 0.5849925944092066]]</t>
  </si>
  <si>
    <t>EURO 2020 what do you think who will win? 28 matches unbeaten. Eased to a 3-0 win on the opening day of EURO 2020. #ITA are all business.. ⚽️ Here we go! ℹ️ Group A, matchday. 🏴󠁧󠁢󠁷󠁬󠁳󠁿🆚🇨🇭 Who's winning this? EURO 2020. Wales winning this 2-1. Bale scores 2 🤝.</t>
  </si>
  <si>
    <t>[["save", 0.4401134373906674], ["oof", 0.4401134373906674], ["yann", 0.4401134373906674], ["sommer", 0.3785363628115721], ["moor", 0.3714304969229226], ["inch", 0.37101225676450345]]</t>
  </si>
  <si>
    <t>Yann Sommer showing his class there. Saved a definite goal. Oof. What a save from Yann Sommer. Inches away from a first Wales goal. Moore should've scored for #WAL. Loving the set piece header attempts/goal saves.. Chiellini almost had one yesterday, now Moore.. EURO 2020.</t>
  </si>
  <si>
    <t>['touch', 'cross', 'ball', 'pass']</t>
  </si>
  <si>
    <t>[["cross", 1.0]]</t>
  </si>
  <si>
    <t>Great cross from Dan James! EURO 2020. What a cross from James and what a save from Sommer. #WALSUI. Fantastic cross from daniel james. Daniel James bro 😭😭😭😭👶🏽💪🏾 the run, the cross. That was a peach of a cross from Dan James btw. Doesn’t do that often enough for United. 🤔 #WAL.</t>
  </si>
  <si>
    <t>[["great", 0.7126606309708028], ["tournament", 0.7015089629251342]]</t>
  </si>
  <si>
    <t>Great save by Chris Coleman in the Swiss goal EURO 2020 Wales Switzerland. Lovely flick by Schar…almost a great goal. EURO 2020. Schar nearly scored a great goal there EURO 2020 #NUFC. That would of been the goal of the tournament on Day 2 of Euros #SUI.</t>
  </si>
  <si>
    <t>[["puma", 1.0]]</t>
  </si>
  <si>
    <t>It begins PUMA Football euro 2020 🐈‍⬛ 🏴󠁧󠁢󠁥󠁮󠁧󠁿.</t>
  </si>
  <si>
    <t>[["touch", 0.7781484722973091], ["ben", 0.5711545914458188], ["davi", 0.26128028576937035]]</t>
  </si>
  <si>
    <t>Does anyone else’s house have someone reacting every time Mbabu touches the ball, with “Ovavu”? Ben Davies giving the ball away....🙄 #wal. Has Bale had a touch? Our midfield looks fast asleep. They’re giving the ball away every time they touch the ball. We need to wake up!! #WAL.</t>
  </si>
  <si>
    <t>[["take", 1.0]]</t>
  </si>
  <si>
    <t>Yannick makes his EURO 2020 debut today as Belgium take on Russia!. Ben Davies having a nightmare so far, nice to see him taking his Tottenham form into the euros. Switzerland and Wales both take the knee.. EURO 2020.</t>
  </si>
  <si>
    <t>[["xhaka", 1.0]]</t>
  </si>
  <si>
    <t>Xhaka score that. Xhaka gonna score a golazo in this game. Granit Xhaka is always shooting without scoring. Fraud. Xhaka is scoring a screamer today i can feel it. Xhaka’s going to score a banger at some point #SUI. Granit Xhaka is in mood for a long range goal. EURO 2020.</t>
  </si>
  <si>
    <t>[["take", 0.7412114812294371], ["pitch", 0.6712715844527191]]</t>
  </si>
  <si>
    <t>Joe Rodon the best player on the pitch so far. If you would take the traits of Tito, Hitler, Mussolini Biden, you’d end up with Vladimir Petkovic. Aaron Ramsey's workrate is outstanding. Any chance to sign him, we should take it. Go 5 back and take Morrell of for Cabango.</t>
  </si>
  <si>
    <t>[["bore", 0.6786684126025512], ["gonna", 0.558991674363789], ["get", 0.47637956896523276]]</t>
  </si>
  <si>
    <t>Seferovic will score if Wales don't get serious. Danny Ward, in goal for Wales, has played a total of 18 times since getting promoted with Huddersfield Town in 2017. ARE WE GONNA GET GOALS. THIS IS BORING #WALSUI.</t>
  </si>
  <si>
    <t>[["xhaka", 0.7402351576675699], ["pass", 0.6723480581907469]]</t>
  </si>
  <si>
    <t>The state of Shaqiri just make the pass mf. Xhaka is balling rn. When Xhaka passes to Shaquiri. Xhaka is balling. 5 years ago on a day like this I was eagerly watching every pass made by Granit Xhaka, our new midfield metronome. Xhaka balling. Xhaka long pass is so valuable man.</t>
  </si>
  <si>
    <t>[["jame", 0.7143182545248844], ["daniel", 0.6998209994366578]]</t>
  </si>
  <si>
    <t>Daniel James is the best player on the pitch. says a lot about this game😭😭. Daniel James for Wales is not the player for united he's so much better. Daniel james on the left is a different player. Daniel James is a superb wee player.</t>
  </si>
  <si>
    <t>['foul', 'refere', 'book', 'decis', 'var', 'given', 'pen', 'dive', 'ref', 'penalti']</t>
  </si>
  <si>
    <t>[["foul", 1.0]]</t>
  </si>
  <si>
    <t>Foul! #WALSUI EURO 2020. What a prick, what a run from James, that foul was so harsh #WALSWI #WAL. That was an appalling foul by #Schär. Professional. EURO 2020. Cynical foul that 😬 #WALSUI. The cynicism from Schar for his foul on Dan James is just glorious 🤣 EURO 2020.</t>
  </si>
  <si>
    <t>Who will win EURO 2020. Switzerland win 1-0, Embolo scores the winner. Not winning the ball in midfield. #wal. Great run from Daniel James there, gives his defenders a rest and wins a free kick in a great position for Wales.</t>
  </si>
  <si>
    <t>['tackl', 'dribbl', 'yellow', 'red', 'card']</t>
  </si>
  <si>
    <t>[["card", 0.8669441511308741], ["yellow", 0.49840529573828596]]</t>
  </si>
  <si>
    <t>Clear red card foul on Dan James there, ref gives a yellow. #WAL EURO 2020. He just took out our man 🤬🏴󠁧󠁢󠁷󠁬󠁳󠁿 #WAL yellow card surely Euro 2021. Red card for me day #WALSUI. That's a professional foul. Yellow card well deserved. #WALSUI.</t>
  </si>
  <si>
    <t>['gol', 'stream', 'onlin', 'free', 'reddit', 'link', 'EXCLUDED-manchest', 'ff', 'live']</t>
  </si>
  <si>
    <t>[["free", 0.760104576076702], ["kick", 0.6498007644095667]]</t>
  </si>
  <si>
    <t>Daniel James is free from our shackles he’s cooking. Bit of a weird tactical foul in Bale free kick range tbh. Free kick from Bale now 😍. Great run from Daniel James there, gives his defenders a rest and wins a free kick in a great position for Wales.</t>
  </si>
  <si>
    <t>[["bale", 1.0]]</t>
  </si>
  <si>
    <t>BALE SCORE THIS PLEASE. Bale scoring this. Beg bale doesn’t score i switched him with insigne i hope that was a w. Bale to score?. Can bale pls score pls pls pls pls pls. A goal is coming from this setpiece and bale is scoring it. Bale surely isn’t thinking going for goal.</t>
  </si>
  <si>
    <t>['deflect', 'kick', 'corner', 'shot', 'net']</t>
  </si>
  <si>
    <t>[["free", 1.0]]</t>
  </si>
  <si>
    <t>Bit of a weird tactical foul in Bale free kick range tbh. Free kick from Bale now 😍. Great run from Daniel James there, gives his defenders a rest and wins a free kick in a great position for Wales. Why is Bale taking this free kick from Dan stop it.</t>
  </si>
  <si>
    <t>[["cross", 0.9132527399418165], ["bale", 0.4073934621330647]]</t>
  </si>
  <si>
    <t>No players trying to attack that cross from Bale? DCL would’ve been all over that cross by Bale. Mepham has to get a head on that Bale cross #WALSUI. Bale crosses the ball sooo deliciously 🤤. They just watch that Bale nice cross like it was a shooting star.</t>
  </si>
  <si>
    <t>[["seferov", 0.6391068458873372], ["entertain", 0.4447141959493902], ["decent", 0.2719154048127781], ["never", 0.2719154048127781], ["aw", 0.2719154048127781], ["halftim", 0.26859708925246234], ["hari", 0.2416500610350735], ["walsui", 0.20351563326778058]]</t>
  </si>
  <si>
    <t>Final preparations ahead of #WALSUI ✅ EURO 2020. If Wales want to win this they should bring Bale on at halftime 😉. Switzerland have never been involved in an entertaining football match. EURO 2020 #WALSUI. Xhaka is a decent footballer you know. Seferovic is a g league player.</t>
  </si>
  <si>
    <t>[["second", 0.9016072220824606], ["atleast", 0.43255568091142765]]</t>
  </si>
  <si>
    <t>#SUI should be leading atleast by a goal already. 42 minutes, 7 corners already? Ah! Please reserve some for Second half #WALSUI EURO 2020. ⏱️Turkey vs Italy in 60 Seconds⏱️. Euro 2020.</t>
  </si>
  <si>
    <t>[["second", 0.7093734092249017], ["turkey", 0.7048328640781729]]</t>
  </si>
  <si>
    <t>⏱️Turkey vs Italy in 60 Seconds⏱️. Euro 2020.</t>
  </si>
  <si>
    <t>[["seferov", 1.0]]</t>
  </si>
  <si>
    <t>Seferovic mach mal das Tor! #WALSUI. WTF, make this goal! #SUI. Seferovic has been so poor in front of goal. Fantastic hold-up play by Embolo. How has Seferovic not scored. Pretty sure he’s hit every shot over the bar. Ffss seferovic mf score. Seferovic should have scored.</t>
  </si>
  <si>
    <t>[["penalti", 0.9260745794344016], ["embolo", 0.37734052701160525]]</t>
  </si>
  <si>
    <t>That has to be a penalty, just because he didn’t go down it’s not given #WALSUI. How is that not a Switzerland penalty? Clear foul on Embolo. If he had gone down it could have been clear penalty.. EURO 2020. No idea how that isn't a penalty on Embolo there.</t>
  </si>
  <si>
    <t>['world', 'class', 'striker']</t>
  </si>
  <si>
    <t>[["seferov", 0.7965778304705312], ["worst", 0.6045359873513417]]</t>
  </si>
  <si>
    <t>Seferovic is the worst striker of all time. Seferovic is having an absolute shocker. Terrible striker 😂😬. Seferovic ain't a serious striker man. The year is 2048 and Switzerland are still playing Seferovic up front because they STILL haven't got a good striker. #WALSUI EURO 2020.</t>
  </si>
  <si>
    <t>[["pass", 0.868716842550097], ["embolo", 0.49530904238645823]]</t>
  </si>
  <si>
    <t>Pass to bale and inshallah FC. Embolo could’ve easily taken some pace off that ball. Embolo shouldve tried to shoot there, no clue why he looked for the pass. That was an atrocious pass from embolo. The passing from midfield to attack hasn’t been good enough #WAL. Xhaka's passing.</t>
  </si>
  <si>
    <t>[["embolo", 0.5898243323046037], ["penalti", 0.5799667180181128], ["pen", 0.5152021317869508], ["seferov", 0.22430476235449975]]</t>
  </si>
  <si>
    <t>Embolo looks like a whole different player since I watched him last seferovic stinks. So where was VAR there. Shows players have to go down to get a penalty. EURO 2020 #walesvsswitzerland. Respect to Embolo for not going down for a pen, most players would.</t>
  </si>
  <si>
    <t>[["walsui", 0.44874159479712694], ["half", 0.30351264814409873], ["dull", 0.30114010992212403], ["far", 0.295975386980251], ["anoth", 0.28407577005247725], ["goat", 0.25322114589408434], ["varieti", 0.2469816773211604], ["time", 0.2382642948854913], ["ifyama", 0.23394038933522543], ["noti", 0.23394038933522543], ["halv", 0.23107432091477292], ["por", 0.2299317099519375], ["touch", 0.22341508107716235]]</t>
  </si>
  <si>
    <t>What time does the football start? #WALSUI. I just need either team to win noti ifyama draw. EURO 2020. Once again another dull game of football so far EURO 2020 Euros 2021. As halves of football go, that was of the less interesting variety EURO 2020.</t>
  </si>
  <si>
    <t>[["half", 1.0]]</t>
  </si>
  <si>
    <t>First half #WALSUI. I hope to see goal in 2nd half! Wales lucky to escape that half without conceding a penalty, that shirt pull 😳 #WAL #SUI. Switzerland on top, but Wales have come closest to scoring. Looking forward to the second half! EUROS 2020 #WALSUI.</t>
  </si>
  <si>
    <t>[["touch", 1.0]]</t>
  </si>
  <si>
    <t>Mepham a wee touch lucky there with the tugging in the box. Oh that final touch..🙀. EURO 2020. #WALSUI. 46.' 0-0. Has Bale touched the ball ? Gareth Bale and Dan James combined for 25 touches during the first half. #WAL EURO 2020.</t>
  </si>
  <si>
    <t>[["badli", 0.7177159799535505], ["pass", 0.696335962104008]]</t>
  </si>
  <si>
    <t>Wales badly outplayed there, lucky to be level and still in it. Surely too hot there to spend another half chasing the ball. #WALSUI. Fabian didn't believe in that last pass.#WALSUI. Need to get foothold in this game and Ramsey and Bale on the ball. Or it will end badly 🏴󠁧󠁢󠁷󠁬󠁳󠁿.</t>
  </si>
  <si>
    <t>[["need", 1.0]]</t>
  </si>
  <si>
    <t>Zuber and Gavranovic needed for Switzerland. Seferovic needs to decide if he wants to score or not. EURO 2020. Ramsey missing... needs to dye his hair blonde again. Not good enough.. need to get Ramsey on the ball. Come on Wales 🏴󠁧󠁢󠁷󠁬󠁳󠁿 we need a BIG second half 🙏🏼 #WAL.</t>
  </si>
  <si>
    <t>[["goe", 1.0]]</t>
  </si>
  <si>
    <t>If Embolo goes down there, that's a clear pen #WALSUI EURO 2020. If embolo goes down thats a penalty. If Embolo goes down at the end there that’s a pen , and that’s why players always go down. Fair play to Embolo. He goes down there and it’s a stone cold penalty. #Sui #Wal.</t>
  </si>
  <si>
    <t>[["yellow", 1.0]]</t>
  </si>
  <si>
    <t>You giving a yellow for Kieffer Moore? Thats not a yellow card for Moore 🤣😭. Moore goes up with Schär and the ex-Wiganer rightly gets a yellow card. 0-0 (48) How is that a yellow for Kieffer?! #WAL EURO 2020. Yellow card for that? Game has gone #WALSUI.</t>
  </si>
  <si>
    <t>[["yellow", 0.8344350233133611], ["ref", 0.43588217590452943], ["moor", 0.33723125685019706]]</t>
  </si>
  <si>
    <t>Moore booked for jumping. Kieffer Moore booked for being tall. So Moore's was a yellow by going in high on James wasn't? Good one ref. Never a yellow card there for Moore. Refs having a laugh #WALSUI EURO 2020. That's barely even a foul, let alone a yellow. #WALSUI EURO 2020.</t>
  </si>
  <si>
    <t>['keeper', 'best', 'goalkeep', 'defend', 'EXCLUDED-kepa', 'save']</t>
  </si>
  <si>
    <t>[["save", 1.0]]</t>
  </si>
  <si>
    <t>What a save embolo is causing problems. What a turn from embolo and save from ward. It’s a good save but Embolo has shot straight at him. I'm not being funny, but so far at EURO 2020 the saves are better than the goals. Danny Ward.. what a save that was for #wal.</t>
  </si>
  <si>
    <t>[["ff", 0.8736291116300287], ["embolo", 0.48659241189369856]]</t>
  </si>
  <si>
    <t>That embolo looks lively. EMBOLO IS A R9 REGEN FFS. Score this thing FFS, Embolo😪. That was so easy ffs #WALSUI. Shaqiri is a really good buy ffs i wish i chose him. Embolo is a beast ffs. Ffs. Roberts letting Embolo bully him. Ffs I knew I shoulda added embolo in my team.</t>
  </si>
  <si>
    <t>[["goal", 0.8370335318724348], ["embolo", 0.5471515937298892]]</t>
  </si>
  <si>
    <t>Fabulous turn from Embolo, now a goal for Embolo! That goal was coming. You can’t play that defensively and not go forward. #WALSUI. At last a goal EURO 2020 There goes my prediction. Deserved that. Especially after that turn and shot on goal! EURO 2020.</t>
  </si>
  <si>
    <t>[["embolo", 0.7195383181927493], ["class", 0.6944527404023617]]</t>
  </si>
  <si>
    <t>What a shot embolo, he love class. Embolo is class. Jesus Christ Embolo is class. Embolo been absolutely class. Goal now to top it off. Embolo 1-0! Class in the build up to the corner too, holding two off to get a shot away. EMBOLO WHAT A STRIKERRRR. Embolo is pure class.</t>
  </si>
  <si>
    <t>[["lead", 0.7137788506276882], ["embolo", 0.7003711533155947]]</t>
  </si>
  <si>
    <t>Embolo destroyed the defence to win the corner. Embolo scores the corner to give Switzerland the lead! #SUI. Switzerland lead against Wales! Embolo could’ve had a few, he gets their first! #SUI take the lead! Embolo header. It's been coming, 1-0 up on #WAL.</t>
  </si>
  <si>
    <t>[["embolo", 1.0]]</t>
  </si>
  <si>
    <t>I’d take embolo at Liverpool. Always loved Breel Embolo he'll definitely be a great player real soon if not at this tournament. Hope spurs scout him tho. #Sui. Embolo what a player. Embolo has been the best player in this game, deserves that goal. Wonder what the Wales Plan B is?</t>
  </si>
  <si>
    <t>[["final", 0.8565671750595365], ["embolo", 0.516035536189636]]</t>
  </si>
  <si>
    <t>Embolo finally doing his FIFA 16 career mode hype justice. Embolo might finally get his breakthrough. Embolo get in. Finally a goal. Finally!!!. EURO 2020. Embolo unstoppable!!! 1-0 finally. Embolo what a fucking footballer. Embolo! #SUI finally break through! EURO 2020.</t>
  </si>
  <si>
    <t>[["embolo", 0.7071067811865475], ["corner", 0.7071067811865475]]</t>
  </si>
  <si>
    <t>Deserved goal. Great work from Embolo to get the corner in the first place. 1-0 Embolo. Been coming all day long from a corner. Embolo destroyed the defence to win the corner. Embolo scores the corner to give Switzerland the lead! #SUI.</t>
  </si>
  <si>
    <t>[["embolo", 0.7154522922134259], ["defend", 0.6986615901611843]]</t>
  </si>
  <si>
    <t>48’ #Sui 1-0 #Wal. Embolo heads a corner home, very questionable defending. Awful defending from Roberts more focused on wrestling Embolo than doing his job and Embolo just doesn’t miss from there. Embolo has been bullying the welsh defenders all game and deserves that goal.</t>
  </si>
  <si>
    <t>Unreal touch and turn Embolo. And then the goal. Great stuff. Wales have been so poor , brilliant touch ,turn of pace and strike from embolo. Embolo been balling out. Breel Emboloooooo !! My Boy.... so strong with the ball EURO 2020. Embolo be strong pass Thanos.👿.</t>
  </si>
  <si>
    <t>[["gol", 1.0]]</t>
  </si>
  <si>
    <t>GOOOOOOOOOOOOOOLLLLL DE #SUI. GGGOOOOOOLLLLLLL/BBBBUUUUUTTTTTTTT/TORRRRRRRRRRRRRRRRRRR. #SUI EURO 2020. Al fin gol de #Sui !!</t>
  </si>
  <si>
    <t>[["shot", 1.0]]</t>
  </si>
  <si>
    <t>Embolo’s the only one on this team that can make his own shot. Cross or shot 🧐 #WALSUI. But fifa want me believe mbabu could score a long shot. Bale shot on target please. Wales are awful, Bale Is shot to bits.</t>
  </si>
  <si>
    <t>[["pass", 1.0]]</t>
  </si>
  <si>
    <t>Akanji’s passing has been excellent today. He’s broken the lines on quite a few occasions. I'd take off Moore. Wales need to be passing through, Ramsay,Bale,etc. 3 key passes and an assist from Shaqiri when he has the freedom around the centre but Klopp thinks he’s a winger 🤡.</t>
  </si>
  <si>
    <t>[["manag", 0.765070925791004], ["mbabu", 0.4713974908880096], ["legend", 0.43869224302896537]]</t>
  </si>
  <si>
    <t>MBABU IS WEARING ANKLE SOCKS IN A FOOTBALL GAME???? If literally every wales fan can see ampadu morrell and cabango mepham why can’t the actual football manager see it. Embolo the Football Manager legend... Who else knew Mbabu from Football manager??😂.</t>
  </si>
  <si>
    <t>[["fuck", 0.5929777120564813], ["mepham", 0.31444837547731674], ["pitch", 0.30441071603476544], ["leagu", 0.29934616697338456], ["isnt", 0.29192924189566055], ["shakira", 0.28891846864851833], ["play", 0.27397019971807507], ["battl", 0.2651431708916135], ["rob", 0.23058296823807262]]</t>
  </si>
  <si>
    <t>I FUCKING LOVE THE FOOTBALL EURO 2020. Mepham isn’t a footballer is he. I'd rather watch Shakira play football than Shaqiri Euros 2021. Daniel James is winning the mbabu battle. Unbelievable news! Joe Morrell plays to the ability of a League 1 player.</t>
  </si>
  <si>
    <t>I’d take embolo at arsenal strong pacey looks a handful. Switzerland and Wales both take the knee.. EURO 2020. No way Daniel James' taking their corners 🤡🤡. Why is Daniel James taking set pieces? He’s ass. Apparently the Welsh think ‘Bale is all it takes …’ #WALSWI.</t>
  </si>
  <si>
    <t>[["jame", 0.9196369285039315], ["pass", 0.392769550413286]]</t>
  </si>
  <si>
    <t>What a ball from bale to james. Cross from James, Connor Roberts manages to get on the end of it but Schär gets in the way of the shot. 0-1 (59) Loool bale only wants to pass to James. He knows. Bale’s cross field passes are quality EURO 2020. Embolo be strong pass Thanos.👿.</t>
  </si>
  <si>
    <t>[["suppos", 0.32475023705939415], ["win", 0.31360865452089215], ["man", 0.3119421667029954], ["dull", 0.2935366478696535], ["championship", 0.2883910218967025], ["rather", 0.2877784559166297], ["8pm", 0.27785010971027824], ["third", 0.27616341859297033], ["5pm", 0.2735138596934527], ["abil", 0.27268572472974123], ["jame", 0.27249307717460364], ["least", 0.2642776283954409]]</t>
  </si>
  <si>
    <t>James is the only man on the pitch for Wales who likes like he wants to get in that final third. #WAL. Daniel James is winning the mbabu battle. Who's winning this one? EURO 2020. What am I supposed to do between 4-5pm, and 7-8pm each day? 🥺 EURO 2020 #football.</t>
  </si>
  <si>
    <t>[["daniel", 0.8974112304038585], ["emobolo", 0.441195062920057]]</t>
  </si>
  <si>
    <t>No way Daniel James' taking their corners 🤡🤡. Why is Daniel James taking set pieces? He’s ass. Daniel James has been the best player for Wales today and you love to see it. Watching this game Emobolo looks like a class player liverpool should think of signing🔥 #lfc #WALSUI.</t>
  </si>
  <si>
    <t>[["tackl", 0.676704372788114], ["book", 0.6720385761216868], ["mbabu", 0.3007246981107157]]</t>
  </si>
  <si>
    <t>How's that even a foul never mind a booking?! Fantastic tackle by Mbabu. Can’t tackle in football anymore. Mbabu penalised and booked for a perfectly good tackle. Mbabu booked for tackling and winning the ball. Game's gone. Mbabu yellow 🥵 also wasn't a bad tackle refs shit.</t>
  </si>
  <si>
    <t>[["yellow", 0.9586706384188761], ["mbabu", 0.2845182015856709]]</t>
  </si>
  <si>
    <t>If that is a yellow for Mbabu, football is dead. If that’s a yellow card on Mbabu then what are we doing here? Mbabu yellow 🥵 also wasn't a bad tackle refs shit. What a tackle from mbabu, how on earth is that a yellow? Dan james bodied as per.</t>
  </si>
  <si>
    <t>[["mbabu", 0.7944035768284108], ["yellow", 0.31876099208681324], ["tackl", 0.31876099208681324], ["incred", 0.24911062286651223], ["nice", 0.23182989048993896], ["under", 0.22339341176581226]]</t>
  </si>
  <si>
    <t>#WALSUI nice start to the football day. That was an incredible win from the #SUI player EURO 2020. If that is a yellow for Mbabu, football is dead. Mbabu booked for tackling and winning the ball. Game's gone. Perfect tackle, yellow card…Modern football 🙄 #WALSWI EURO 2020.</t>
  </si>
  <si>
    <t>[["mbabu", 0.6396269733917883], ["yellow", 0.598255824648718], ["ramsey", 0.48266686563668615]]</t>
  </si>
  <si>
    <t>Mbabu won the ball cleanly how is that a foul? That was the harshest yellow for Mbabu. He got the ball.... Free kick to Wales and a yellow card for Mbabu after he has the audacity to win the ball. What a ball from Ramsey... Any chance???</t>
  </si>
  <si>
    <t>[["2nd", 0.8073900045760214], ["mbabu", 0.5900181187986792]]</t>
  </si>
  <si>
    <t>Mbabu will be close to a 2nd. Much better game this 2nd half EURO 2020 #WALSUI. Kevin Mbabu is so underrated he needs a big move. EURO 2020 Kevin Mbabu of #SUI Switzerland gets the second yellow card of the game!! 2nd game and 2nd winner!!! Moore with a card at Lovely stuff ✅.</t>
  </si>
  <si>
    <t>[["mbabu", 1.0]]</t>
  </si>
  <si>
    <t>Kevin Mbabu the first non-England based player to be booked at EURO 2020 #WALSUI. I can't take Mbabu seriously knowing his first name is Kevin. Okay okay… 👀. The bet builder is shaping up, that wasn’t even a yellow but I’ll take it 😂. Mbabu Booked ✅.</t>
  </si>
  <si>
    <t>[["ramsey", 1.0]]</t>
  </si>
  <si>
    <t>Ramsey robbed of an assist. Ramsey being robbed of assists I wanna cry. Ramsey should've score there. Imagine wales players knew how to head a wonderful ball in. Bale and Ramsey put 2 unbelievable crossed in and no fucker trying to score.</t>
  </si>
  <si>
    <t>[["ramsey", 0.7076923201982834], ["free", 0.706520756901289]]</t>
  </si>
  <si>
    <t>Great ball from Ramsey, that needs to be in the back of the net. That’s 2 brilliant free kicks from Wales (Bale/Ramsey) and not one player gambling on getting the final touch on it. Ramsey licks the air in disappointment after that free kick #WALSUI EURO 2020.</t>
  </si>
  <si>
    <t>[["zakaria", 0.9774897485785721], ["embolo", 0.21098291737436933]]</t>
  </si>
  <si>
    <t>Embolo is some player 🔥. Zakaria is the player united should go for. Zakaria is not a good player and Zakaria got Shaqiri is not a good change. The Swiss NT is Borussia FC. Akanji, Sommer, Elvedi, Zakaria, Embolo on the pitch right now. 5/11 players. #SUI.</t>
  </si>
  <si>
    <t>[["embolo", 0.7220924684458094], ["sub", 0.6917965503049562]]</t>
  </si>
  <si>
    <t>Embolo needed at the lane. How good has Embolo been 2nd half? #WALSUI. Someone needs to snap embolo. He's killing us. Embolo second half masterclass. FS SHAQIRI SUBBED. Embolo straight back to Wales goal looking for a second. #SUI. Breel Embolo gives Switzerland the lead! 💥.</t>
  </si>
  <si>
    <t>[["premier", 0.5712612677517307], ["embolo", 0.49367167317516014], ["leagu", 0.4677123155703173], ["book", 0.45955851959785843]]</t>
  </si>
  <si>
    <t>62' Mbabu booked for winning the ball. Gareth Bale is washed dont let Premier League PR fool you, we need to apply Premier league tax. I would say Breel Embolo will be a very good Premier League player. 🏴󠁧󠁢󠁷󠁬󠁳󠁿🆚🇨🇭 THE winning goal? ⚽️ Embolo. EURO 2020.</t>
  </si>
  <si>
    <t>[["littl", 0.6367522197811774], ["star", 0.5576216603605026], ["bring", 0.5325454858512457]]</t>
  </si>
  <si>
    <t>Stars of day one: ▪️#ITA. ▪️The little car that brings the match ball out. EURO 2020.</t>
  </si>
  <si>
    <t>[["take", 0.7427534408431572], ["worst", 0.6695650275482214]]</t>
  </si>
  <si>
    <t>How this Keifer Moore guy take get call up sef? Players don finish for Wales??? I'd take Bale off. Penaldo taking notes on this Seferovic disasterclass and learning new ways to fraud and get carried.. And again worst player on the pitch Kieffer Moore. Wales 🏴󠁧󠁢󠁷󠁬󠁳󠁿.</t>
  </si>
  <si>
    <t>[["stole", 0.37428956291785576], ["play", 0.3569744678312583], ["manag", 0.3539112814860992], ["everywher", 0.31388049839611326], ["hobbi", 0.3124320573228881], ["win", 0.30450984942138515], ["remark", 0.2866189204545339], ["would", 0.2853962025435632], ["bale", 0.28251449375242466], ["leagu", 0.2737636096419322]]</t>
  </si>
  <si>
    <t>Football is just a hobby for Bale #WALSUI. Joe Allen has absolutely stole a football career 🤯💩. A goal for Football Manager players everywhere 👌. EURO 2020 #WALSUI.. Wales would've been winning if Bale was playing. Ben Davies is a remarkably shit footballer.</t>
  </si>
  <si>
    <t>[["moor", 0.963943060143015], ["score", 0.26610858085022343]]</t>
  </si>
  <si>
    <t>Get fuckin in!!! Moore you absolute beauty!. Finally some flair and passion and we score. I think Kieffer Moore deserved a goal only because BBC commentary referred to him by his full name KIEFFER MOORE like 90000 times? Big goal for Wales, great header by Moore! EURO 2020.</t>
  </si>
  <si>
    <t>Golllll Moore. GOOOOOOOOL DE #WAL. GOOOOOOOOOOOOOOOL MAN LIKE MOORE THIS IS FUTBOLLLLLL. Gol Moore. Goooooooooooool de #Wal. EURO 2020. GOLLLLLLL DE MOORE, GOLLL DE #WAL. Goooooooolllllll 🔥🔥🔥🔥🔥 Mooore #Wal EURO 2020. Gol de Wales 1-1 EURO 2020. GOLLL MOORE!!! WALES 1-1 SWISS.</t>
  </si>
  <si>
    <t>[["moor", 0.4372153395570848], ["keifer", 0.39759119590507697], ["beauti", 0.39141432038571483], ["final", 0.37815774655668777], ["inde", 0.35472603346267884], ["win", 0.35208526666380446], ["slow", 0.3236679509822104]]</t>
  </si>
  <si>
    <t>Wales can finally celebrate as key man keifer Moore equalises for Wales 🏴󠁧󠁢󠁷󠁬󠁳󠁿 EURO 2020. Get fuckin in!!! Moore you absolute beauty!. Finally some flair and passion and we score. What a bloody header! One Moore of those and you’ll win! #WAL.</t>
  </si>
  <si>
    <t>[["corner", 1.0]]</t>
  </si>
  <si>
    <t>Wow what a nicely designed corner for #Wal 1-1. A well worked corner for Wales there. Great goal. ⚽. EURO 2020. What a brilliant corner routine that was! 👏 #WALSUI EURO 2020. Lovely execution from Wales on that corner! #WAL EURO 2020. 1-1 Wales, Moore from a corner, lovely header.</t>
  </si>
  <si>
    <t>[["moor", 1.0]]</t>
  </si>
  <si>
    <t>Wales needed to do Moore and up stood Moore 🤩🙌. That is a superb header from Moore. Wales deserve this. Much better second half. This is what happens when half of your fantasy league have Kieffer Moore. It helped that Moore got his ears untucked at half-time. C'mon Wales!</t>
  </si>
  <si>
    <t>[["header", 0.5868967441574653], ["class", 0.578005288478622], ["moor", 0.5669762765655293]]</t>
  </si>
  <si>
    <t>Moore is a class striker, would love Watford to sign him. This Moore striker is a monster in the air. That is class Keiffer Moore. Class header from Moore. What a header Kieffer Moore, no keeper in the world stops that 👏 #WALSUI. Was always gonna be kieffer moore, class header.</t>
  </si>
  <si>
    <t>[["moor", 0.91868353878032], ["take", 0.39499437410432586]]</t>
  </si>
  <si>
    <t>As I was saying, take Kiefer Moore off. Moore is a reyt player btw. Kieffer Moore some player to be fair to him. We so don't deserve that but I'll take it. That's the quality of Kieffer Moore! Best player in red scores. Nice header Moore ⚽️⚽️. #WALSWI #wal.</t>
  </si>
  <si>
    <t>[["header", 0.8146597191918484], ["moor", 0.35529502977642025], ["defend", 0.35529502977642025], ["kieffer", 0.28958664602948075]]</t>
  </si>
  <si>
    <t>1-1 for Wales big goal that. Free header, what kind of defending is that for #SUI. What a header Kieffer Moore, no keeper in the world stops that 👏 #WALSUI. Great header from Moore, poor defending again from a corner to make it 1-1. Switzerland will be kicking themselves now.</t>
  </si>
  <si>
    <t>[["cross", 0.5170853511785165], ["moor", 0.4880706809393481], ["header", 0.46288864203919566], ["head", 0.3835557023523819], ["kieffer", 0.36473124114623323]]</t>
  </si>
  <si>
    <t>KIEFFER MOORE EQUALISES! TALISMAN GETS ON THE END OF A CROSS WITH HIS HEAD! #WAL 1-1 #SUI. Cracking cross and lovely header from Kieffer Moore that 🙌 #WAL. Kieffer Moore lives to head the ball. Kieffer Moore scoring from crosses in red - some things never change! 🥺🥺. #WAFC.</t>
  </si>
  <si>
    <t>[["get", 1.0]]</t>
  </si>
  <si>
    <t>Get in Wales, now to get Tyler Roberts on to win it 🏴󠁧󠁢󠁷󠁬󠁳󠁿. 1-1 - playing with a belief you can win !! #Wal get in !!! Get Kiefer Moore in the premier league. FINALLY! Get in there! #WALSUI. Get Levitt on and go for the win.</t>
  </si>
  <si>
    <t>[["jame", 1.0]]</t>
  </si>
  <si>
    <t>Shut up James, Brooks is a better player than you anyway. Why did Wales take out Daniel James he was there most productive player? I can't believe that Robert page has taken off Dan James. He's been there best player without a doubt.</t>
  </si>
  <si>
    <t>[["ff", 1.0]]</t>
  </si>
  <si>
    <t>Ffs sommer u had 1 job. WHAT A CROSS BY ZAKARIA. No help ffs. Embolo is honestly rubbish ffs. He takes off the only man with energy and pace Dan James ffs still needs to make subs #WALSUI. Get Zuber and Gavranovic on ffs or Gavranovc and vargas.</t>
  </si>
  <si>
    <t>[["zakaria", 0.9608989161549476], ["embolo", 0.27689939135405667]]</t>
  </si>
  <si>
    <t>What a freaking ball by Zakaria. What a cross embolo should be scoring that. That ball from Zakaria 🤤🤤. Switzerland come again, Zakaria at the back door and puts a great ball back in but the offside flag went up against Embolo. 1-1 (78) What a cross from the zakaria.</t>
  </si>
  <si>
    <t>[["equalis", 0.7811669564968838], ["net", 0.6243221813113766]]</t>
  </si>
  <si>
    <t>📸 Kieffer Moore nets the equaliser in Baku ⚽️. EURO 2020.</t>
  </si>
  <si>
    <t>[["equalis", 0.6656235081167865], ["favour", 0.549006072323898], ["ben", 0.5055073471214726]]</t>
  </si>
  <si>
    <t>Ben Davies isn’t a very good footballer. Now, we can we do everyone a favour and win this match pls 🥺 #wal. Ben Davies ruining football for me even when spurs aren’t playing😭🏴󠁧󠁢󠁷󠁬󠁳󠁿. Finally an equaliser by Moore for Wales. EURO 2020.</t>
  </si>
  <si>
    <t>[["equalis", 1.0]]</t>
  </si>
  <si>
    <t>#WAL are back in it! Kieffer Moore with the equaliser. Game on!. EURO 202.. The Swiss manager before Wales equalised. EURO 2020 #football. Finally an equaliser by Moore for Wales. EURO 2020. Switzerland went to sleep for a sec, good equaliser from Wales #WALSUI.</t>
  </si>
  <si>
    <t>[["ben", 0.744784284208691], ["davi", 0.6673053049360148]]</t>
  </si>
  <si>
    <t>Ben Davies can’t cross 🤦🏻‍♂️🏴󠁧󠁢󠁷󠁬󠁳󠁿. Ben Davies needs to stop kicking the ball. Even if Ben Davies plays for Macedonia he should never touch an international tournament. Ben Davies just absolutely hammering every ball. Not sure why. #WALSUI.</t>
  </si>
  <si>
    <t>Gareth Bale I NEED you to score… NOW. Ben Davies needs to stop kicking the ball. Come on!!! We can get this second! Like Slovakia over again. All we need is Bale on a FK at the edge of the box👀😐. When you need him, Kieffer Moore is there. 🏴󠁧󠁢󠁷󠁬󠁳󠁿. EURO 2020 | #WALSUI.</t>
  </si>
  <si>
    <t>[["ben", 0.7369583635442924], ["davi", 0.6759381409582672]]</t>
  </si>
  <si>
    <t>Ben Davies is a horrific footballer. Ben Davies is a shocking footballer. Ben Davies is honestly an embarrassment to football. Ben Davies very poor at football. No wonder Spurs haven't won anything 😂😂😂. Bloody hell Ben Davies' final product has been awful #WALSUI EURO 2020.</t>
  </si>
  <si>
    <t>[["ref", 1.0]]</t>
  </si>
  <si>
    <t>Who is mepham ? Shouting ref as he’s playing 😂😂 great big pansy. This ref is so bad #WALSUI. What‘s with the ref? 🤔 #WALSUI.</t>
  </si>
  <si>
    <t>[["final", 0.7570951679665642], ["pleas", 0.653304604791425]]</t>
  </si>
  <si>
    <t>Can Wales please score one Moore to win the match. Brooks has a sick final ball. Wales are finally really trying to go for this win EURO 2020. Wales have finally woken up. EURO 2020.</t>
  </si>
  <si>
    <t>[["throw", 1.0]]</t>
  </si>
  <si>
    <t>Bale taking throw ins dkm. Gareth Bale taking a long throw is so weird. I never knew Bale could take a throw in like that 😳 #WALSWI EURO 2020. Bale taking throw ins bringing back those Kane taking corner vibes.</t>
  </si>
  <si>
    <t>[["brook", 0.7740458077642705], ["ramsey", 0.6331295976990479]]</t>
  </si>
  <si>
    <t>What a cross by Brooks there. Some ball that in by Brooks. Lovely ball by ramsey. Ramsey half a yard from making contact, lovely ball across from Brooks. Aaron Ramsey would score loads of goals arriving late into the box if he had Tierney whipping in crosses for him.</t>
  </si>
  <si>
    <t>[["2017", 0.6242226948988947], ["non", 0.5631511783667396], ["goalscor", 0.541485713086979]]</t>
  </si>
  <si>
    <t>From non-league in 2017, to a goalscorer at the EUROs... Kieffer Moore, what a story 👏. EURO 2020 #WAL.</t>
  </si>
  <si>
    <t>[["winner", 0.7325672083604986], ["ramsey", 0.6806947078058606]]</t>
  </si>
  <si>
    <t>Ramsey is scoring the winner truss. The Bale Ramsey combo prolly got a goal in this game🙏🏾. That would've been classic Ramsey goal maynnn. Ooof Ramsey almost catching that and scoring. Swiss have lost all momentum since Shaq was subbed off. Ramsey will score the winner EURO 2020.</t>
  </si>
  <si>
    <t>Where was this Wales side in the first half?! #WALSUI. Bale’s not even half the player from 2016. Embolo looks half about tbf. 2nd half very enjoyable than the 1st….. #WALSUI EURO 2020. The first half of this match vs The second half of this match 🤣🤣 #WALSWI EURO 2020.</t>
  </si>
  <si>
    <t>[["offsid", 0.7823774375639699], ["touch", 0.40452457122434393], ["gavranov", 0.34753279463314846], ["embolo", 0.32166189255345584]]</t>
  </si>
  <si>
    <t>Bale touched his bun more times than he touched the ball...🤦🏾‍♂️. GAVRANOVIC SCORES WITH HIS FIRST TOUCH! BUT I THINK ITS OFFSIDE! #WAL 1-2 #SUI??? Lhuk one touch, one goal? 👀 gavranovic. Good pass from Xhaka tbh. Offside though. Offside, but Embolo is balling.</t>
  </si>
  <si>
    <t>[["offsid", 1.0]]</t>
  </si>
  <si>
    <t>What a decent match this has turned out to be.. Even if that goal was offside. 😂😂 EURO 2020. #SUI are back in front, however that is surely offside. Don’t need the lines to see he’s miles offside there EURO 2020. What a sub that would be if it wasn't offside EURO 2020.</t>
  </si>
  <si>
    <t>[["var", 1.0]]</t>
  </si>
  <si>
    <t>VAR and Xhaka ain't in the same WhatsApp group. VAR going to rule this one out... #WALSUI. Looks off, #SUI takes a lead, again. VAR checking. Tell me VAR are watching!!!??? EURO 2020 …. VAR will overturn this goal #WALSUI. First big VAR moment hope they get it right EURO 2020.</t>
  </si>
  <si>
    <t>[["var", 0.7840457838589087], ["exist", 0.6207029956533717]]</t>
  </si>
  <si>
    <t>The Switzerland players celebrating that goal as if VAR never existed. #walsui. VAR taking Embolo’s G/A away. How does it take VAR this long to see what took us 3 seconds!? Madness EURO 2020. Why did that VAR check take so long!? 😂 #WAL #WALSWI.</t>
  </si>
  <si>
    <t>[["var", 0.8017128761932447], ["offsid", 0.4631784394699227], ["second", 0.37778591471382583]]</t>
  </si>
  <si>
    <t>Superb assist from Embolo. Switzerland leads 2-1 or VAR. THE SUB!!!! #SUI. (VAR pending?) How did that take more than 1 second for VAR and how did the linesman miss it. EURO 2020. Takes tv companies seconds to work out a offside but it take VAR a lifetime 🙄 EURO 2020 #walswi.</t>
  </si>
  <si>
    <t>[["intern", 0.5774876321509835], ["var", 0.5247377685533218], ["tournament", 0.4745033124101223], ["pea", 0.4074370079879251]]</t>
  </si>
  <si>
    <t>Well done VAR! Finally it works! EURO 2020. I am actually wanting Wales to win (or at least draw) but inspire of that I hate VAR! We really need to get rid of it! #VAR EURO 2020. If Bale scores in the final minutes, I win peas. International Football Tournaments. Euro 2020.</t>
  </si>
  <si>
    <t>OFFSIDE. Why did they take so long over that? #WAL. Could see that was offside, had three beers, cooked a beef dinner and half asleep, why did it take so long #WALSUI. How did VAR take so long to check that when the majority of people seen it was offside in real time #WALSUI.</t>
  </si>
  <si>
    <t>[["var", 0.7451698789021869], ["net", 0.6668746895608649]]</t>
  </si>
  <si>
    <t>VAR got that call was just a touch offside on that one... (85) - Gavranovic has the ball in the back of the net for Switzerland but VAR overturns it. #WALSUI.</t>
  </si>
  <si>
    <t>Ruled out but once again great play from Embolo, best player on the pitch today. Embolo is one of those players that will excel in tournaments but go and buy and see 😂😂 Betway At 5. Embolo for player of the year #embolo. Embolo. Top player. steven sandbach football manager legend.</t>
  </si>
  <si>
    <t>[["zakaria", 0.5773502691896257], ["cdm", 0.5773502691896257], ["distribut", 0.5773502691896257]]</t>
  </si>
  <si>
    <t>Why a DM with no ability on the ball so high up the pitch?? Zakaria should be deeper. Lol that ball was way too heavy from Embolo, could’ve put Zakaria through on goal. Tell you what, Zakaria ball distribution is fantastic. Love him at CDM.</t>
  </si>
  <si>
    <t>[["play", 0.749422853411497], ["embolo", 0.4401256372019964], ["leagu", 0.3652645030893299], ["breel", 0.33352159307159035]]</t>
  </si>
  <si>
    <t>Superb performance from Breel Embolo. Premier League transfer links surely incoming. Fair play there, should of been 4-1! Not gonna win much playing like that but fair play EURO 2020. Kieffer Moore was playing in the Vanarama National League during the last Euros….</t>
  </si>
  <si>
    <t>(90) - Another Embolo header from a corner is saved by Ward. #WALSUI. Embolo is bullying his mark on these corners. Embolo already scored a corner and now midget Joe Allen is covering him. There was no need for Brooks to give a corner away there. All these corners!!! EURO 2020.</t>
  </si>
  <si>
    <t>What a fucking save Embolo is looking for that. Brilliant save by Ward!. EURO 2020 #Wal. Hell of a save! Fantastic. EURO 2020. What a save Danny Ward!!! Another world class save to save the Welsh again...... Good save from Ward. Embolo has been fantastic today though.</t>
  </si>
  <si>
    <t>[["equalis", 0.6447390163647067], ["moor", 0.5643035860903755], ["react", 0.515628803988502]]</t>
  </si>
  <si>
    <t>GOAL! Wales 1-1 Switzerland (Moore 75').. EURO 2020. 📸 Kieffer Moore nets the equaliser in Baku ⚽️. EURO 2020. Keiffer Moore has more goals at EURO 2020 than Cristiano Ronaldo 👀 #WAL. 🏴󠁧󠁢󠁷󠁬󠁳󠁿🆚🇨🇭 Drop a GIF 📱👇 to react to Kieffer Moore's equaliser... EURO 2020.</t>
  </si>
  <si>
    <t>[["savag", 0.7728683600003448], ["commit", 0.47691259061845664], ["foul", 0.41860348663140634]]</t>
  </si>
  <si>
    <t>#WALSUI savage said commit fouls hes encouraging cheering. Again typical BBC. Cringeworthy from Savage celebrating a var decision EURO 2020. Lol Robbie Savage advocating players using dark arts looooll (fouling) 🤣🤣😂 #WALSUI. "Just commit fouls" growls Robbie Savage. #WAL #SUI.</t>
  </si>
  <si>
    <t>[["club", 0.4618313575494329], ["final", 0.44715326904304303], ["deserv", 0.4373181980325928], ["ward", 0.2469056576129957], ["2017", 0.24327057321743703], ["danni", 0.2430005455664063], ["how", 0.21136818811904862], ["non", 0.21131139194250556], ["goalscor", 0.21102651487712717], ["header", 0.2083549792937406], ["save", 0.1976190816854132]]</t>
  </si>
  <si>
    <t>From non-league in 2017, to a goalscorer at the EUROs... Kieffer Moore, what a story. EURO 2020. #sui deserves to win this. Celtic Football Club im not saying sign danny ward but... This took a while but its finally alive #WALSWI EURO 2020.</t>
  </si>
  <si>
    <t>[["danni", 0.7839014220240348], ["bow", 0.4597992308515377], ["ward", 0.41723282212336826]]</t>
  </si>
  <si>
    <t>Danny Ward, what a player. Breel Embolo best player on the pitch for the Swiss and Danny Ward for Wales 🏴󠁧󠁢󠁷󠁬󠁳󠁿. Danny Ward is outstanding, sign Jim up someone he's too good to be a bench player. Danny Ward take a bow👏👏👏. Danny Ward take a bow. Some outstanding saves.</t>
  </si>
  <si>
    <t>[["ward", 0.7601383376338233], ["danni", 0.6497612697439634]]</t>
  </si>
  <si>
    <t>We have 2 World Class Keepers in the euros wtaf 😭😭 DANNY DANNY WARD. Danny ward has been top class👏. Danny ward still world beater, love to see it. Danny Ward is the greatest goalkeeper in the world 🏴󠁧󠁢󠁷󠁬󠁳󠁿🏴󠁧󠁢󠁷󠁬󠁳󠁿🏴󠁧󠁢󠁷󠁬󠁳󠁿. Danny Ward best GK in the world ? EURO 2020 #WAL.</t>
  </si>
  <si>
    <t>[["danni", 0.7078235161081119], ["ward", 0.7063893190333143]]</t>
  </si>
  <si>
    <t>Two excellent saves from Ward in the final minutes to keep a point for #WAL The offside flag was up for the second one, but still. Danny Ward been doing a madness this half. Danny ward needs to play first team football. Danny Ward needs a fucking knighthood.</t>
  </si>
  <si>
    <t>[["gavranov", 0.7284684843383468], ["offsid", 0.6850793146240745]]</t>
  </si>
  <si>
    <t>Asked why Gavranovic wasn’t on before the 80th minute when he scored a hattrick in his last game. Question answered, cunt lives offside 😂. Gavranovic just living offsides since he came into this game 🏕 EURO 2020. Gavranovic born offside ffs. Gavranovic lives offside.</t>
  </si>
  <si>
    <t>[["rule", 0.5562516609302051], ["wife", 0.5324529724144439], ["offsid", 0.32864169342172955], ["gavranov", 0.3016636180448851], ["scream", 0.26509850985215677], ["swiss", 0.2632779488662999], ["switzerland", 0.2616851590887403]]</t>
  </si>
  <si>
    <t>Danny ward has been exceptional today. but Switzerland should be winning. #WALSUI Gavranovic would be a class player if there was no offside rule in football. The 25% of Swiss in me is screaming for a winning goal #SUI. Wife "How long is the Football on for?" Me... EURO 2020.</t>
  </si>
  <si>
    <t>Take a bow Aaron James Ramsey. Take Bale out... What a keeper Danny Ward is. Still hate Klopp for taking him back. This Welsh squad always take the piss with their team photos. #WAL 😂. WHY take Daniel James off. Craziest decision ever. Take THAT powerade cooler. Euro 2020.</t>
  </si>
  <si>
    <t>[["ethan", 0.7783915438732141], ["ecstasi", 0.6277791048025366]]</t>
  </si>
  <si>
    <t>90+2' Ramsey comes off and it's my star man for Wales Ethan Ampadu replacing him. 🏴󠁧󠁢󠁷󠁬󠁳󠁿 1 vs 1 🇨🇭 live UEFA EURO 2020. Oh baby it's you. Ethan Ampadu. That makes me love you. Now I'm living in ecstasy.</t>
  </si>
  <si>
    <t>[["21st", 0.5383756331797481], ["pass", 0.4966489914112532], ["ward", 0.492871176278967], ["pint", 0.4696482306172117]]</t>
  </si>
  <si>
    <t>Balls To The Ward... #WALSUI. Considering That The 4 bests third Will pass The turn, It's a Good draw for both! Wales Switzerland. EURO 2020. Everyone buy Danny Ward a pint on June 21st pass it on.</t>
  </si>
  <si>
    <t>[["2017", 0.7123393691267939], ["game", 0.40014860403835134], ["produc", 0.3875928747786877], ["masterclass", 0.32346985616903345], ["go", 0.16603068111735594], ["leagu", 0.15883563869135198], ["draw", 0.15747312868611665]]</t>
  </si>
  <si>
    <t>90 minutes of Gareth Bale going missing in a key game of football. Even though it's a draw this was a win for Wales #walsui. What a terrible game of football #WAL #SUI. Danny Ward hasn't played a league game since 2017. He's produced a masterclass for Wales at Euro 2020! 🏴󠁧󠁢󠁷󠁬󠁳󠁿.</t>
  </si>
  <si>
    <t>[["given", 1.0]]</t>
  </si>
  <si>
    <t>Bale really washed. It's okay man, you've given the game all you needed to. #WAL 1-1 #SUI. Have to take that given how we played. Embolo’s the type of player that KSI would have given a career in 2012.</t>
  </si>
  <si>
    <t>[["vanarama", 0.9181783010244376], ["final", 0.39616739836573756]]</t>
  </si>
  <si>
    <t>Danny ward has been no.1 for a long time, glad roberto page finally stuck to his guns. what a display. Kieffer Moore was playing in the Vanarama National League during the last Euros…. Final. #WAL 1-1 #SUI. Final preparations ahead of #WALSUI ✅ EURO 2020.</t>
  </si>
  <si>
    <t>[["best", 1.0]]</t>
  </si>
  <si>
    <t>FT 🏴󠁧󠁢󠁷󠁬󠁳󠁿 1-1 🇨🇭- Wales lucky to get a draw in Baku, very much 2nd best, keeper Danny Ward their best player. Daniel James played the best for Wales. 🥲🥲. 💪🟦🟥 Best of luck to our players at EURO 2020!. 🎨 MTS Media. Danny Ward is the best goalkeeper in the contribution.</t>
  </si>
  <si>
    <t>#WALSUI-v10-b0.7-e0.7-grouped-split</t>
  </si>
  <si>
    <r>
      <rPr>
        <u/>
      </rPr>
      <t>The Guardian</t>
    </r>
    <r>
      <rPr>
        <u/>
      </rPr>
      <t xml:space="preserve">, </t>
    </r>
    <r>
      <rPr>
        <u/>
      </rPr>
      <t>BeSoccer</t>
    </r>
    <r>
      <rPr>
        <u/>
      </rPr>
      <t xml:space="preserve">, </t>
    </r>
    <r>
      <rPr>
        <u/>
      </rPr>
      <t>LiveScore</t>
    </r>
    <r>
      <rPr>
        <u/>
      </rPr>
      <t xml:space="preserve">, </t>
    </r>
    <r>
      <rPr>
        <u/>
      </rPr>
      <t>BBC</t>
    </r>
  </si>
  <si>
    <t>Schär</t>
  </si>
  <si>
    <t>Moore</t>
  </si>
  <si>
    <t>Embolo</t>
  </si>
  <si>
    <t>Mbabu</t>
  </si>
  <si>
    <t>Zakaria for Shaqiri</t>
  </si>
  <si>
    <t>Brooks for James</t>
  </si>
  <si>
    <t>Gavranovic for Seferovic</t>
  </si>
  <si>
    <t>Gavranovic (cancelled)</t>
  </si>
  <si>
    <t>Ampadu for Ramsey</t>
  </si>
  <si>
    <t>[["chiellini", 0.7154311855530764], ["anthem", 0.4205817063046954], ["okay", 0.41010074502043264], ["note", 0.37826792884625665]]</t>
  </si>
  <si>
    <t>Can't believe chiellini is still player at 50 👀. Watch Barella and takes notes people. EURO 2020. Now that's how you sing your national anthem. England players take note #ita. I have a feeling that my favourite player to watch will be Okay tonight! EURO 2020 #TURITA.</t>
  </si>
  <si>
    <t>[["footbal", 0.8181617948945273], ["chiellini", 0.574988067158759]]</t>
  </si>
  <si>
    <t>Football is back 😍😍😍. #TURITA. Football! Yes! #TURITA EURO 2020. So Chiellini no go retire from football? Chiellini honestly has the biggest nose in football 😂. Feel like i was watching chiellini play football my whole life. Is Chiellini the best 'bastard' still in football?</t>
  </si>
  <si>
    <t>[["car", 1.0]]</t>
  </si>
  <si>
    <t>Insigne was defo driving that car with the ball in 😂. Genius that match ball in a car thingy 👏🏻 #ita #tur. Why did they use Insigne’s car to bring the ball on the pitch? That car must be brought into the premiership -the car presentation of the ball was brilliant 👏🏽👏🏽#TURITA.</t>
  </si>
  <si>
    <t>[["car", 0.601393570013682], ["control", 0.5747361730692991], ["rocket", 0.5549811756373862]]</t>
  </si>
  <si>
    <t>EURO 2020 #TURITA Euro 2020, sponsored by Rocket League! Ok I want a VW football delivering car #TURITA EURO 2020. He Rocket League #TURITA EURO 2020. Getting excited then thought the ball carrying remote control car was gonna start playing Rocket League 🚀 ⚽️. EURO 2020 #TURITA.</t>
  </si>
  <si>
    <t>[["car", 0.9374200890502298], ["take", 0.34820048340727433]]</t>
  </si>
  <si>
    <t>Yilmaz taking over vs Italy. Ffs hope a player volleys that car Ita Tur EURO 2020. Did you see that little VW car to take the ball out 🤣. EURO 2020. #ita. I cy just see that remote-controlled car taking out some star player before kickoff #TURITA EURO 2020.</t>
  </si>
  <si>
    <t>[["mancini", 0.9323726644638013], ["dress", 0.3614985678542472]]</t>
  </si>
  <si>
    <t>Mancini in that suit. Call it off - that combo should win the euros.. EURO 2020 #Mancini. So out of touch with international football didn’t even know Mancini was Italy manager. Mancini wins best dressed already for EURO 2020.</t>
  </si>
  <si>
    <t>[["ball", 1.0]]</t>
  </si>
  <si>
    <t>Would’ve been better if the car had kicked the ball to the ref #TURITA EURO 2020. Andrea Bocelli, Mancini’s jacket, the RC VW carrying the ball… proper Euro-madness to kick off EURO 2020. The cast of Downsizing driving the ball to the halfway line for kick-off. Nice. #TURITA.</t>
  </si>
  <si>
    <t>[["uber", 0.5901723186473854], ["circl", 0.533533002143768], ["carri", 0.4794170439886659], ["nice", 0.37040311534731557]]</t>
  </si>
  <si>
    <t>It was fucking nice of Insigne to let his Uber carry the football to the centre circle😂.</t>
  </si>
  <si>
    <t>[["insign", 1.0]]</t>
  </si>
  <si>
    <t>That should have been a goal INSIGNE! Insigne should be scoring that. 😌. La hawla this midget Insigne robbing me off a Berardi assist. I reckon Insigne is small enough to fit in that tiny car and that means he could take goal celebrations to a whole new level.</t>
  </si>
  <si>
    <t>[["ff", 0.7384840039010709], ["insign", 0.6742709959521048]]</t>
  </si>
  <si>
    <t>INSIGNE YOU HAVE TO SCORE FFS. Ffsss Insigne bottleman. BURY THAT INSIGNE FFS. Insigne ffs so close. Ffs Insigne. Look at Insigne ffs. Ffs Insigne i last minute transferred you into my Fantasy team. Ffs insigne, I saw 4 points being stole in front of me eyes. COME ON INSIGNE FFS.</t>
  </si>
  <si>
    <t>['hit', 'post']</t>
  </si>
  <si>
    <t>[["insign", 0.7670043375727503], ["target", 0.6416419142672855]]</t>
  </si>
  <si>
    <t>Insigne has to hit that on target. Go near post insigne. Lovely one two, Insigne tries to curl it inside the far post but gets it wrong and it goes wide. 0-0 (18) Dooooh Insigne should have hit the target. Insigne with a miss post-Liverpool Torres would have been proud of #TURITA.</t>
  </si>
  <si>
    <t>[["save", 0.7871101919875356], ["cakir", 0.6168124071947196]]</t>
  </si>
  <si>
    <t>What a save from the keeper on Chiellini’s header. What a save by Cakir! Awful marking by Turkey aswell. Outrageous save from Cakir 👏 would have loved Chiellini to score the opening goal of the tournament EURO 2020. The save from the keeper was impressive EURO 2020 #TURITA.</t>
  </si>
  <si>
    <t>[["offsid", 0.8348547716134493], ["chiellini", 0.5504702628791636]]</t>
  </si>
  <si>
    <t>So close by chiellini swear that was gonna score. Jermaine Jenas. “Chiellini left wide open again”. Yes that probably why he was offside 🤷‍♂️🤷‍♂️🤷‍♂️. Chiellini was offside anyways, but a wonderful save by Çakir. Yilmaz is offside all the bloody time.</t>
  </si>
  <si>
    <t>[["var", 0.7510841509279949], ["ref", 0.660206481507697]]</t>
  </si>
  <si>
    <t>Penalty appeals central, even VAR isn't having those though EURO 2020 #TURITA. Why TF is VAR in another country 😂😂😂 #ITATUR. VAR 0 for 1 after that clear Soyuncu handball. Are the VAR refs in full kit for this tournament? In a different country to the games. EURO 2020 #TURITA.</t>
  </si>
  <si>
    <t>[["soyuncu", 1.0]]</t>
  </si>
  <si>
    <t>Is soyuncu supposed to be good on the ball. Soyuncu has to stop losing the ball😂. It's good pressing from Italy, but Söyüncü and Demiral not showing what they can do on the ball so far. Soyuncu get out and let my boy Kabak ball.</t>
  </si>
  <si>
    <t>Turkey haven't turned up and look nervous in this half #ITATUR. Insigne a half space demon. #ITA with 65% possession through half an hour. But just 7 touches for Immobile. EURO 2020. A lot of bad decisions in this first half by the Italian team euro 2020 #TURITA.</t>
  </si>
  <si>
    <t>[["immobil", 0.7636035547435853], ["assist", 0.5310664004546953], ["score", 0.36725752475756496]]</t>
  </si>
  <si>
    <t>Why isnt the Italian striker scoring goals? Because he is Immobile. Immobile is 100% scoring today. Immobile getting closer, goals defo coming soon. So close to a Berardi assist. Immobile just robbed me of a berardi assist. Immobile wasting a Berardi assist, thanks a lot.</t>
  </si>
  <si>
    <t>Turkey's strategy should be just pass it to Yilmaz 😭. Berardi gotta stop with these flipping chip passes. Why are Italy trying to pass it in? Give it immobile to thundercunt it top bins 🔥. PASS TO BARELLA. Pass the ball to Barella pls.</t>
  </si>
  <si>
    <t>Insigne just score please I beg. C'mon insigne you should be scoring that. Idk man gut says Insigne is scoring. Insigne has come short of scoring the first goal. Insigne soon get the goal man.</t>
  </si>
  <si>
    <t>[["donnarumma", 1.0]]</t>
  </si>
  <si>
    <t>Donnarumma’s awareness as a keeper is top notch. #TURITA. Insigne with a good attempt, turkish gk with a classic donnarumma save, right into his hands. Has a number one international goalkeeper ever started an international tournament without a club? #Donnarumma.</t>
  </si>
  <si>
    <t>[["chiellini", 0.658791379547819], ["insid", 0.6231677072884225], ["imposs", 0.4214924991341747]]</t>
  </si>
  <si>
    <t>10 #TUR players inside the box at one point. Impossible. Chiellini looks like a dad charging onto the field to take charge in a U-11 kids’ match. Chiellini takes football so serious and personal. I like it. The Italians are a passionate lot. Chiellini is still a player 👏🏻.</t>
  </si>
  <si>
    <t>[["cakir", 0.45977602664996636], ["defend", 0.4384822741385997], ["turkish", 0.4376011072894522], ["keeper", 0.39138247747301064], ["pitch", 0.3765982881531758], ["best", 0.33141825111246104]]</t>
  </si>
  <si>
    <t>Jorginho best player on the pitch so far. Turkey defending, Italy passing hoping to find some space, Immobile finally does but it's fairly easy for Çakir. 0-0 (44) #TURITA another good Turkish save. Turkey has such a great goal keeper 😲. #TURITA. Cakir saves Immobile's quick shot.</t>
  </si>
  <si>
    <t>[["dive", 1.0]]</t>
  </si>
  <si>
    <t>Anti football from them and then a Grealish style dive 😂😂😂 #TURITA. Dirty dive from yilmaz what is he thinking 😂. Burak that was a great dive. Don't do it again. #TUR. So the shit ref not gonna book him for diving then?? #TURITA.</t>
  </si>
  <si>
    <t>[["jorginho", 0.6865214981598808], ["chiellini", 0.49464759820481663], ["final", 0.28955740086874543], ["jon", 0.2753747669384543], ["3rd", 0.2628556999277348], ["plumber", 0.23504066989725086]]</t>
  </si>
  <si>
    <t>It feels like Chiellini has played most of the half in the Turkish final 3rd. Spinazzola isn't a real footballer man, he's one of them part-time plumbers from San Marino. Ok Jon Champion is COMEDY right now EURO 2020 #ITATUR. I could watch Jorginho play football all day 🔥🔥.</t>
  </si>
  <si>
    <t>[["jorginho", 1.0]]</t>
  </si>
  <si>
    <t>What a pass Jorginho. I don’t wanna pick on him but Jorginho needs to be braver with his passes. What a ball by Jorginho! Moer that pass by Jorginho. Thats the most typical Jorginho pass and I love it. Jorginho has been class this first half. His passing technique.</t>
  </si>
  <si>
    <t>[["spinazzola", 0.8369077207369859], ["clars", 0.5473440115419398]]</t>
  </si>
  <si>
    <t>Spinazzola has been class till now! Jorginho world clarse. Jorginho is actually world clarse. Not being reactionary but Spinazzola is the best full back in the world. Spinazzola has been class this first half. Spinazzola is class! Spinazzola is class.</t>
  </si>
  <si>
    <t>[["jorginho", 0.7453611460378124], ["spinazzola", 0.521249664549346], ["pitch", 0.4156146643038393]]</t>
  </si>
  <si>
    <t>What a player Spinazzola is. Jorginho what a player. Immobile hadda take this no Jorginho bs. Jorginho is the best player on the pitch. Spinazzola best player on the pitch by far. Jorginho doing the work of 2 players blud he's insane. Jorginho best player on the field yet again.</t>
  </si>
  <si>
    <t>[["half", 0.8926315430695743], ["rob", 0.25221486320383857], ["assist", 0.22904103902215747], ["jorginho", 0.2259478389982679], ["penalti", 0.18995885762965364]]</t>
  </si>
  <si>
    <t>Jorginho getting robbed of assists even in the national team. Good half lads! You can’t lose if you don’t concede 😅😆 #TUR. Slow start but great end to the first half. Hopefully some goals in the 2nd half 🙏🙏 #TURITA. A goal from Insigne or Immobile second half. EURO 2020.</t>
  </si>
  <si>
    <t>[["penalti", 0.7795693293248547], ["ref", 0.6263159432554755]]</t>
  </si>
  <si>
    <t>That’s twice #ita got fucked out of a penalty kick. euro 2020. Literally how many penalties is this ref gonna let slide, so far 1 clear foul and 1 clear handball! Forca Italia! #ITA. Wtf is this ref 💀💀 celik was playing basketball in the box.</t>
  </si>
  <si>
    <t>[["premier", 0.5993203119207253], ["leagu", 0.4282725337726408], ["pen", 0.2909067254120573], ["half", 0.2700741365902949], ["handbal", 0.24592558669531903], ["penalti", 0.2262530473299332], ["play", 0.21576953362767445], ["win", 0.20998575740360959], ["dread", 0.18909423651751245], ["var", 0.17605709041177614], ["possess", 0.17537948411959836]]</t>
  </si>
  <si>
    <t>Italy is playing such an insane football right now #TURITA. #tur will be delighted. Decent half.. Got a #tur pen 1-0 win all over it 😂😂. Penalty check completed in about 2 seconds. Premier League, are you watching? That would've been given in the Premier League. #ita #ITATUR.</t>
  </si>
  <si>
    <t>[["pitch", 0.72053124842114], ["jorginho", 0.6934224686644308]]</t>
  </si>
  <si>
    <t>Jorginho’s broken up play like 6 times in transition this is bread and butter for him. Best player on the pitch. Jorginho is italy's best. locatelli and berardi are the worst. j5 wud finally get the respect he deserves. Jorginho been the best player on the pitch.</t>
  </si>
  <si>
    <t>#ITA 👏 TAKE 👏 YOUR 👏BLOODY 👏 CHANCES 👏. Take Manuel off and bring on Pessina Italy ⭐️⭐️⭐️⭐️. If I was #ITA I would simply take the lead of this game already. Mourinho go take Spinazzola worry waaaaa. Take off Donnarumma and replace him with Belotti. Italy don't need a GK.</t>
  </si>
  <si>
    <t>[["instead", 0.43910144987082533], ["lita", 0.43910144987082533], ["half", 0.33644527290168463], ["handbal", 0.3146854979037725], ["xhaka", 0.3047517584017494], ["spinazzola", 0.2855390015938101], ["domin", 0.2766031202637177], ["ball", 0.27585811899538343], ["that", 0.27412461684131906]]</t>
  </si>
  <si>
    <t>Italy need to get Chiesa on down the right instead of Berardi and they'll win. Italy dominating the ball but they just can’t find that final pass #ITA #TUR. How does a guy named Spinazzola end up becoming a footballer instead of a DJ?😂. EURO 2020. L’#ITA Total Football. Euro 2020.</t>
  </si>
  <si>
    <t>[["pre", 0.6071951859199416], ["park", 0.5501720907108898], ["talk", 0.5090471695227536], ["barella", 0.26362028753365874]]</t>
  </si>
  <si>
    <t>All the pre-match talk about Locatelli and Barella in Italy’s midfield just for Jorginho to be the best player on the park.</t>
  </si>
  <si>
    <t>[["pre", 0.7861113642278019], ["park", 0.3835575372862505], ["talk", 0.35554805694401853], ["jorginho", 0.32939052479715286]]</t>
  </si>
  <si>
    <t>Cesc Fabregas says Jorginho is a good player and part of the reason why he left Chelsea but he’s unsure how he’ll do without N’Golo Kante 👀. All the pre-match talk about Locatelli and Barella in Italy’s midfield just for Jorginho to be the best player on the park.</t>
  </si>
  <si>
    <t>I need Chiesa to come on. Insigne desperately needs a Pen lol😭😭😂😂. Italy need to bring Belotti on. Immobile just doesn't offer enough up front when playing for Italy. No need for 3 CMs here. Take locatelli off put an attacker on. Turkey have no interest in scoring here.</t>
  </si>
  <si>
    <t>[["sub", 1.0]]</t>
  </si>
  <si>
    <t>They subbed off Yazici??? yeah they aren't scoring now lol. Fuck fuck fuck yusuf yazici subbed off fuck go fuck yourself Turkey. 99 pace under is coming on. Good sub.#ITATUR. Why is Di Lorenzo subbed in. WHY DID HE SUB OUT FLORENZI. Cengiz Under good sub from Turkey.</t>
  </si>
  <si>
    <t>[["offsid", 0.8843474839916026], ["corner", 0.46682922740304333]]</t>
  </si>
  <si>
    <t>Imagine practicing and still being offside from a corner 🙄 #TURITA. Berardi is so talented that he can create offside from corner.. #ITATUR. Since when has it been possible to be offside from a corner? #ITATUR. You can’t be offside from a corner! euro 2020 #ITA.</t>
  </si>
  <si>
    <t>Berardi absolute clown. How can you be offside there 😂. The ball didn’t go forward? So it’s not offside? #ITA euro 2020. Since when can you be offside from a corner! #ITATUR. The most stupid offside in football history #TURITA EUROS 2020.</t>
  </si>
  <si>
    <t>[["goal", 1.0]]</t>
  </si>
  <si>
    <t>Kabak should have started ahead of this guy that scored the own goal. It’s an own goal but you see Immobile’s positioning. He could get quite a few goals this tournament. Goooooooooooal #Ita breaks through with a Turkish own goal‼️. Euro 2020.</t>
  </si>
  <si>
    <t>[["demir", 0.9641239283984568], ["gol", 0.2654525394294193]]</t>
  </si>
  <si>
    <t>Ffs demiral’s been their best player too. Spurs linked to Demiral… he then scores an og. Been hit with the Spurs curse. We were linked with this Demiral guy in January?Dont Virgil my Van Dijk😭. Weren't we linked with demiral?😭😭. Italia Turchia Gooooooolll Demiral top.</t>
  </si>
  <si>
    <t>[["demir", 1.0]]</t>
  </si>
  <si>
    <t>Demiral what an awful player. Ffs demiral’s been their best player too. Unlucky Demiral, really like him as a player. GOALLLL ITALY TAKE THE LEAD ITS A DEMIRAL OWN GOAL.</t>
  </si>
  <si>
    <t>[["goal", 0.7815105569557096], ["lead", 0.5140870639520037], ["demir", 0.35349079202149675]]</t>
  </si>
  <si>
    <t>First goal is an own goal. #ITA lead. Italy take the lead via an own goal. 1-0 #ITA #TUR. GOAAAAAAL! WE HAVE OUR FIRST OF EURO 2020. Italy lead through an Own Goal from Demiral! Own Goal leading the golden boot #TURITA EURO 2020. I needed that goal from Immobile.</t>
  </si>
  <si>
    <t>[["locatelli", 0.9606690433327362], ["demir", 0.2776958573370616]]</t>
  </si>
  <si>
    <t>What a ball from locatelli to Barella👏👏👏. That goal was all locatelli btw. Incredible splitting pass. What a pass Locatelli to start the move 👏🏻 EUROS 2020. The first goal of UEFA EURO 2020 goes the way of #ITA as Demiral puts Berardi's cross through his own net! Euro 2020.</t>
  </si>
  <si>
    <t>[["demir", 0.7779192739064592], ["goal", 0.6283642282027577]]</t>
  </si>
  <si>
    <t>Was praising demiral 😭. finally a goal to set the deserved leaders up. An own goal from Merih Demiral opens the scoring finally. Demiral is in my fantasy football team 😭. #ITA have been knocking on the door all match and finally get a goal through a Demiral own goal. EURO 2020.</t>
  </si>
  <si>
    <t>[["defend", 0.8300670823317379], ["demir", 0.5576635534345742]]</t>
  </si>
  <si>
    <t>Lol what was that defender doing see how Berardi just went past him. Best thing Demiral has done for me 💪🏽. Juventus defender Demiral scores for Italy! But in Turkish colours | 0-1 #ITA. Demiral been clarse all game by why is he trying to defend that with his chest.</t>
  </si>
  <si>
    <t>[["demir", 0.5879425920229397], ["net", 0.5460400897554358], ["berardi", 0.42200997395849593], ["goal", 0.4219849650695771]]</t>
  </si>
  <si>
    <t>GOAAAL! 1-0 ITALY! Merih Demiral puts it into his own net. Euro 2020. OOF.. 0-1 to #ITA as Demiral chests a Berardi cross into his own net.. Goal was surely coming.. #TURITA. Berardi should really have shot there on his own.</t>
  </si>
  <si>
    <t>[["merih", 0.728832549337662], ["deserv", 0.6846919855131682]]</t>
  </si>
  <si>
    <t>Finally the deadline is broken through an OG. #ITA take a well deserved lead. Euro 2020. Goal!!!! 🇮🇹 1 - 0 🇹🇷. A Merih Demiral own goal gives Italy a deserved lead. EURO 2020 #TURITA. Italy deserve that, Turkey need to come out and start playing now euro 2020 #ITATUR.</t>
  </si>
  <si>
    <t>[["spinazzola", 0.43659742773438637], ["juventu", 0.43638797732046986], ["juve", 0.4303742321042455], ["demir", 0.3981463310316411], ["goal", 0.37100306558387564], ["player", 0.37089414136645044]]</t>
  </si>
  <si>
    <t>A Juventus player (Demiral) scores a goal, but it's not for his home country. It's an own goal and Italy lead. Italy 1-0 Turkey. 🔥🔥💪💪💙💙At least Juve players know what justice is... thanks Demiral... you are a real Juve player 🖤🤍.</t>
  </si>
  <si>
    <t>[["cross", 0.639607937967577], ["initali", 0.5165557093782154], ["deflect", 0.5088141454121907], ["strike", 0.2553038390351679]]</t>
  </si>
  <si>
    <t>Goal: Italy 1, Turkey 0. Demiral turned Locotelli’s cross into his own net. euro 2020. Corridor of uncertainty from Berardi, what a cross. Tagliatelle with a great cross for Rigatoni #ITATUR. Berardi's cross deflects in—Italy strike first at EURO 2020.</t>
  </si>
  <si>
    <t>[["initali", 0.5969832299330281], ["deflect", 0.5012916435168124], ["strike", 0.4757623905918256], ["cross", 0.40739153037010184]]</t>
  </si>
  <si>
    <t>Demiral finds himself in a difficult situation as Berradi's shot is deflected off him into Goal. ITALY takes the lead ! #ITA #TUR. Insigne cuts in and tries to curl one, this time it takes a deflection over. 0-1 (57) Berardi's cross deflects in—Italy strike first at EURO 2020.</t>
  </si>
  <si>
    <t>[["confus", 0.47145356790673243], ["pitch", 0.4482266924413122], ["juventu", 0.39321399742186486], ["best", 0.3892980225903981], ["happen", 0.3709755038732957], ["teammat", 0.3647346197659486]]</t>
  </si>
  <si>
    <t>What a GK is Gigi Donnarumma. No doubt he will be top 3 of best keepers in the current decade.. Spinazzola best player on the pitch behind Jorginho so far today. Not even the best berardi. Demiral got confused seeing his Juventus teammates on the pitch. Happens to the best.</t>
  </si>
  <si>
    <t>[["insign", 0.7738648448055601], ["need", 0.633350773248179]]</t>
  </si>
  <si>
    <t>Insigne i needed you to score that. Sub Insigne 🤷 EURO 2020. Come on Insigne I need points mf. Insigne's instinctive need of a cut-back is really bad. Need chiesa in for insigne #soon. Berardi i beg my team needs you. Insigne closeeee to a second goal for #ITA.</t>
  </si>
  <si>
    <t>Insigne trash player. Arsenal should look at Insigne. Amazing player. Insigne or Immobile are getting the next goal for Italy, they’ve been the best players on the pitch. What's with insigne and taking a shot every INSTANT?? Is there a player shorter than Insigne?😹.</t>
  </si>
  <si>
    <t>Insigne shot. Absolute scenes here when turkey equalise with their first shot #TURITA euro 2020. Locatelli just had a shot…. surely that just shows turkey are not dark horses. Chiellini shot. 14 shots later, #ITA finally open the scoring in EURO 2020..</t>
  </si>
  <si>
    <t>[["breakthrough", 1.0]]</t>
  </si>
  <si>
    <t>🇮🇹 Italy make the breakthrough in the opener via a Merih Demiral own goal ⚽️. EURO 2020.</t>
  </si>
  <si>
    <t>[["berardi", 1.0]]</t>
  </si>
  <si>
    <t>Berardi does NOT know how to play football. Berardi is not a serious footballer. Berardi is not a real footballer man. How is Berardi an international footballer 😂😂. Berardi is an IDEA footballer. Ppl say Italy are winning the tournament with this Berardi guy on the wing….</t>
  </si>
  <si>
    <t>That line breaking pass from Locatelli. ITALY DO YOU WANT TO PASS TO FUCKING IMMOBILE??? Berardi should have passed there. Locatelli’s pass to barella. led to the goal. Why didn’t he pass to Locatelli i need fantasy points 😭. Berardi selfish easy pass to locatelli that enuh.</t>
  </si>
  <si>
    <t>[["chiesa", 1.0]]</t>
  </si>
  <si>
    <t>Nahhh, this game needs Chiesa. Insigne de do nonsense walai. Chiesa for Berardi is so needed. Chiesa needs to replace this berardi. Chiesa and cristante needed bad. Need Chiesa on. Time to sub Chiesa in. Bring on Chiesa please I need some fantasy points. Chiesa needed so bad.</t>
  </si>
  <si>
    <t>This Berardi player is making a mockery out here. Who joined me on that Berardi hype train? First player to get points on the board in EURO fantasy 2020!! 💙. Berardi warra player. TAKE BERARDI OFF NOW. All three Italy players in the box when Berardi shot that ball EURO 2020.</t>
  </si>
  <si>
    <t>[["lorenzo", 0.7380243423001359], ["next", 0.5081331983198443], ["sub", 0.4439827957676934]]</t>
  </si>
  <si>
    <t>Italy's next sub warming up #TURITA. The impact Di Lorenzo has had since half time is crazy????? Always providing an option!!! The energy and dynamism di lorenzo has brought on that right flank. Needed. Di lorenzo needs to start in the next game. Why is Chiesa not subbed in yet ?</t>
  </si>
  <si>
    <t>[["scene", 0.8043359727643139], ["lead", 0.5941747578930672]]</t>
  </si>
  <si>
    <t>A Juventus player (Demiral) scores a goal, but it's not for his home country. It's an own goal and Italy lead. Italy 1-0 Turkey. 🇮🇹 Scenes after Italy take lead in the Group A opener against Turkey! ⚽️. #ITA EURO 2020.</t>
  </si>
  <si>
    <t>[["lead", 0.7870863746463225], ["scene", 0.6168427991361405]]</t>
  </si>
  <si>
    <t>Is Merih Demiral currently in the lead for the golden boot? EURO 2020. Personally think Jorginho should be leading the goalscoring table with that handball. 🇮🇹 Scenes after Italy take lead in the Group A opener against Turkey! ⚽️. #ITA EURO 2020.</t>
  </si>
  <si>
    <t>[["immobil", 1.0]]</t>
  </si>
  <si>
    <t>Immobile to score a few this tournament calling it now. So happy for immobile, deserves that goal to silence all his haters. Immobile finally gets a big goal. Turkey have been shocking. Immobileeeeee Spinazzola assist ffsss doesnt have both in my team.</t>
  </si>
  <si>
    <t>Gol de #ITA ⚽️⚽️. Gol de #Ita 2-0. Gol T-Mobile #TURITA #strefaeuro. GOOOL #ITA Insigne ⚽️. ¡Gooool de #ITA! Goool de Italia 2-0 #ITA. Gooool de Italia 🇮🇹. #TUR 0-2 #ITA. Gol de #ITA. Immobile fede a gol. Gollllllllll immobile. GOOOL. #TUR 0 x 2 #ITA. Gooooollll de #ITA.</t>
  </si>
  <si>
    <t>Immobile is a poorly named footballer EURO 2020. IMMOBILE FINALLY. Immobile will win golden boot and best player btw. Immobile! Game over, that’s proper football👏. Immobile finally gets his goal 👏🏾. YES IMMOBILE fantasy league points 😎. Wooooo Immobile! Fantasy football rules!</t>
  </si>
  <si>
    <t>Immobile scores the second and it's game, set and match. euro 2020. Quick reaction for the 2nd by Immobile. Proving again that he's not immobile in the least. Turkeyvs Italy. Immobile with the goal from rebound and Italy is leading 2-0! EURO 2020.</t>
  </si>
  <si>
    <t>[["immobil", 0.7885616068923249], ["spinazzola", 0.5635506316720973], ["barella", 0.24613264244584596]]</t>
  </si>
  <si>
    <t>Immobile will win golden boot and best player btw. Immobile is a class player GS 0-2 game over. Immobile tap in for my Fantasy team I take it. Immobile deserved that goal. What a player. Barella is such a good player man. Spinazzola has this Turkey team on their knees.</t>
  </si>
  <si>
    <t>Immobile is class. Very very surprised that Immobile isn’t one of the strikers that we are looking at. He grantees you goals no matter what. Immobile. My strikerrrrrrrrre🔥🔥. People say #ITA don’t have a proper striker. Immobile is good enough to help them go very far.</t>
  </si>
  <si>
    <t>[["move", 0.504063097450516], ["turkish", 0.44183230672359275], ["bestyouunfollowmenowtbh", 0.4259724139141026], ["didnt", 0.33741956717830124], ["save", 0.3276775276814003], ["cakir", 0.2838370803849196], ["immobil", 0.21665685407014476], ["defend", 0.1432616558221322]]</t>
  </si>
  <si>
    <t>What a save! Spinazzola deserved that goal but we move! Amazing save from Cakir but Immobile tucks it home. Immobile doing what he does best. Score goals. 2-0 Italy vs turkey EURO 2020. The Turkish defenders didn’t move… it was almost as if they. #bestyouunfollowmenowtbh.</t>
  </si>
  <si>
    <t>[["barella", 1.0]]</t>
  </si>
  <si>
    <t>All from Barella that little turn and quality pass foward in midfield. Warra pass from barella under pressure blud. That Barella pass. Just give the ball to Barella. Barella’s trivela pass to escape the press in the buildup to that goal was sexy af.</t>
  </si>
  <si>
    <t>[["footbal", 1.0]]</t>
  </si>
  <si>
    <t>What a great name for a footballer: "Immobile". 😀 Euro 2021. Spinazzola is a Footballer. Barella makes football look so easy. Proper lad! I hate football Football 😶. #TURITA. Jorginho is a world class footballer👍. Calhanoglu is a useless footballer.</t>
  </si>
  <si>
    <t>[["cruis", 1.0]]</t>
  </si>
  <si>
    <t>Jorginho will not even need his kit washed, the man is in absolute CRUISE CONTROL. #TURITA. Italy cruise into a 2️⃣➖0️⃣ lead 🛵 #ITA.</t>
  </si>
  <si>
    <t>[["time", 0.8144924509543539], ["full", 0.5801741525941755]]</t>
  </si>
  <si>
    <t>#TUR players at full time.</t>
  </si>
  <si>
    <t>[["lead", 0.9501943974249826], ["ciro", 0.3116578365807192]]</t>
  </si>
  <si>
    <t>🇮🇹 Italy on top! Immobile follows up an own goal to give them a commanding lead over Turkey. #TURITA EURO 2020. Italy lead 0-2 after Immobile scores his first of the tournament from close range. ITALY LEAD 2-0! 🇮🇹. Ciro Immobile with his first goal of EURO 2020 💥.</t>
  </si>
  <si>
    <t>[["fire", 0.9479916910241855], ["ciro", 0.3182950733974767]]</t>
  </si>
  <si>
    <t>2-0 Italy. Ciro Immobile doubles the lead!. Ciro Immobile doubles the lead for Italy ❤️🔥. EURO 2020 #ITA. ITALY LEAD 2-0! 🇮🇹. Ciro Immobile with his first goal of EURO 2020 💥. 📸 Immobile fires in second for Italy against Turkey ⚽️. EURO 2020.</t>
  </si>
  <si>
    <t>[["locatelli", 1.0]]</t>
  </si>
  <si>
    <t>Locatelli, what a player. Locatelli - De Paul - Partey. Midfield goes from ass to class. I'm on my knees Arsenal. Locatelli is a quality player. How dare Mancini take off Locatelli 😂. Locatelli goes off for Cristante. Both Milan Ex Players 🥺.</t>
  </si>
  <si>
    <t>[["14th", 1.0]]</t>
  </si>
  <si>
    <t>🇮🇹 Ciro Immobile celebrates his 14th international goal for Italy ⚽️. EURO 2020.</t>
  </si>
  <si>
    <t>Jorginho has turned into some player since tuchel came in. Jorginho with samba magic what a player. What a player jorginho is. Cesc Fabregas says Jorginho is a good player and part of the reason why he left Chelsea but he’s unsure how he’ll do without N’Golo Kante 👀.</t>
  </si>
  <si>
    <t>Oh Jorginho have mercy, sheer class. Jorginho looking like a world beater tonight… weird. Jorginho has been class tonight. Jorginho is genuinely one of the best midfielders in world football what a joy to watch man. Jorginho is world class suck my dick if you disagree Idc.</t>
  </si>
  <si>
    <t>What version of jorginho is this?!! 👀😲🙆... He's playing too many forward passes 😭😭😭. Jorginho with good skill and spinazola just had a heavy touch. Wat a pass from Jorginho. Great pass by Jorginho there, wasted. Jorginho really balling for this Italian team.</t>
  </si>
  <si>
    <t>[["regista", 1.0]]</t>
  </si>
  <si>
    <t>JORGINHO THE BEST REGISTA IN THE WORLD ‼️‼️‼️.</t>
  </si>
  <si>
    <t>[["insign", 0.6629586108982588], ["pitch", 0.602862422585251], ["spinazzola", 0.4438950097382187]]</t>
  </si>
  <si>
    <t>How has Insigne managed to be the worst player on the pitch in a game where the opposition have touched the ball about 4 times. Spinazzola and Immobile are the only players playing football tonight. Insigne is the best player in the world.</t>
  </si>
  <si>
    <t>[["insign", 0.6080250486281322], ["win", 0.5082490302837439], ["final", 0.43329079361291417], ["spinazzola", 0.42924066865417404]]</t>
  </si>
  <si>
    <t>FT are finally realizing how good Leonardo Spinazzola really is.. If Italy will win the euros insigne surely should win the ballon d'or right?!?!?!?!?!?!?!? Insigne finally scores one of them after 63826 attempts. Insigne finally gets his goal. Been their best attacker.</t>
  </si>
  <si>
    <t>Finally insigne actually scores a far corner placed shot lmao, doing that all day. Some goal from Italy there, lovely finish by insigne too! Only took 100 chances for Insigne to score, can't wait for fans to want him in next. Insigne been the mvp of this game, well deserved goal.</t>
  </si>
  <si>
    <t>Um gol "alla Insigne". Merecia. Goooooooooooooooooooooooooooooooooooooooooooooool de #Insigne. Gol de #Ita 3-0. Goooooool chaparrito Insigne. Gol de Italia Insigne 0-3 Eurocopa 2020. GOOOOOOOOOOOOOOL!!!!!!!!!!!!!!! 🇮🇹. Italshow. Ita Tur. Goooool de Italia 🇮🇹. #TUR 0-3 #ITA.</t>
  </si>
  <si>
    <t>Insigne needs to come to the prem!!!!!! Goal Insigne! Italy now lead Turkey 3-0! 🇮🇹. INSIGNE should have done this in the first half. Seconds later insigne scores 🤦‍♂️ #TURITA. Insigne needed to score after all the short jokes 😭 happy for the guy.</t>
  </si>
  <si>
    <t>[["keeper", 0.870163019811971], ["insign", 0.40830858745806997], ["defend", 0.2758630391330216]]</t>
  </si>
  <si>
    <t>Madness from Turkey keeper.. you've been the only decent player. #TURITA. Chiellini is one of the all time great central defenders 👏 Euro 2021. What a goal from Insigne.. The keeper had no chance... Oh Insigne scored. Lol what was that from the keeper.</t>
  </si>
  <si>
    <t>[["pass", 0.857263634340828], ["insign", 0.5148777148379557]]</t>
  </si>
  <si>
    <t>Just passed home. That's just quality from Insigne. euro 2020. Italy’s passing is a joy to watch. #ITA Euro 2020. That is some awful pass from the Turkish goalkeeper. Euro 2020 #TUR. Lorenzo Insigne what a goal but that Immobile pass 🔥🔥🔥🔥🔥🔥🔥. Euro 2020.</t>
  </si>
  <si>
    <t>[["finess", 0.8663323753650802], ["insign", 0.49946793229825864]]</t>
  </si>
  <si>
    <t>Lovely audible net-ripple with that Insigne goal. euro 2020. With that finesse into the corner Insigne has just become the archetype Pro Clubs Winger. Insigne with an excellent finesse finish into the right corner of the net. 3-0 Italy. Insigne with the finesse shot 🔥 0-3 Italy.</t>
  </si>
  <si>
    <t>Insigne was about to be subbed. Oh well it's a game of luck afterall. Phew, Got my Insigne goal just before he got subbed off. Aloooo immobile sub off ☹️. Immobile subbed off 😓. EURO 2020 #ITA. 😭😂Chiesa getting subbed on. I HAD FUCKING INSIGNE BUT SUBBED HIM OUT I WANNA DIE.</t>
  </si>
  <si>
    <t>[["jorginho", 0.5800904676660934], ["seen", 0.2855212459901395], ["chiesa", 0.28071299866846156], ["champion", 0.27251699053337286], ["ive", 0.2622908351791665], ["enough", 0.25881440002408124], ["footbal", 0.24811741351125235], ["well", 0.22760728469415595], ["carri", 0.1572767333765211], ["good", 0.14513684873796381], ["form", 0.1344429195810937], ["win", 0.1282974328660689], ["deadars", 0.1273384033277742], ["nut", 0.1265446277775952], ["nah", 0.12611164383469792], ["espn", 0.12508403192000533], ["treat", 0.11268597090396505], ["that", 0.10964685020525583], ["first", 0.1045156824955586]]</t>
  </si>
  <si>
    <t>I’ve got Insigne to win the golden boot so kinda wish he’d stayed on. Kebab is not football and is the worst food I ever seen. Bizim Cocuklar #tur. Jorginho has carried on his good form from the Champions League. Playing well for Italy against Turkey. Euro 2021.</t>
  </si>
  <si>
    <t>[["leagu", 1.0]]</t>
  </si>
  <si>
    <t>Immobile for Lazio: 177 games. 123 goals. 33 assists. All league #ITA. Jorginho has carried on his good form from the Champions League. Playing well for Italy against Turkey. Euro 2021.</t>
  </si>
  <si>
    <t>[["curl", 0.5694209295137167], ["lorenzo", 0.4672008523307692], ["corner", 0.4611364261738405], ["uber", 0.33035297178306955], ["possess", 0.268356953047364], ["insign", 0.2523644682874067]]</t>
  </si>
  <si>
    <t>Lorenzo Insigne showing the type of finishing that you'd expect from a potential Silver Ball award winner. Insigne gave out his car to deliver the ball. Insigne's Uber had more ball possession than Turkey. Lorenzo Insigne curling the ball into the far corner first time. Clean 😎.</t>
  </si>
  <si>
    <t>[["curl", 0.7971423798051033], ["lorenzo", 0.6037913764858325]]</t>
  </si>
  <si>
    <t>Lorenzo Insigne curling the ball into the far corner first time. Clean 😎.</t>
  </si>
  <si>
    <t>[["bernardeschi", 0.8923061359163369], ["barella", 0.45143079182312723]]</t>
  </si>
  <si>
    <t>Bernardeschi in, 4 Juve players on pitch for Italy.. #ITA. Bernardeschi wallah you're not a player. Bernardeschi is so bad I can’t take it. Barella. What a player. Bernardeschi and castillejo are the same player. Bernardeschi is by far the worst player on #ITA.</t>
  </si>
  <si>
    <t>[["bernardeschi", 0.7365419375775898], ["barella", 0.6763918791569351]]</t>
  </si>
  <si>
    <t>It’s painful watching Bernardeschi play football. Bernardeschi is lucky we are 3-0 , oml he’s pissing me off and we are winning ffs. Barella is a smashing footballer. In the Premier League that's a red card for that foul on Barella. Barella broken tibia? A win in my book.</t>
  </si>
  <si>
    <t>[["lose", 0.6082789276888823], ["manag", 0.5297789049853456], ["jorginho", 0.4840829856514429], ["barella", 0.2566618741839107], ["prop", 0.22162897668260578]]</t>
  </si>
  <si>
    <t>In Football Manager Italy lose this game 1-0 #TURITA. Jorginho prop, finally. Barella broken tibia? A win in my book. Jorginho and Barella absolutely class controlling the tempo of the game from the midfield in this game. Brilliant football.</t>
  </si>
  <si>
    <t>[["first", 0.5821952345162918], ["time", 0.5814339030741992], ["three", 0.4459351894814676], ["game", 0.35231396799523934]]</t>
  </si>
  <si>
    <t>Lorenzo Insigne’s last 12 games for Italy: Goals: 5 ⚽️. Assists: 7 🎯. EURO 2020 #ITA. ITALY LEAD 2-0! 🇮🇹. Ciro Immobile with his first goal of EURO 2020 💥. 🇮🇹 Italy score THREE in a EURO game for the first time! ⚽️⚽️⚽️. #ITA EURO 2020.</t>
  </si>
  <si>
    <t>[["tackl", 0.7191038599989842], ["chiellini", 0.6949026108272738]]</t>
  </si>
  <si>
    <t>All those years of experience from chiellini there, what a tackle. Chiellini lunging in for tackles like he's not been 36 for the last 3 tournaments. 📸 - Wonderful tackle from Chiellini to deny Yilmaz from scoring there... Chiellini celebrating a tackle 3-0 up. Love to see it.</t>
  </si>
  <si>
    <t>[["chiellini", 0.7112097452645724], ["defend", 0.7029798704377688]]</t>
  </si>
  <si>
    <t>Chiellini body on the line man. My type of defender. That’s why Chiellini is one of my all time favourite defenders Euro 2020. People talk about defenders having pace…. I say Chiellini 🇮🇹. Chiellini at 50 is more agile than our in prime defenders 😭😭.</t>
  </si>
  <si>
    <t>[["chiellini", 0.47158693472610563], ["eas", 0.47158693472610563], ["delight", 0.43745979437790244], ["worst", 0.35566303389985104], ["nico", 0.3456730713386935], ["feet", 0.34329926938830335]]</t>
  </si>
  <si>
    <t>Mancini win will be delightful. Nico barella makes football look so easy. This keeper has the worst feet I've ever seen. Like his first day with a football at his feet! 🤦 #TUR #ITATUR. 28 matches unbeaten. Eased to a 3-0 win on the opening day of EURO 2020. #ITA are all business..</t>
  </si>
  <si>
    <t>[["chiellini", 1.0]]</t>
  </si>
  <si>
    <t>WHAT A TACKLE BY CHIELLINI BEST DEFENDER IN THE WORLD. Chiellini is class. Chiellini is still going crazy, pure class. Chiellini is absolutely world class. What a player. Shows age does not matter. Chiellini class. Proper centre half even though he's ancient.</t>
  </si>
  <si>
    <t>[["chiellini", 0.8248538592149846], ["spinazzola", 0.5653460099250247]]</t>
  </si>
  <si>
    <t>Giorgio Chiellini, take a fucking bow! Euro 2020. Chiellini what a player, like wine better with EURO 2020. What a player Chiellini still is #ITA. Chiellini taking goal kicks is exactly the sort of thing the Euros is all about. Spinazzola football player of the day.</t>
  </si>
  <si>
    <t>[["kebabi", 1.0]]</t>
  </si>
  <si>
    <t>Burak Yilmaz vs Italie | 11/06/21 | Euro 2021 | Skills and Highlight | The best Kebabier in the world 🔥🔥🔥.</t>
  </si>
  <si>
    <t>[["cook", 0.7535607054107276], ["jorginho", 0.6573783258222671]]</t>
  </si>
  <si>
    <t>Jorginho what a player. Jorginho is an extremely intelligent player. Cesc Fabregas says Jorginho is a good player and part of the reason why he left Chelsea but he’s unsure how he’ll do without N’Golo Kante 👀. Jorginho was cooking tonight, star player.</t>
  </si>
  <si>
    <t>[["might", 0.9490546334417663], ["joy", 0.31511157189591504]]</t>
  </si>
  <si>
    <t>Jorginho might win the euros for Italy aw by himself. Chiellini's joy at saving the clean sheet with that tackle in the final minute might have been even better than Italy's goals.</t>
  </si>
  <si>
    <t>#TURITA-v15-b0.6-e0.6-grouped-split</t>
  </si>
  <si>
    <r>
      <rPr>
        <rFont val="Arial"/>
        <u/>
      </rPr>
      <t>The Guardian</t>
    </r>
    <r>
      <rPr>
        <rFont val="Arial"/>
        <u/>
      </rPr>
      <t xml:space="preserve">, </t>
    </r>
    <r>
      <rPr>
        <rFont val="Arial"/>
        <u/>
      </rPr>
      <t>BeSoccer</t>
    </r>
    <r>
      <rPr>
        <rFont val="Arial"/>
        <u/>
      </rPr>
      <t xml:space="preserve">, </t>
    </r>
    <r>
      <rPr>
        <rFont val="Arial"/>
        <u/>
      </rPr>
      <t>BeSoccer (live)</t>
    </r>
    <r>
      <rPr>
        <rFont val="Arial"/>
        <u/>
      </rPr>
      <t xml:space="preserve">, </t>
    </r>
    <r>
      <rPr>
        <rFont val="Arial"/>
        <u/>
      </rPr>
      <t>LiveScore</t>
    </r>
    <r>
      <rPr>
        <rFont val="Arial"/>
        <u/>
      </rPr>
      <t xml:space="preserve">, </t>
    </r>
    <r>
      <rPr>
        <rFont val="Arial"/>
        <u/>
      </rPr>
      <t>BBC</t>
    </r>
  </si>
  <si>
    <t>TOpic</t>
  </si>
  <si>
    <t>Under for Yazici</t>
  </si>
  <si>
    <t>Di Lorenzo for Florenzi</t>
  </si>
  <si>
    <t>Demiral (own goal)</t>
  </si>
  <si>
    <t>Ayhan for Tufan</t>
  </si>
  <si>
    <t>Kahveci for Yokuşlu</t>
  </si>
  <si>
    <t>Immobile</t>
  </si>
  <si>
    <t>Cristante for Locatelli</t>
  </si>
  <si>
    <t>Dervisoglu for Karaman</t>
  </si>
  <si>
    <t>Insigne</t>
  </si>
  <si>
    <t>Chiesa for Insigne</t>
  </si>
  <si>
    <t>Belotti for Immobile</t>
  </si>
  <si>
    <t>Bernardeschi for Berardi</t>
  </si>
  <si>
    <t>Söyüncü</t>
  </si>
  <si>
    <t>Dervisoglu</t>
  </si>
  <si>
    <t>That ball from Xhaka was 👌 shame it was offside. That would have been a beauty if Saka wasn’t offside- damn #SOUARS. Offside but what a pass from Xhaka tho ffsss. Saka to Nketiah goal but it was offside my heart is on fire 😭😭😭😭😭.</t>
  </si>
  <si>
    <t>[["xhaka", 0.8187818604300193], ["pass", 0.42007348343543016], ["offsid", 0.3913240773900576]]</t>
  </si>
  <si>
    <t>What a pass from Xhaka man. Missed him so much. Offside but that's what Granit Xhaka is in the side for. What a ball. What a pass from Xhaka to Saka 👏👏too bad ended up with a disallowed goal. See that pass from Xhaka there? that’s why he starts.</t>
  </si>
  <si>
    <t>[["tierney", 1.0]]</t>
  </si>
  <si>
    <t>Aubz hits the bottom of the bar after a glorious ball from tierney fuck me. That was a great ball from Tierney. Super pass from Tierney but Aubameyang hit the cross bar with his shot. He was quite unlucky! Tierney what a pass 👏🏾 Auba should of finished that.</t>
  </si>
  <si>
    <t>[["score", 1.0]]</t>
  </si>
  <si>
    <t>Nketiah scores but Saka had strayed just offside playing him in. Aubameyang should score that.. Will he get 50 before leaving? 😂. Arsenal need to behave, they want to score sha!😳😳. Missing you like Arsenal are missing the chances to score. Auba should have scored that #SOUARS.</t>
  </si>
  <si>
    <t>[["book", 1.0]]</t>
  </si>
  <si>
    <t>Mustafi booked! 👏. But instant booking for Arsenal, ducking ridiculous. So mustafi gets booked for that but hjoberg didnt get book for stopping pepe in full flow. Refs love booking an Arsenal player. Booking? First foul of the game by an Arsenal player. Absolutely.</t>
  </si>
  <si>
    <t>[["mustafi", 1.0]]</t>
  </si>
  <si>
    <t>Hahaha fuck off mustafi booked first tackle, what about hojberg... ah can’t stand it already. What a joke, Mustafi gets the yellow card !!! Fcuk off Premier League you corrupt bunch of c^*ts with the PGMOL. How is that a yellow for Mustafi but not Hojeberg?</t>
  </si>
  <si>
    <t>Booking? First foul of the game by an Arsenal player. Absolutely. Refs love booking an Arsenal player. Booking? Deliberate Foul on an Arsenal player stopping a break. Ah ok. No, then. Refs are banter. How has mustafi got booked but not their player 🤨.</t>
  </si>
  <si>
    <t>[["want", 0.7892201100435504], ["see", 0.6141104281013684]]</t>
  </si>
  <si>
    <t>Mustafi is still the worst defender in the league I see. Southampton win is imminent. You can see it. People are finally seeing what Xhaka offers 🤐. Liverpool want Chelsea to win. Manchester Utd want Chelsea to lose and. Arsenal dont even know what they want...</t>
  </si>
  <si>
    <t>[["knee", 0.712563562135387], ["injur", 0.7016075611885384]]</t>
  </si>
  <si>
    <t>Saka done his knee I’m fucking done. Southampton I’m on my knees. Physio has mask on while talking to injured Saka whereas on the touchline Arteta speaking to players without mask 😂. Another Arsenal player injured?. Better be taking the piss if Saka goes off injured.</t>
  </si>
  <si>
    <t>[["saka", 0.7181224239628435], ["injur", 0.6959167940219073]]</t>
  </si>
  <si>
    <t>I swear to jesus if saka is injured i may actually finally give up. If saka gets injured I’m finished with football. If Saka is injured here I'm never watching football again. Saka down. Stop the league!</t>
  </si>
  <si>
    <t>Take note Tottenham Arsenal #CFC. Only one team in London to win the European Cup 🏆🔵. Always the same you take Aubameyang out he looks sharp! #FPL. Why isn’t Pepe taking it. Ceballos takes too long to think. My goodness.</t>
  </si>
  <si>
    <t>Our midfield has been fluent in its passes and we actually do pass forward. Xhaka is back. Can in just say that Tierney pass earlier was amazing. Can you do the arsenal battle pass thing in vip servers. Has ceballos ever played a pass like xhaka did to Saka in his life?</t>
  </si>
  <si>
    <t>[["final", 0.6924092608397376], ["sweet", 0.5171364456108166], ["slander", 0.5031295182399645]]</t>
  </si>
  <si>
    <t>Hope saka doesn’t pull off some cr7 euro final vibes throughout this match. He looks in a lot of pain whoever he runs 😢. God let Southampton win make arsenal slander sweet tonight.. I’ve finally made the bench for Arsenal. Always knew I’d make it one day.. Finally arsenal 💪🏽😅.</t>
  </si>
  <si>
    <t>[["lead", 1.0]]</t>
  </si>
  <si>
    <t>Arsenal lead. Arsenal takes the lead. Eddie Nketia. Southampton GL error leading to a goal from Arsenal striker. Giroud memories are coming back. Nketiah capitalised on Southampton goalkeeper's error to give Arsenal the lead. Nketiah 1-0. Horror for McCarthy. #AFC lead.</t>
  </si>
  <si>
    <t>[["keeper", 1.0]]</t>
  </si>
  <si>
    <t>Southampton got a curse with these keepers. Wow, what a stupid goal keeper man 1-0 arsenal. What was the keeper doing? Deffo an arsenal fan! Thats a giveaway from the Soton keeper 😂😂 #SOUARS. If that was Lacazette, the keeper would of caught him up.</t>
  </si>
  <si>
    <t>[["main", 0.748845197554566], ["event", 0.5995671834214537], ["gol", 0.23091068213889318], ["sky", 0.16257404324700497]]</t>
  </si>
  <si>
    <t>20'/1º - GOOOOOOOOOOOOOOOOOOOOOOOOOOOOL DO ARSENAL! Edward Nketiah. Southampton 0x1 Arsenal. OH esse gol do arsenal KKKK. O gol do arsenal ??????? WTF MCCARTHY. Gol do Arsenal. GOAL! Southampton 0-1 Arsenal (Nketiah, '20) Watch live on Sky Sports Main Event now or follow below!</t>
  </si>
  <si>
    <t>[["mccarthi", 0.6808812724949895], ["tap", 0.6398944911254899], ["alex", 0.2913629277012204], ["clearanc", 0.2050448179160542]]</t>
  </si>
  <si>
    <t>Lmaooo where was McCarthy passing to. McCarthy gets caught on the ball, Nketiah blocks his clearance and taps into an empty net. 1-0 to the Arsenal. Alex McCarthy appreciation tweet! 👏. The most vital of touches from Alex McCarthy to deny Aubameyang!.</t>
  </si>
  <si>
    <t>[["caught", 0.6257389492384522], ["net", 0.38208650444315695], ["clearanc", 0.3749010298182818], ["empti", 0.34849144251139896], ["tap", 0.32973984233324977], ["mccarthi", 0.302878258123502]]</t>
  </si>
  <si>
    <t>McCarthy’s been asking for that since kick off. #Arsenal go up 1-0! Nketiah takes it off Alex McCarthy's foot and walks it into the empty net. McCarthy gets caught on the ball, Nketiah blocks his clearance and taps into an empty net. 1-0 to the Arsenal.</t>
  </si>
  <si>
    <t>[["striker", 1.0]]</t>
  </si>
  <si>
    <t>Nketiah is the best striker in the prem. Very good strikers play from Nketiah. Arsenal have deserved that. If there was a match between Arsenal and super strikers would Arsenal win oba🤔. Nketiah is the best 3rd striker in #FPL. Arsenal striker scored but it wasn’t Aubameyang???.</t>
  </si>
  <si>
    <t>[["bellerin", 1.0]]</t>
  </si>
  <si>
    <t>Football is Bellerin’s second option lmao I’ll keep saying this. Man is a fashionista at heart. AMN needs to grow up take this Bellerin guys place. Bellerin needs to do better 🙄. Bellerin is half the player he was pre-injury. And a full time woke activist. Shame.</t>
  </si>
  <si>
    <t>[["lead", 0.7218889062587147], ["atroci", 0.3654660307058474], ["leagu", 0.34992834639211995], ["bellerin", 0.3426397046316425], ["spade", 0.3247447807462444]]</t>
  </si>
  <si>
    <t>Ole looking for Arsenal in the Premier League. Arsenal is leading.... Possibly winning this. 😎😎😎. Bellerin is an atrocious footballer. Bellerin is the worst right back in the league. Let’s call a spade a spade guys, since football restarted, Bellerin has been straight trash.</t>
  </si>
  <si>
    <t>[["bellerin", 0.7845430404932171], ["howler", 0.620074364583522]]</t>
  </si>
  <si>
    <t>AMN needs to grow up take this Bellerin guys place. Bellerin is half the player he was pre-injury. And a full time woke activist. Shame. Bellerin is one finished player. When there’s a defensive howler in the Arsenal game but it isn’t made by an Arsenal player.</t>
  </si>
  <si>
    <t>Bellerin can’t seem to kick a ball these days. Bellerin has been so wasteful on the ball so far. Dear God ! The fuck has happened to Bellerin ?! Need to take him off. Not even 25 mins, already given the ball away 50 times. Does Bellerin know he can pass it to Pepe if he wants?</t>
  </si>
  <si>
    <t>[["dubravka", 0.4753768837517815], ["season", 0.4486522710927083], ["eddi", 0.4170751597566797], ["lacazett", 0.40900662356252143], ["martin", 0.2318365494974662], ["nketiah", 0.2301187676908884], ["error", 0.21608855505545344], ["enough", 0.203892456606066], ["suffer", 0.19110369075570394]]</t>
  </si>
  <si>
    <t>Arsenal need to win this.., their fans have suffered enough! Eddie Nketiah with more away Premier League goals this evening than Lacazette has this season. Only Martin Dúbravka (5) has committed more errors leading to goals in the Premier League this season than Alex McCarthy (3).</t>
  </si>
  <si>
    <t>Calm down Xhaka fan boys, he’s touched the ball twice. Has Pepe touched the ball yet? Err ings that touch was dirty. Has Pepe had a single touch? Alex McCarthy appreciation tweet! 👏. The most vital of touches from Alex McCarthy to deny Aubameyang!. That touch from Ings 😍.</t>
  </si>
  <si>
    <t>[["angri", 0.7394988490491562], ["partner", 0.6731578212090931]]</t>
  </si>
  <si>
    <t>Arsenal are winning and DT is still so fucking angry😭. Arsenal win? DT angry. Arsenal draw? DT angry. Arsenal lose? DT angry. Hotel? Trivago. Xhaka will finally get a proper midfield partner. Tears on his eyes!.</t>
  </si>
  <si>
    <t>[["half", 0.8963576058377766], ["bellerin", 0.32128678636427144], ["away", 0.3054796938660377]]</t>
  </si>
  <si>
    <t>Bellerin need fi guh model a lef man club Kmt. How many times has Bellerin lost the ball this half ffs. Bellerin has been awful this half I must say! Eddie Nketiah scored away against Burnley. Went on loan for half a season and came back and scored an away goal before Lacazette.</t>
  </si>
  <si>
    <t>[["worst", 0.8673627840250278], ["someth", 0.4976764017796634]]</t>
  </si>
  <si>
    <t>This is potentially the worst half of football I’ve ever seen bellerin play 💩. No wonder that Southampton have the worst home record in the league. Something about seeing arsenal win doesn’t seem right. Is Hector Bellerin the worst Right back in the Premier League ? #SOUARS.</t>
  </si>
  <si>
    <t>Saka has pocketed Valery this whole half. What a player! Would love to see Ozil on to start the second half. Its half time already, and Arsenal lead by 1 goal to nil. Arsenal need a midfielder who can get on the ball in the opposition half and make things happen.</t>
  </si>
  <si>
    <t>[["nketiah", 1.0]]</t>
  </si>
  <si>
    <t>Nketiah big chance! A second goal and I will be confident. Nketiah needs to explain himself. The fuck was that? This Nketiah boy needs Vaseline. Poor miss there, Nketiah you need to do better than that. Eddie Nketiah has justified his starting shirt this first half.</t>
  </si>
  <si>
    <t>[["break", 0.6925656580026759], ["ahead", 0.5250478322318651], ["let", 0.49464894948229665]]</t>
  </si>
  <si>
    <t>Half-time in the 6pm kick-offs: - Southampton 0-1 Arsenal. - Burnley 0-0 Watford. How's everyones bets looking at the break? 🤔. 🤔 The thinking behind our #SOUARS selection? Mikel Arteta gives an insight ahead of kick-off 👇. Ahead at the break. Let's kick on. 💪. #SOUARS.</t>
  </si>
  <si>
    <t>[["leagu", 0.7089304025585921], ["half", 0.7052784445367042]]</t>
  </si>
  <si>
    <t>Half-time at St Marys Stadium Premier League Southampton FC 0-1 Arsenal. If Leeds started Nketiah and kept him for the season they would have won the league by now. Bamford is half the player. Dogshit half of football but we are ahead and I guess that is what matters. #SOUARS.</t>
  </si>
  <si>
    <t>I know Bellerin is taking the stick for his passes or rather the lack of them but he's been solid defensively. Take obafemi off. Take falery off. Djenepo and kwp on please. Or kiss this game goodbye. Southampton keeper on the take? Seems as such.</t>
  </si>
  <si>
    <t>[["cohes", 0.7071067811865475], ["flaw", 0.7071067811865475]]</t>
  </si>
  <si>
    <t>We look much more cohesive with Xhaka in the midfield showing for the ball and popping it around. Important player despite his flaws.</t>
  </si>
  <si>
    <t>[["asap", 0.8465838743234755], ["amn", 0.36122075244966306], ["need", 0.3333553361966], ["lead", 0.20418014488290692]]</t>
  </si>
  <si>
    <t>We need a better RB to get more out of Pepe. Arteta needs to do something about Ballerin, both in this match and the long term. Bellerin turns like tractor guy is finished AMN needs to be 1st choice RB. Eddie Nketiah gives Arsenal a 1-0 lead going in to the break 🔴.</t>
  </si>
  <si>
    <t>[["long", 0.8472830829898641], ["shane", 0.5311415793168437]]</t>
  </si>
  <si>
    <t>We need to see that Long and Ings link up now #saintsfc. Ffs shane long hattrick incoming. Shane long ffs. Bellerin and ceballos have been arse, they need to improve massively. Shane long has entered ffs. I hate it already😭. FFS. Shane Long is gonna finish us.</t>
  </si>
  <si>
    <t>[["second", 1.0]]</t>
  </si>
  <si>
    <t>Sol Campbell “a second goal for Arsenal kills the game as a contest”. Shane Long coming on second half. Second half here we gooo #SOUARS. Second half underway. #Arsenal 1 - #Southampton 0. The Gunners need to see this one out. They need the points.</t>
  </si>
  <si>
    <t>[["saka", 0.728309253965773], ["red", 0.6852485903581409]]</t>
  </si>
  <si>
    <t>Wtf injuring our player. That's a clear red for Saka. Saka sees yellow. Hopefully VAR leaves that be. That could be a red for the #Arsenal man. Should that be a red card for saka? wow. goes after the spurs player. Saka lucky not to get away with a red there 😳.</t>
  </si>
  <si>
    <t>[["touch", 0.6303678190075211], ["aubameyang", 0.5684766243132017], ["martinez", 0.5286499223202137]]</t>
  </si>
  <si>
    <t>Why is Aubameyang passing that. Insane touch from Aubameyang but that pass has to find a way 🤷‍♂️🤷‍♂️🤷‍♂️. What a touch that was from aubameyang. What a pass by Martinez and what a first touch by Auba. Shame that didn't end up at Nketiah's feet. What a ball by Martinez #SOUARS.</t>
  </si>
  <si>
    <t>[["ederson", 0.7330085433537773], ["alan", 0.6802194317794615]]</t>
  </si>
  <si>
    <t>Alan Smith on Emi Martinez’s pass to Aubameyang: “Ederson at Man City would’ve been pleased with that.” [Sky] #afc.</t>
  </si>
  <si>
    <t>[["willock", 0.9430263114775126], ["lead", 0.33271816280617666]]</t>
  </si>
  <si>
    <t>Arsenal are leading Southampton 🙆‍♂️. #SOUARS willock is the worst sub to come on now. Why’s he bringing on Willock when we need a fucking goal. Willock isn’t a bad sub tbh. But for who. Willock not Ozil? Omg man, Arteta needs to let go of that ego kmt.</t>
  </si>
  <si>
    <t>[["willock", 1.0]]</t>
  </si>
  <si>
    <t>Willock ffssssss. Willock ffs we're asking to lose. Joe Willock? Ffs. Ffs Mikel why Willock. What will willock do in this match ffs. Why is Willock coming on ffs. Pepe for willock this arteta dude is frauding a living. Oh ffs why is Willock playing so much. Willock on again ffs.</t>
  </si>
  <si>
    <t>All Southampton at the moment looks like a matter time before they equalise #COYG. A lil bit surprised as how Southampton are yet to get an equaliser in this game. Southampton equaliser please! 🥺🤞🏼 #SOUARS.</t>
  </si>
  <si>
    <t>[["tierney", 0.495970216433128], ["footbal", 0.44906970287559667], ["chelsea", 0.4324587245994865], ["injur", 0.4307226025387208], ["confus", 0.4240370709626179]]</t>
  </si>
  <si>
    <t>Tierney gets hurt more than my feelings. #SOUARS Premier League. Liverpool want Chelsea to win or draw. Man u want Chelsea to lose.. Arsenal are just confuse. Come on Chelsea 💙💙. Watching Arsenal play football is 2020 summed up. If Tierney is injured again, I’m done with football.</t>
  </si>
  <si>
    <t>[["sead", 1.0]]</t>
  </si>
  <si>
    <t>A second sub now as KT leaves the pitch... ↩️ Kieran Tierney. 🔛 Sead Kolašinac. #SOUARS 🔴⚪️ 0-1 🟡🟡 (70).</t>
  </si>
  <si>
    <t>Really disappointed in Southampton here, this has been awful against an Arsenal team absolutely there for the taking. How this Willock take become a top flight footballer? Ozil is taking the piss out of Arsenal, my guy is just enjoying the weather 😂😂😂😂.</t>
  </si>
  <si>
    <t>[["willock", 0.7768087830821889], ["see", 0.6297365437437854]]</t>
  </si>
  <si>
    <t>Is this willock a footballer at all ? 🥴🥴🥴🥴. How this Willock take become a top flight footballer? I get sad when I see Mezut Ozil, even if he is not at a football game. Happy to see arsenal winning cl. Come home to see arsenal winning??? Miracles do happen.</t>
  </si>
  <si>
    <t>[["half", 0.7676311281126608], ["lead", 0.6242188961743337], ["six", 0.1452350536591637]]</t>
  </si>
  <si>
    <t>Oyo Redmond wanted to score right from the first half naye waaaa.😂. Southampton with six shots to Arsenal's one in the second half. Arsenal better find that second goal... This 1-0 lead odikwa risky. Arsenal are leading 0-1. at the end of this game the score will be 1-1.</t>
  </si>
  <si>
    <t>[["coast", 0.50016087929368], ["save", 0.50016087929368], ["cool", 0.4460583730170326], ["south", 0.41164183200198173], ["deni", 0.3622997649126972]]</t>
  </si>
  <si>
    <t>North London are saved #SOUARS. Mesut Ozil is trying his best to keep cool down on the south coast! ☀☂. Good save #SOUARS 1-0. Brilliant save from Martinez to deny Long. Arsenal living dangerously now. 15 minutes to go. Cracking save by Martinez #AFC #SOUARS. Great save Arsenal.</t>
  </si>
  <si>
    <t>[["deni", 0.6198263455800219], ["brilliant", 0.5694365757433351], ["danger", 0.5399604499689031]]</t>
  </si>
  <si>
    <t>Brilliant save from Martinez to deny Long. Arsenal living dangerously now. 15 minutes to go.</t>
  </si>
  <si>
    <t>[["conced", 1.0]]</t>
  </si>
  <si>
    <t>We're waiting to concede before we make subs or have we subbed? Apart from Tierney? Won't be Arsenal if we were to concede then concede the way we scored. How hasn’t arsenal conceded ? 😶. Tierney goes off, Arsenal nearly concede. That is the goal Southampton conceded? My goodness.</t>
  </si>
  <si>
    <t>[["final", 0.9267089589922105], ["want", 0.2318558638675652], ["man", 0.21148219409807537], ["hear", 0.2067090837221784]]</t>
  </si>
  <si>
    <t>Arsenal finally making moves post the hiatus 🙏🏼. Liverpool want Chelsea to win,Man United want man city to there is Arsenal 😂😂😂 #SOUARS. Bellerin finally getting to plant some trees. No way,we lose this now finally arsenal ffs. Willock fucking finally man I can breathe easy.</t>
  </si>
  <si>
    <t>What a pass by xhaka😷. Alan Smith on Martinez’s brilliant pass to Aubameyang: “Ederson at Man City would’ve been pleased with that.” #afc. Just when I was thinking Xhaka had changed our midfield he makes a horrific pass that kills our attack. Sums him up really.</t>
  </si>
  <si>
    <t>[["penalti", 0.7119957090965913], ["wonder", 0.7021838151282344]]</t>
  </si>
  <si>
    <t>Arsenal never hold ball since 2nd half... mini pep is doing wonders. Penalty fc fans wondering how arsenal is taking the lead.</t>
  </si>
  <si>
    <t>[["card", 0.935245477707498], ["red", 0.35399985371137355]]</t>
  </si>
  <si>
    <t>Arsenal 9/2 for a 2-0 win before the the card, lovely stuff. Evryone is Arsenal is getting a red card, even their fans, why wouldn't I? It had to be a red card for Stephens. Arsenal made an opponent get a Red Card! Maaaaaaad! 😂 😂 😂. Finally we get a break. Red card to Southampton.</t>
  </si>
  <si>
    <t>[["card", 0.6404274205133056], ["var", 0.5590504754715112], ["red", 0.3759674164460686], ["sent", 0.36873267647527425]]</t>
  </si>
  <si>
    <t>A RED CARD FOR THE OPPOSITION? VERSUS ARSENAL!? Miracles can happen in the refereeing game. VAR didn’t change that red card.. Stephens got the ball sha. Red card!. Southampton are down to 10 men after Stephens is sent off for fouling Aubameyang P-E. #SOUARS 🔴⚪️ 0-1 🟡🟡 (85)</t>
  </si>
  <si>
    <t>[["red", 0.7289977562244399], ["sent", 0.6845160855814364]]</t>
  </si>
  <si>
    <t>RED CARD! Jack Stephens has been sent off for being the last man and taking down Aubameyang. #SOUARS. Red One more player for Arsenal. A red card and it’s not a Arsenal player 😍. People that can still score this Arsenal team even if they have two player sent off 🙄.</t>
  </si>
  <si>
    <t>I was gonna say willock has been shit.... he really was until he scored. Eddie Willock as our goal scorers 🤟👏 love it 💪. Willock! 2-0!. Willock gets a goal as he tends to do at times.. Reacted well to Lacazette’s shot to secure the deal.</t>
  </si>
  <si>
    <t>[["willock", 0.8414251433083962], ["gol", 0.5403736931128724]]</t>
  </si>
  <si>
    <t>GOOOOOOOOOOLLLLLLLLLL! Southampton 0-2 Arsenal. (Willock 87’) #SOUARS. COME ON YOU GUNNERS 🟡🟡. Willock dey net where Auba dey ffs. Yesssss Willock. Shite free kick by Laca but he had a stinger off a rebound shot and Willock finishes it off. Or will he... offside?😅👀.</t>
  </si>
  <si>
    <t>[["goal", 0.8297302541658169], ["willock", 0.5581645862305568]]</t>
  </si>
  <si>
    <t>Arsenal have a 2 goal lead. I repeat Arsenal have a 2 goal lead. Enjoyed the build-up to this Arsenal's 2nd goal! 🔥. Willock on for Pepe is a bad sub 🥴🥴🥴🥴. GOAL! Joe Willock gives Arsenal a two-goal cushion, and surely three much-needed points.</t>
  </si>
  <si>
    <t>[["willock", 0.7929533339403737], ["shot", 0.6092823731184467]]</t>
  </si>
  <si>
    <t>Very good shot from Lacazette to get that rebound for Willock. WILLOCK YOU LOVELY MANNNN. that laca shot. 🤤. Willock dey net where Auba dey ffs. Willock! 2-0!. Willock gets a goal as he tends to do at times.. Reacted well to Lacazette’s shot to secure the deal.</t>
  </si>
  <si>
    <t>Willock saving me from ending it all! Mc Arthur is out there saving arsenal fan lives. Black Excellence saving Arsenal once again. Finally bellerin can save the planet 😂. 3000 trees. Arsenal saving the earth. Bellerin time to save the world. God save Arsenal.</t>
  </si>
  <si>
    <t>I swear to god Saka has aim it for crosses. 94: Saka's cross deflected for another Arsenal corner. 😇0-2🍌. #SOUARS. Saka’s crosses are soooo good. Rob Holding had a good with those crosses and over the top balls really well. Unreal cross from saka ffs, need him at the bridge.</t>
  </si>
  <si>
    <t>FT: Southampton 0-2 Arsenal. xG:. TOP HALF!!!. Arsenal back into the top half? Eddie Nketiah scored away against Burnley. Went on loan for half a season and came back and scored an away goal before Lacazette. Points collected but poor show in 2nd half Arsenal Mikel Arteta.</t>
  </si>
  <si>
    <t>#SOUARS-v15-b0.7-e0.7-grouped-split</t>
  </si>
  <si>
    <r>
      <rPr>
        <u/>
      </rPr>
      <t>The Guardian</t>
    </r>
    <r>
      <rPr>
        <u/>
      </rPr>
      <t xml:space="preserve">, </t>
    </r>
    <r>
      <rPr>
        <u/>
      </rPr>
      <t>BeSoccer</t>
    </r>
    <r>
      <rPr>
        <u/>
      </rPr>
      <t xml:space="preserve">, </t>
    </r>
    <r>
      <rPr>
        <u/>
      </rPr>
      <t>BBC</t>
    </r>
  </si>
  <si>
    <t>Saka (disallowed)</t>
  </si>
  <si>
    <t>Mustafi</t>
  </si>
  <si>
    <t>Nketiah</t>
  </si>
  <si>
    <t>Long for Obafemi</t>
  </si>
  <si>
    <t>Walker-Peters for Valery</t>
  </si>
  <si>
    <t>Saka</t>
  </si>
  <si>
    <t>Willock for Pepe</t>
  </si>
  <si>
    <t>Kolasinac for Tierney</t>
  </si>
  <si>
    <t>Lacazette for Nketiah</t>
  </si>
  <si>
    <t>Maitland-Niles for Ceballos</t>
  </si>
  <si>
    <t>Stephens (red)</t>
  </si>
  <si>
    <t>Willock</t>
  </si>
  <si>
    <t>Romeu for Højbjerg</t>
  </si>
  <si>
    <t>Vestergaard for Ings</t>
  </si>
  <si>
    <t>[["count", 0.8192748135281072], ["kick", 0.5734010637577204]]</t>
  </si>
  <si>
    <t>10 minutes to kick off #LEIMUN #GGMU. Counting down to kick-off ⏳. #MUFC #LEIMUN.</t>
  </si>
  <si>
    <t>[["prepar", 0.8390485848465283], ["know", 0.5440564973116653]]</t>
  </si>
  <si>
    <t>United fans just doing the acting you know leicester arn’t winning without 4 main players🥱. Who else knows it's a must for Manchester United to win Leicester City 😍😍💪💪💪. Final preparations for #LEIMUN ✔️. We know what we need to do ✊. #MUFC. Final preparation. #LEIMUN.</t>
  </si>
  <si>
    <t>[["prepar", 0.8262388102877501], ["know", 0.5633200053027437]]</t>
  </si>
  <si>
    <t>Final preparations for #LEIMUN ✔️. We know what we need to do ✊. #MUFC.</t>
  </si>
  <si>
    <t>Leicester with two strikers just to win man u #LEIMUN. Hoping for Leicester v United as a draw and Wolves win🤤. Finally finally dem come reach King power 😹... Leicester city we move.. Win win 😂😂😂. Chelsea to win. Leicester to win. Do it lord🙏🏿.</t>
  </si>
  <si>
    <t>Martial what was that dive?😂😂😂. Manchester diving United. Easy o. Martial diving course he try and get the softest penalty VAR will ever give #LCFC. Hei dont dive ! #LEIMUN. That Martial dive, LOL, absolute cheats of a team, needs a yellow. Offside aside what a dive by Martial.</t>
  </si>
  <si>
    <t>[["pogba", 1.0]]</t>
  </si>
  <si>
    <t>Pogba better not be stupid and lose balls today. Pogba for the love of God stop taking a billion touches. Sometimes it's ok to give the simple pass Pogba. Pogba shouldn’t start those things today. Had a very easy outlet pass out wide and gave it away needlessly smh.</t>
  </si>
  <si>
    <t>[["yellow", 0.8211698852461106], ["maguir", 0.5706838175074617]]</t>
  </si>
  <si>
    <t>Maguire on a yellow already ffs they’re gonna target him. Thats a bad yellow maguire man, so early in the game. Maguire now at risk for the rest of the game with that yellow 🤦🏾‍♀️. Maguire playing 81 minutes against Vardy on a yellow card.</t>
  </si>
  <si>
    <t>[["maguir", 0.7818699555350683], ["book", 0.6234415551048794]]</t>
  </si>
  <si>
    <t>Maguire lool should be a red ref. Maguire that was so so stupid. No need to be diving in like that. Lot of pressure the rest of the game now. Maguire the fridge is going to give away a penalty this game #MUFC. Maguire booked so early on and for what?</t>
  </si>
  <si>
    <t>[["maguir", 1.0]]</t>
  </si>
  <si>
    <t>Hopefully Maguire gets a second yellow. Really there was no need for a tackle from Maguire. Maguire needs to hold kelechi's slippers. Maguire, dead was that, not needed at all. Harry Maguire is booked for a foul on the half way line. Maguire needs to be careful #LEIMUN.</t>
  </si>
  <si>
    <t>[["rashford", 1.0]]</t>
  </si>
  <si>
    <t>I don’t think rashford or pogba have actually strung a pass in the first 10mins. Wake up. How tf is Rashford’s long range passing so good post lockdown. I can’t lie that was a good ball from rashford. Rashford why you so deep hog the touch like come on man!</t>
  </si>
  <si>
    <t>[["matic", 1.0]]</t>
  </si>
  <si>
    <t>Terrible from the CBs and Matic again. Time and time again they are appalling at passing from the back. A chronic problem. What was that by Matic? In the box all you do is get the ball out. Matic sometimes need to look where he is passing 😳😳😳😳.</t>
  </si>
  <si>
    <t>Matic I swear to the living Jesus don’t let me fucking slap u. Wallahi I hate Maguire and matic ffs 2 tall dumb fools. Matic mistake ffs!! Matic a true Jose patriot ffs. Ffs Matic! Matic has not been the same since he signed new contract ffs. What did Matic do my streams down.</t>
  </si>
  <si>
    <t>[["ndidi", 1.0]]</t>
  </si>
  <si>
    <t>Ndidi calm down. That shoulda been the goal. #LEIMUN. Ndidi should have scored that. Ndidi cmon man. That should’ve been a goal! Just get it under the bar there Ndidi, make the keeper make the play, don't give it to him. That was ripe to be put on goal.</t>
  </si>
  <si>
    <t>Maguire can’t be a real footballer 😭. Well if United get champions league they won’t be getting far with Maguire CB, fraud is an understatement. See maguire. And someone genuinely believes his top 3 cb’s in the league. Maguire is gonna win us this game.</t>
  </si>
  <si>
    <t>[["touch", 0.9619209778137088], ["greenwood", 0.27332770156337666]]</t>
  </si>
  <si>
    <t>Martial must always take a first touch, never hits the ball immediately. One touch curl that Martial 🤦🏻‍♂️. #LEIMUN my heart everytime maguire touches the ball.. That touch from Greenwood 😳 #LEIMUN. Harry Maguire there, with the touch of Chris Grayling and a government contract.</t>
  </si>
  <si>
    <t>[["gea", 1.0]]</t>
  </si>
  <si>
    <t>Ok so you're telling me that Manchester United's second choice goalie is worse than David De Gea??? I'm considering subbing off de gea and Maguire. De gea needs to wake the fuck up. De Gea needs to be put down. #LEIMUN De Gea needs to stop playing with me fr.</t>
  </si>
  <si>
    <t>[["offsid", 0.8441658754660186], ["gea", 0.536082059668751]]</t>
  </si>
  <si>
    <t>De Gea ik it was offsides but that save was abysmal that could have cost us Champions League. Eeii so De Gea that ball no be offside anka what we go do...? Char the man for sit up oo. We no dey joke for here... Offside but how about that for a pass from Pogba to find Bruno 🔥🔥.</t>
  </si>
  <si>
    <t>Hope vardy's knee knocked some sense into de gea. De Gea needs the season to end more than any other player. Just look De Gea again. What is wrong with my favorite manutd player? 😩😩. De Gea needs to take a year out of something. Please is it too late to take De gea off?</t>
  </si>
  <si>
    <t>WHAT A SAVE DE GEA!!!! David De Gea. Awful keeper. De Gea is a piece of shit excuse for a goalkeeper. De Gea fucking again spilling the ball seriously how can you still defend de gea Jesus fuck. #LEIMUN. De gea doing his best to lose us UCL. De gea is one of the worst keeper😓.</t>
  </si>
  <si>
    <t>[["gea", 0.6201998615955756], ["k3k3", 0.5220089184697166], ["long", 0.4163871697713907], ["garbag", 0.4116801495878526]]</t>
  </si>
  <si>
    <t>De Gea needs a long break away from football. De gea must not like champions league 😂😂😂😂😂😂😂😂😂😂😂😂😂😂😂😂😂😐😐😐😐😐😐😂😂😂😂😂😂😂😂😂😂😂😂😂😂. De Gea and Maguire are both absolute garbage footballers. Man Utd playing with Leicester so we just draw😂. Wolves we only need you to win k3k3😂.</t>
  </si>
  <si>
    <t>Literally don't understand it. Every time Rashford gets the ball he's almost at left back. Really need a player that can actually play ball to come and bench this useless Rashford. What’s with Rashford and these get-in behind passes, just run at them man please !!!</t>
  </si>
  <si>
    <t>Maguire shirt tugging. I said earlier he’ll get a red card. Maguire forgets he is on a yellow 😂. Maguire wants us out of the champions league. He's definitely looking for a red card. Makgowa ke masepa. Maguire will see red today 🤞🏿. Maguire have a serious dribbling problem.</t>
  </si>
  <si>
    <t>Leicester us playing us half field. Get McTominay or Fred in for Matic in the 2nd half. Maguire should better give Iheanacho his slippers at half time. Greenwood's had half the pitch to himself for most of this half. Not moving the ball quick enough. #MUFC.</t>
  </si>
  <si>
    <t>[["like", 1.0]]</t>
  </si>
  <si>
    <t>This final day #LEIMUN Champions League "playoff" is like watching 2 counter attack teams with no midfield. I need Pogba to start playing like a kaffir so we can win this game. Man United doesn't look like it HAS to win. #LEIMUN. These man playing like it's Sunday league #LEIMUN.</t>
  </si>
  <si>
    <t>[["offsid", 0.7468674987117976], ["pogba", 0.6649728861900934]]</t>
  </si>
  <si>
    <t>Bruno scores off a lovely Pogba pass, but he’s offsides. Fuck sake Bruno stay on great ball from pogba tho. Lovely ball from Pogba over the top, and Bruno puts in the net, but he's a mile offside. Signs of life at least. What a ball from Pogba 👏🏻 unlucky it was offside from bruno.</t>
  </si>
  <si>
    <t>[["vardi", 0.7554652508425409], ["goal", 0.655188716912476]]</t>
  </si>
  <si>
    <t>What a goal that would have been, Leicester sitting so deep. Vardy might not get golden boot unless he scores now. Aubameyang one more goal and he will be equal to Vardy's 23 goals. Auba needs one more goal to be on par with vardy? cmon lad.</t>
  </si>
  <si>
    <t>[["auba", 0.7210281711013349], ["aubameyang", 0.6929057486254997]]</t>
  </si>
  <si>
    <t>When Auba scores one more goal and then Vardy does. Aubameyang a goal behind Vardy in terms of the golden boot. The way Watford are defending him winning it is a realistic possibility. Aubameyang go do then Vardy just go start dey score is this la? United Nyame🙏🏻.</t>
  </si>
  <si>
    <t>[["aubameyang", 0.8718950447162448], ["goal", 0.4896927924722372]]</t>
  </si>
  <si>
    <t>Aubameyang gets his second and arsenal 3rd leaving him one goal behind vardy #ARSWAT. Aubameyang needs just 1 goal to level up with Vardy..... Crazy day in the epl mhen. Don't let Vardy find out Aubameyang needs one more goal to match him for the Golden boot.</t>
  </si>
  <si>
    <t>That would have been a goal if it was Greenwood. Damn rashford. Rashford letting down Pogba there. A beautiful assist wasted hm. Thought that was a certain goal for rashford then. Rashford come on man you have to score that 🤦🏾‍♂️.</t>
  </si>
  <si>
    <t>Rashford man you need to take that. Naa rashford’s taking the piss today. #rashford Best player ever 👏 😏😏😏. No time to carry players and Rashford has been terrible so far. Rashford isnt the player united fans think he is. Rashford is the MOST overrated player in EPL.</t>
  </si>
  <si>
    <t>Beautiful ball from pogba but as usual rashford 😡😡😡. What a beautiful pass from pogba and a good touch from rashy🔥. That’s an out of this world pass by Pogba. What a ball from Pogba he’s moving different the last 15-20. Pogba is the best passer of the ball on this man u team.</t>
  </si>
  <si>
    <t>[["rashford", 0.7896151286102958], ["footbal", 0.61360243535187]]</t>
  </si>
  <si>
    <t>It’s like this doctorate is making Rashford a useless footballer oh! #LEIMUN. Rashford should be helping kids, at what he is good than playing football #mufc. You look at Bruno and wonder if it's the same football that troubles Rashford.</t>
  </si>
  <si>
    <t>[["rashi", 0.6439579416345302], ["afraid", 0.5763545606737659], ["stat", 0.30339242546969486], ["aint", 0.29022745390285726], ["return", 0.2772267140176968]]</t>
  </si>
  <si>
    <t>Rashy ain’t really been at it since football returned tbh! Don’t need stats for this one I’m afraid! #LEIMUN.</t>
  </si>
  <si>
    <t>Rashford’s effort saved. What a save from Schmeichel. Greenwood will save the day. What a save! Leicester 💙. #LEIMUN EPLFinal Day. What a save ! (Leicester) Lol how did the keeper save that shot from Rashford. Great save to stop Rashford! Good save that from kasper #LEIMUN.</t>
  </si>
  <si>
    <t>[["chevrolet", 0.8324255242674479], ["goalless", 0.3934736256560161], ["end", 0.39018745810337596]]</t>
  </si>
  <si>
    <t>Need to push from the wings and create but we end up giving Pogba and Fernandes space in midfield.. United applied some pressure towards the end of the half, but the first 45 ends goalless. #MUFC #LEIMUN Chevrolet.</t>
  </si>
  <si>
    <t>[["knee", 1.0]]</t>
  </si>
  <si>
    <t>Vardy u crackhead im on my KNEES. On my knees Leicester now. Leicester I’m on my knees. Nah Leicester need to do the job on my KNEES. Leicester... I. Am. On. My. Knees. PLEASE.</t>
  </si>
  <si>
    <t>['EXCLUDED-man', 'utd']</t>
  </si>
  <si>
    <t>[["reaction", 0.7327986087504023], ["see", 0.5007760615464376], ["want", 0.4606837691904432]]</t>
  </si>
  <si>
    <t>I see Leicester winning Man Utd... #LEIMUN. Want Leicester to win now, they deserve it more than Utd. Leicester Vs Man Utd is totally end to to see! Come on Leicester!!! Need Leicester City to score, just want to see the Man Utd fans reaction!!! #LEIMUN.</t>
  </si>
  <si>
    <t>[["reaction", 1.0]]</t>
  </si>
  <si>
    <t>Come on Leicester!!! Need Leicester City to score, just want to see the Man Utd fans reaction!!! #LEIMUN.</t>
  </si>
  <si>
    <t>[["point", 1.0]]</t>
  </si>
  <si>
    <t>Battle for the top four as it stands: 3️⃣ Chelsea - 66 points. 4️⃣ Man Utd - 64 points. --------- 5️⃣ Leicester - 63 points.</t>
  </si>
  <si>
    <t>[["matic", 0.650822926670108], ["pass", 0.5929006695369371], ["martial", 0.4742344506498941]]</t>
  </si>
  <si>
    <t>Am i blind or did matic make a forward pass. Ahh Martial with a clever run and great pass by Matic. What a pass from Matic, Martial should have shot with his left. What a pass that is from Matic into Martial. Martial goes down under pressure but never a penalty there.</t>
  </si>
  <si>
    <t>[["martial", 1.0]]</t>
  </si>
  <si>
    <t>That's a clear penalty for Martial #LEIMUN. This martial go dey dive. Why is Martial looking for a Penalty nah? Thats a diving from martial. What a pass that is from Matic into Martial. Martial goes down under pressure but never a penalty there. How’s that not a pen on martial.</t>
  </si>
  <si>
    <t>All we need is Leicester City win for the victory of football. Do your thing, vardy. Rashford you don't want CL football. Scenes if Leicester get CL football. Greenwood and Williams are the only man Utd players playing great football, the rest.....</t>
  </si>
  <si>
    <t>[["onth", 1.0]]</t>
  </si>
  <si>
    <t>The theme song for celebrating Manchester United's draw (WIN) today is Jollof Onthe Jet 🎵🔴🛩⚽️.</t>
  </si>
  <si>
    <t>[["forward", 1.0]]</t>
  </si>
  <si>
    <t>At this point I’m taking Bruno off and pushing Pogba forward. Take off Bruno and Matic. Bring on Fred McTominay and push Pogba forward.</t>
  </si>
  <si>
    <t>[["fight", 0.8752444270528918], ["keep", 0.4836808792094794]]</t>
  </si>
  <si>
    <t>Keep. Fighting. Reds. 😤. #MUFC #LEIMUN.</t>
  </si>
  <si>
    <t>Ole should sub Rashford biko! Rashford should be subbed off rn. Sub off Rashford for Christ sake. Ridiculous sub from Rodgers. Fuck Ayoze Perez being subbed 😭😭😭. Iheanacho shouldn't have been subbed. Sub Ndidi too🙂 #LEIMUN. A strange sub if your hunting’s goal #LEIMUN.</t>
  </si>
  <si>
    <t>[["hit", 0.6102540912633296], ["bar", 0.6048240980273609], ["vardi", 0.5116422134087032]]</t>
  </si>
  <si>
    <t>Vardy hits the bar. This game is heating up. Vardy hits the bar. So close😡😡😡😡. Oooooh Vardy hits the wood work. Vardy hit the bar 😭 fuck off man. Vardy has hit bar 😂. This team go kill me walahi. James Vardy hits the crossbar 😳🤬. Come on Leicester. Hit the post so close.</t>
  </si>
  <si>
    <t>That’s it Dave just let the ball bobble out 🤦🏽‍♂️ Leicester corner #LEIMUN #United. De Gea let that go out for a corner?😂😂. Fcuking DeGea really let that roll out for a corner! #MUFC #LEIMUN. Brandon Williams is tracking Wes Morgan on corners. Okay then. #LEIMUN.</t>
  </si>
  <si>
    <t>[["yellow", 0.8465847469707322], ["card", 0.5322539489722]]</t>
  </si>
  <si>
    <t>Lindelof and Maguire on yellow cards. Last 30 to go. Nervy. #MUFC. United has no game plan. 2 cb on yellows. The pressure is too much. #LEIMUN. Both CBs on yellow cards against Jamie Vardy 👏👏. The two center halves now on yellow card. These guys are something else. #LEIMUN.</t>
  </si>
  <si>
    <t>Leicester deserve cl football we dont. I hope we can all agree that Pogba is a VERY average footballer! What kinda useless football is this? Ole should do some changes #LEIMUN. Adama Traore chose the wrong football 😂. #CHEWOL #LEIMUN.</t>
  </si>
  <si>
    <t>The fuck was that pass from pogba #mufc. Pogba please take care of the ball!!! #MUFC #LEIMUN. Rashford has ACRES to make a run inside for that Pogba ball but he's standing on the wing waiting for it. Pogba lose the ball too easily still enuh. Pogba's head has started to touch.</t>
  </si>
  <si>
    <t>[["penalti", 1.0]]</t>
  </si>
  <si>
    <t>Utd penalty Martial foiled Evans yellow. Penalty to Utd!🙌 #LEIMUN. VAR officials have just confirmed that Man Utd will get a penalty each in both halves of the game against Leicester City today. Of course, as soon as I cheer on for Leicester.. penalty is given to Man Utd.</t>
  </si>
  <si>
    <t>Martial brought down in the area by Evans. Penalty for #MUFC. Penalty!! Thought martial would have got through there. It's not Manchester United if there is no penalty. I just hope that Leicester score before Man Utd get a penalty.</t>
  </si>
  <si>
    <t>[["jonni", 0.8385633507369046], ["evan", 0.5448040994714478]]</t>
  </si>
  <si>
    <t>Utd penalty Martial foiled Evans yellow. Jonny Evans you're still a red!!!!!! Cmon!!! Jonny Evans you know you can't tackle in the box vs United. You should know better. That’s a great tackle by Jonny Evans. No chance VAR overturns it for those rats. 🎶 Jonny Evans is a Red 🎶.</t>
  </si>
  <si>
    <t>[["record", 0.5127929973617903], ["penalti", 0.5110317188862582], ["set", 0.5019698771652186], ["new", 0.352499462711945], ["pen", 0.3156901888804793]]</t>
  </si>
  <si>
    <t>We got Penalty in the final match too... 😂😂😂 #LEIMUN. Manchester United set a new record for the most penalties (14) in a Premier League season. #LEIMUN. United have a penalty. Europa league waiting for Leicester !. If no be penalty una no go win ball. #LEIMUN TUEEHH.</t>
  </si>
  <si>
    <t>[["bruno", 0.6718430973076888], ["gooal", 0.5305288049896344], ["big", 0.5168810691796345]]</t>
  </si>
  <si>
    <t>Brunoooo. And he scores. Leicester 0-1 United.. #LEIMUN. GOOAAAAALLLLLL!!! Bruno Fernandes puts us ahead with a big, big goal from the spot! #MUFC #LEIMUN. 68 mins. Martial wins a penalty conceded by Evans and Morgan. VAR big decision. Bruno Fernandes 1-0. #LEIMUN.</t>
  </si>
  <si>
    <t>[["pen", 0.7974908130440717], ["gol", 0.603331089129597]]</t>
  </si>
  <si>
    <t>Real Madrid 🤝 Manchester United. Getting free pens. Bruno Fernandes with another pen we can't beat this guy ffs. Gol do Manchester United 🤦🏾‍♂️. GOAL! Leicester City 0-1 Manchester United (Fernandes pen 64). Watch #LEIMUN live on Sky Sports Main Event or follow it here 👇.</t>
  </si>
  <si>
    <t>[["might", 0.7215478113926118], ["fernand", 0.4984745144158949], ["fire", 0.3750575916136553], ["bruno", 0.3003726307860526]]</t>
  </si>
  <si>
    <t>Martial FC winning a penalty for Fernandes FC. Bruno Fernandes the biggest stat padder in the league. Has Bruno Fernandes just fired Manchester United into the Champions League? #LEIMUN. Bruno has been terrible this game but has got us CL football so 🤪. #LEIMUN.</t>
  </si>
  <si>
    <t>[["never", 0.3943598544607684], ["perform", 0.3802716913455235], ["bruno", 0.37032572572299705], ["still", 0.3631775109855929], ["seen", 0.34924282534845186], ["end", 0.34604007285677973], ["aw", 0.27355072219248305], ["manag", 0.20261397429778766], ["mani", 0.20170709171160764], ["player", 0.18042240496489995]]</t>
  </si>
  <si>
    <t>I see why rivals are always mad. Bruno played nothing in this game and got rewarded. Martial should be taking that. I've never seen a player have so many awful performances and still manages to get a goal from a penalty in the end like Bruno Fernandes 😭.</t>
  </si>
  <si>
    <t>[["fpl", 0.5716515708871045], ["min", 0.5300337204250719], ["assist", 0.5165543823039738], ["fernand", 0.35418964812261594]]</t>
  </si>
  <si>
    <t>Pen confirmed, Fernandes scores. Man Utd lead at Leicester 1-0. Bruno Fernandes going to send Man Utd to the Champions League?? 1-0 Man Utd. Man utd penalty? fernandes takes it? never seen it befors. Goal - FERNANDES. Assist - MARTIAL. Leicester 0-1 Man Utd (71 mins) #FPL #LEIMUN.</t>
  </si>
  <si>
    <t>That was Manchester United’s 20th penalty of the season and their 14th in the Premier League - a new record lol fuck this club honestly #PL. That was Manchester United's 1⃣4⃣th penalty of the season, a new Premier League record...👀.</t>
  </si>
  <si>
    <t>Manchester United were just awarded their 14th penalty of the season. #Arsenal got their 3rd today. 20 penalties in all competitions. Record 14th in the EPL. Penchester United. #LEIMUN. That was Manchester United's 1⃣4⃣th penalty of the season, a new Premier League record...👀.</t>
  </si>
  <si>
    <t>Leicester were 14 points ahead of Man Utd at one point, huge bottlers this season 👎🏻. Rodgers blowing a 15 point lead to Utd is ridiculous. Battle for the top four as it stands: 3️⃣ Man Utd - 66 points. 4️⃣ Chelsea - 66 points. --------- 5️⃣ Leicester - 62 points.</t>
  </si>
  <si>
    <t>De gea of the best of bests. De Gea my keeper🤩🤩🤩🤩🤩. Jir nice save de gea. 75’ De Gea what a save! #LEIMUN. De Gea my best pal. Can De Gea act like he's a goalkeeper now?? 😭😭. We've made a triple-substitution 🔄. Barnes almost made an immediate impact, but De Gea saves. Lei Mun.</t>
  </si>
  <si>
    <t>[["spot", 1.0]]</t>
  </si>
  <si>
    <t>Bruno Fernandes be like.."I Know a spot" then he takes you to the penalty spot 🤡. #LEIMUN.</t>
  </si>
  <si>
    <t>[["lingard", 0.8449584405542332], ["histori", 0.5348319677582467]]</t>
  </si>
  <si>
    <t>Lingard coming on for his final game in the league for utd. Manchester United have won 14 penalties in the Premier League this season. The most by any club in history.. Lingard on for the best teenager in world football?? What could go wrong.</t>
  </si>
  <si>
    <t>[["lingard", 1.0]]</t>
  </si>
  <si>
    <t>Lol that guy that bet against Lingard having a goal contribution this season is tense right now. Lingard to score and confirm 3rd place for us pls 🥺🥺. Bloody hell, we need goals, this cunt brings on Lingard. If lingard score a goal today, i will never roast him ever again.</t>
  </si>
  <si>
    <t>Lingard ffs. 😂😂. Lingard coming on. FFS. I think Olé doesn’t want us to qualify with ease. #LEIMUN #MUFC. Ffs was just saying we need to make subs, but having Lingard come in wasn't what I had in mind. Need Ighalo and James. Why am I seeing Jesse Lingard on my screen ffs.</t>
  </si>
  <si>
    <t>I agree with the lingard sub, lingard runs about a lot and covers space. Would you bring Lingard on based on the first half? Ok Lingard 1 goal or assist is all I need from you for the whole season. Man put on lingard we really need some good players.</t>
  </si>
  <si>
    <t>[["award", 1.0]]</t>
  </si>
  <si>
    <t>Man Utd have now been awarded a 14 penalties in a Premier League season and also Bruno Fernandes scoring all 4 of his Premier League. 😳🙄. 20 penalties awarded to Manchester United in the 2019/20 football season....</t>
  </si>
  <si>
    <t>[["anyon", 0.801624644274649], ["love", 0.5978276755818038]]</t>
  </si>
  <si>
    <t>Bruno Fernandes scores to put United where they want to be. Couldn’t have been anyone else. What a signing.. Does anyone love scoring penalties more than Bruno Fernandes?. Love a Leicester goal here to finish third.</t>
  </si>
  <si>
    <t>[["anyon", 1.0]]</t>
  </si>
  <si>
    <t>Does anyone love scoring penalties more than Bruno Fernandes?.</t>
  </si>
  <si>
    <t>MOTM for me so far has to be Pogba. Played very well eith the occasional misplaced pass. Pogba lose the ball in midfield fi fun!!!! Pogba trying to sabotage. C'mon lad. One touch football jo. Olè needs to caution pogba, he losses way too many balls, dangerously dho.</t>
  </si>
  <si>
    <t>[["yellow", 0.8676960308787655], ["maguir", 0.49709515990123737]]</t>
  </si>
  <si>
    <t>If that’s a foul it’s another yellow for Maguire. Three slowest United players Maguire, Lingard and Matic on a yellow now. How has Maguire escaped a 2nd yellow there?? One of those yellow card unless it's a second yellow tackles by Maguire...</t>
  </si>
  <si>
    <t>[["yellow", 0.9656116065159527], ["maguir", 0.2599888946891408]]</t>
  </si>
  <si>
    <t>Maguire need to be subbed right now! Guys panicking like a egg cracking! #MUNLEI. How has Maguire escaped a 2nd yellow there?? Maguire was supposed to get a second yellow. But its Man utd. One of those yellow card unless it's a second yellow tackles by Maguire...</t>
  </si>
  <si>
    <t>[["kick", 0.783751249109914], ["free", 0.6210748582245537]]</t>
  </si>
  <si>
    <t>Jamie Vardy should score this free kick and it is game on! The free kick conceded cause of playing out from the back. Just kick it forward!! #LEIMUN. This is like the hundredth free kick for Leicester😭😭😭. Free kick for Leicester in a very dangerous area...👀.</t>
  </si>
  <si>
    <t>Score this free kick Leicester. Pogba clumsy in possession again and nearly cost utd a goal. And now a free kick in a threatening position 😭😭😭. Maguire giving away a free kick right infront of the box, in this dying minute, is everything you need to know about him.</t>
  </si>
  <si>
    <t>What kind of a stupid foul are you conceding Maguire? Fuck! The penalty sef for be two cuz ebi two players way foul Martial😁😂😂. Atkinson is so shit, Vardy doing his usual and playing for a foul and the ref falls for it #MUFC. Maguire 🤝 foul 56 #LEIMUN.</t>
  </si>
  <si>
    <t>[["foul", 0.8612272246385806], ["ref", 0.5082200975377971]]</t>
  </si>
  <si>
    <t>Why is that a foul against Pogba? Fuck off. Ref has to be a Leicester fan. Anytime we apply pressure to a Leicester player, he gives a foul. 93 minutes played... Ref.. How far.... #Leimun. How are we constantly giving out fouls this close to the box? #LEIMUN.</t>
  </si>
  <si>
    <t>[["red", 0.7485860673060969], ["jonni", 0.47271660660482423], ["evan", 0.4649278542690377]]</t>
  </si>
  <si>
    <t>Straight red for Evans! Riley not happy with that on McTominay, and it looked nasty in real time. Expected a red for maguire but where did Evans come from 😂. That red card was a long time coming for Leicester. Kade nisiqalile. Jonny Evans is a red and he loves get a red!!</t>
  </si>
  <si>
    <t>[["tackl", 0.7487822407440962], ["evan", 0.3589717191822574], ["jonni", 0.32807516947323057], ["card", 0.2857858891726468], ["undoubtedli", 0.24678547364170028], ["aw", 0.2454679194883465]]</t>
  </si>
  <si>
    <t>Johnny Evans earns a straight red for a ridiculous foul on McTominay. Garbage tackle. Awful tackle from Jonny Evans. Given a penalty away and a red card against his former club. #mufc. Penalty and a red card, this is undoubtedly Jonny Evans' best ever performance for United.</t>
  </si>
  <si>
    <t>[["johnni", 0.7803678138934498], ["evan", 0.6253207777126538]]</t>
  </si>
  <si>
    <t>Johnny Evans is my new favourite players... Mctominay is a cunt. Johnny Evans is our guy.....a great player indeed #LEIMUN. Now Evans taking his anger on McTominay 😡. Johnny Evans red card? A true Manchester United player at heart. Big bad jonny Evans taking us back there 🤣🤣🤣.</t>
  </si>
  <si>
    <t>[["mctominay", 0.43255549146020417], ["min", 0.417189170555499], ["jonni", 0.33574003606748304], ["sent", 0.33574003606748304], ["evan", 0.33133157381800227], ["scott", 0.294045339637881], ["tackl", 0.28284719908207234], ["danger", 0.2797875218534151], ["card", 0.24265063395080286]]</t>
  </si>
  <si>
    <t>Jonny Evans doing more for Utd than Maguire. Jonny Evans Utd spy😂. Red Card Evans How Much Did Man Utd Pay Him.. We Paid Him Very Well I Think😂🤣#LEIMUN. RED CARD Jonny Evans is sent off for a dangerous tackle on Scott McTominay. Leicester 0-1 Man Utd (90+4 mins) #LEIMUN.</t>
  </si>
  <si>
    <t>[["undoubtedli", 0.8181404530791758], ["card", 0.575018433648349]]</t>
  </si>
  <si>
    <t>RED CARD! Leicester City defender Jonny Evans (90+4 mins) Penalty and a red card, this is undoubtedly Jonny Evans' best ever performance for United.</t>
  </si>
  <si>
    <t>[["legend", 1.0]]</t>
  </si>
  <si>
    <t>Top performance by Jonny Evans. Conceded a penalty and got a red. United legend. Johnny Evans gifting a penalty to United. What a legend! 😍 #LEIMUN. Penalty given away, red card. Jonny Evans, Man United legend!.</t>
  </si>
  <si>
    <t>Lingard would score on the team he’ll be playing on next year. Lingard scores ahahhahahahaha what a final day this has turned out to be. Jesse lingard with the most important goal of the season. 😭😭😭😭😭😭😭😭😭😭😭😭😭😭😭😭😭😭😭😭😭😭😭😭😭😭😭😭😭😭😭😭😭😭😭😭😭😭😭😭😭😭😭😭😭.</t>
  </si>
  <si>
    <t>Only Lingard would celebrate his first goal in the premier league which is a tap in 😂. Lingard final game of the season loooool get that guy out my club. You don’t deserve champions league if Lingard scores against you.</t>
  </si>
  <si>
    <t>[["lingard", 0.8368586448674065], ["gol", 0.54741904288277]]</t>
  </si>
  <si>
    <t>Mds o lingard fez gol. Goooooooooooooooooollllll do United. Lingard 🔥. Lord lingard gol siot. Gooooool Lingard pone el 0-2 #mufc. How has lingard scored ffs. GOAL! Leicester City 0-2 Manchester United (Lingard 90+8). Watch #LEIMUN live on Sky Sports Main Event or follow it here 👇.</t>
  </si>
  <si>
    <t>[["fifth", 0.49468407461817115], ["none", 0.44926901175457945], ["fpl", 0.4161858459208425], ["assist", 0.37743620932047434], ["third", 0.37465125379677894], ["full", 0.31211009111157023]]</t>
  </si>
  <si>
    <t>Goal - LINGARD. Assist - none. Leicester 0-2 Man Utd (90+8 mins) #FPL #LEIMUN. Lingard scores and Utd finish third not a sentence I expected back in November or even 20 minutes ago. FULL-TIME Leicester 0-2 Man Utd. Man Utd finish in third place as Leicester drop to fifth. #LEIMUN.</t>
  </si>
  <si>
    <t>[["jess", 1.0]]</t>
  </si>
  <si>
    <t>Jesses Lingard wrapping up the League. Tonight was something special 😍. Ole's tricky reds into the champions league barcelona better watch out for jesse lingard and the crew. Breaking! Jesse Lingard has scored a premier league goal 🚨.</t>
  </si>
  <si>
    <t>#LEIMUN-v30-b0.6-e0.6-grouped-split</t>
  </si>
  <si>
    <r>
      <rPr>
        <color rgb="FF000000"/>
        <u/>
      </rPr>
      <t>The Guardian</t>
    </r>
    <r>
      <rPr/>
      <t xml:space="preserve">, </t>
    </r>
    <r>
      <rPr>
        <color rgb="FF000000"/>
        <u/>
      </rPr>
      <t>BeSoccer (live)</t>
    </r>
    <r>
      <rPr/>
      <t xml:space="preserve">, </t>
    </r>
    <r>
      <rPr>
        <color rgb="FF000000"/>
        <u/>
      </rPr>
      <t>BeSoccer</t>
    </r>
    <r>
      <rPr/>
      <t xml:space="preserve">, </t>
    </r>
    <r>
      <rPr>
        <color rgb="FF000000"/>
        <u/>
      </rPr>
      <t>BBC</t>
    </r>
  </si>
  <si>
    <t>Maguire</t>
  </si>
  <si>
    <t>Bruno (disallowed)</t>
  </si>
  <si>
    <t>Ayoze for Iheanacho</t>
  </si>
  <si>
    <t>Lindelöf</t>
  </si>
  <si>
    <t>Evans</t>
  </si>
  <si>
    <t>Bruno (penalty)</t>
  </si>
  <si>
    <t>Gray for Choudhury</t>
  </si>
  <si>
    <t>Barnes for Albrighton</t>
  </si>
  <si>
    <t>Praet for Tielemans</t>
  </si>
  <si>
    <t>Lingard for Greenwood</t>
  </si>
  <si>
    <t>Matic</t>
  </si>
  <si>
    <t>Mctominay for Bruno</t>
  </si>
  <si>
    <t>Hirst for Thomas</t>
  </si>
  <si>
    <t>Pogba</t>
  </si>
  <si>
    <t>Williams</t>
  </si>
  <si>
    <t>Evans (red)</t>
  </si>
  <si>
    <t>Ighalo for Rashford</t>
  </si>
  <si>
    <t>Fosu-Mensah for Martial</t>
  </si>
  <si>
    <t>Lingard</t>
  </si>
  <si>
    <t>Good save but how was that not a foul on McGinn? Great save from Marshall there #sco. What a save #SCOCZE. Great save from martial. #SCO #CZE. What a save about went into cardiac arrest there #SCO. 15' SHOOT by Valdimir Darida, SAVES by keeper and then corner kick for Czech Rep.</t>
  </si>
  <si>
    <t>[["cross", 0.5318716865522538], ["goe", 0.46740810740372296], ["accur", 0.42601774470351284], ["robertson", 0.41314389821898867], ["wide", 0.38270507017739064]]</t>
  </si>
  <si>
    <t>Robertson has mastered the art of crossing. Can’t think of many others who are so accurate. #SCO. That would have been a goal if it was a LFC player on the end of that Robertson cross. #SCO #SCOCZE. #SCOCZE sublime cross from Captain Andy Robertson reaches Dykes - just wide!</t>
  </si>
  <si>
    <t>[["tackl", 1.0]]</t>
  </si>
  <si>
    <t>O’Donnell tackling his own player like a mad man hahah #SCOCZE. Great of him to tackle his own player off the ball 😂. #SCO. #SCO so amped up they're tackling their own players. EURO 2020. O'Donnell has now tackled his own player and ruined the attack. This is ridiculous.</t>
  </si>
  <si>
    <t>Class save #CZE. It’s a good save. ‘Mon!!!!! #SCO EURO 2020. Huge chance for #SCO. Great football but what a save! EURO 2020. That was goal-bound from Robertson. Need save for #CZE. Crazy save by Czech keeper EURO 2020. Fantastic save #Sco #CZE. What a save from Vaclik!</t>
  </si>
  <si>
    <t>[["assist", 0.6738099059551241], ["schick", 0.6408302122508056], ["coufal", 0.36785438654899055]]</t>
  </si>
  <si>
    <t>Coufal again with the assist. What a signing he was for west ham 🤑. Unlucky Scotland. Good goal. Was going to back that Coufal to Schick combo. Will just scored for Czech Republic against Scotland!!! How could you?! Schick one mate.</t>
  </si>
  <si>
    <t>[["gol", 0.8007757050418093], ["schick", 0.5989643313376791]]</t>
  </si>
  <si>
    <t>Gol de Schick. Gol da tcheca schick. Gol de #CZE. Patrick Schick. Gol de Schick. Escocia 0-1 Rep Checa. Goooool de Schick #CZE. Gol de Schick Euro 2021. Schick still living of that one season at Samp. Schick gol. GOL | #SCO 0-1 #CZE, 42' Schick. Schick ffs. Gran gol de Schick.</t>
  </si>
  <si>
    <t>[["lead", 0.7824584308854815], ["schick", 0.6227028215258305]]</t>
  </si>
  <si>
    <t>GOAL - CZECH REPUBLIC LEAD!. Schick with the opening goal.. #SCO #CZE. That goal's been coming, deserved lead. Beautiful header from Schick. #CZE take the lead... Euro 2020. Schick gives the Czech’s the lead. #SCOCZE. Schick scores. Czech lead! 42’ Scotland 0-1 Czech.</t>
  </si>
  <si>
    <t>[["cross", 0.8624003725750012], ["coufal", 0.506226824044814]]</t>
  </si>
  <si>
    <t>See, it wasn't Soucek but a header from a cross. Stop them putting crosses in. Coufal with a free run and cross, horrendous defending 🥴. Coufal has been torched at the back by Robertson but that was a great cross for Schick to open the scoring #CZE 1-0.</t>
  </si>
  <si>
    <t>[["defend", 1.0]]</t>
  </si>
  <si>
    <t>😲 Scotland poor defending. #sco #SCOCZE. Rotten defending #sco #SCOCZE. Coufal with a free run and cross, horrendous defending 🥴. This is pish. Shit defending there and we've still have Armstrong and O'Donnell on the pitch. Schick dunked on that defender.</t>
  </si>
  <si>
    <t>[["schick", 1.0]]</t>
  </si>
  <si>
    <t>Goallll Czech Republic take the lead Patrick Schick has scored. Goal Schick. Another Bundesliga player.. #SCOCZE. Schick his looked a player throughout. Schick takes the lead for #SCO. EURO 2020. Lovely run by Coufal before assisting Schick. Quality player.. EURO 2020 #SCOCZE.</t>
  </si>
  <si>
    <t>[["final", 0.8911701854453842], ["scocz", 0.4536691532088551]]</t>
  </si>
  <si>
    <t>Finally one of those corner kicks paid off!!! EURO 2020. After playing Lawn Tennis with set-pieces, the Czech Republic finally score. #SCOCZE. Finally!! A goal #SCOCZE. Winning a euros game isn't for everyone... #eng #SCOCZE.</t>
  </si>
  <si>
    <t>[["penalti", 0.7071067811865475], ["pen", 0.7071067811865475]]</t>
  </si>
  <si>
    <t>Christie what a run and why no penalty for mctominay. Why did I think that's a pen for #Sco. 👀. Crikey that would be a penalty In rugby that tackle #SCOCZE. How isn’t that a penalty? Are they all blind or what? #SCO. Why is that not going straight to #VAR??? Clear penalty! #sco.</t>
  </si>
  <si>
    <t>[["nod", 0.8076205985108044], ["score", 0.43926399345308226], ["12th", 0.3934413716383939]]</t>
  </si>
  <si>
    <t>🇨🇿 Schick nods in his 12th international goal in 27 appearances for Czech Republic ⚽️. EURO 2020. Oh, the Czechs scored? #SCOCZE. Juventus legend Patrick Schick scoring against Scotland. Schick is a player who ghosts the whole game but somehow will score out of nowhere 🤷🤷.</t>
  </si>
  <si>
    <t>[["play", 0.8808261588716862], ["stephen", 0.26367382544344514], ["half", 0.23446587465753274], ["penalti", 0.22679813019244974], ["premier", 0.21956719560457327]]</t>
  </si>
  <si>
    <t>Fuck you Steve Clarke. Played quality attacking football against Netherlands just to play like a pussy today. A goal down, despite playing the better football in the first half.. we're still in this #SCO. Premier League penalty for Mctominay there.</t>
  </si>
  <si>
    <t>[["header", 0.952993861732746], ["assist", 0.30298960295645117]]</t>
  </si>
  <si>
    <t>We should not be losing a goal like that. Go and meet the header. Make it yours.. Big 2nd half ahead. #SCOCZE. is the first YouTuber to score at EURO 2020, having opened the scoring vs. Scotland. Excellent header. 🔥. Coufal with the assist! Irons! #COYI ⚒️. Coufal assist 👀.</t>
  </si>
  <si>
    <t>Disappointing to concede having played well for most of the half. #SCOCZE. Best tackle of the first half half was Stephen O’Donnells on John McGinn when he was through on goal 😑. Great goal from Schick just before half time! Can Scotland bounce back EURO 2020.</t>
  </si>
  <si>
    <t>[["var", 0.7452623204017436], ["ref", 0.6667713804516575]]</t>
  </si>
  <si>
    <t>Ref has Donkey Brains. #SCO. #SCOCZE this ref is a wee dick. Are they using VAR at this tournament? #SCOCZE. ODonnell off, Forrest on, Calmac too. Oh, could we put the VAR plug back in the socket? This ref's lost it.</t>
  </si>
  <si>
    <t>[["che", 0.7615888652131213], ["adam", 0.6480604912995315]]</t>
  </si>
  <si>
    <t>CHE ADAMS SUPER SUB. Che Adams, good sub that. Need Che on your change this game.. Dykes ain’t doing a thing up top. #SCO 0-1 #CZE. Che Adams on. ✅. Ryan Christie off. ❌. Second half begins. Hopefully Che Adams makes the difference for Scotland. Need some more help upfront.</t>
  </si>
  <si>
    <t>[["crossbar", 0.8982459578581725], ["bar", 0.43949311620485493]]</t>
  </si>
  <si>
    <t>Oh... hit the bar ! #SCOCZE. Hendry hits the crossbar! Good work from Adams. #SCO. Hits the crossbar.. Scotland National Team.. #SCOCZE. 48' | Off the bar! Jack Hendry's shot from the edge of the box hits the crossbar. A good passage of play from Scotland. [0-1]</t>
  </si>
  <si>
    <t>[["patrik", 1.0]]</t>
  </si>
  <si>
    <t>Patrik Schick puts the Czech Republic ahead with a great header past David Marshall! His 11th International goal 🇨🇿. 🇨🇿 Patrik Schick has now scored 7 goals in his last 11 games for Czech Republic 🔥. EURO 2020.</t>
  </si>
  <si>
    <t>Goal keepers win you matches,look at vaclik with that save. Saved a certain goal there! #CZESCO. I can’t believe one of the potential saves of the tournament will be one that saved an own goal #CZE. Tomas Vaclik just saved Tomas Kalas from scoring a beautiful own goal.</t>
  </si>
  <si>
    <t>[["bow", 1.0]]</t>
  </si>
  <si>
    <t>Take a freaking bow Patrik Schick. What a goal.... take a bow son #SCOCZE. Just wow! Schick take a bow! Patrick Schick, take a fucking bow. Insane goal. Schick take a fucking bow. Take a bow Patrick Schick, OMG. Best goal of the tournament! Take a bow Schick Euro 2020.</t>
  </si>
  <si>
    <t>CHE GOL SCHICK. SCHICK CO ZA GOL. Che gol di Schick!!!! Offf ne gol be EURO 2020. GOL | #SCO 0-2 #CZE, 53' Schick. QUE GOL SCHICK. GOOOLLL!! SCHICKKKK 52.' #SCO 0-2 #CZE. VERY VERY SICK! ¡Goooooooool de #CZE! Patrick'ten Schick bir gol!!! Ohhh gade on gol Schick fe.</t>
  </si>
  <si>
    <t>[["schick", 0.714118407353153], ["goal", 0.7000249283271247]]</t>
  </si>
  <si>
    <t>GOAL Patrik Schick again. Lobbed David Marshall from just inside the Scotland half. 2-0 Czech Republic. Gooooallll Schick from half line , Scotland in the mud. Jesus fuck, that second Schick goal at #SCOCZE. Patrick Schick , what goal Goosebumps , This what EURO 2020 needed.</t>
  </si>
  <si>
    <t>[["goal", 0.6197992230453124], ["patrick", 0.5550531170949048], ["keeper", 0.40687087840064645], ["schick", 0.3771220606450162]]</t>
  </si>
  <si>
    <t>What a finish!!!!!! What's the keeper doing out there 😂 #CZE #sco. Best goal of the tournament! Take a bow Schick Euro 2020. Fucking hell!!! See Schick's goal. Saw the keeper off his line. Patrick schik might have scored the best goal of EURO 2020.</t>
  </si>
  <si>
    <t>[["decis", 0.7258743041758461], ["hendri", 0.6878273726286497]]</t>
  </si>
  <si>
    <t>Poor decision from hendry, not good enough. Fuck Jack Hendry. Stupid stupid decision. Poor decision from Jack Hendry! Get jack Hendry tae fuck btw, nonsense decision to try and take that on. That’s on hendry !! … bad decision making. Moronic decision to shoot from Hendry.</t>
  </si>
  <si>
    <t>OH BLOODY FOOTBALL GODS WHAT A GOAL BY SCHICK. The Schick they use to hype is finally showing up on the big stage. That tenner I had on Schick to win the… nah I’m kidding. International football is Schick anyway. Patrik Schick is my new favourite footballer #SCOCZE.</t>
  </si>
  <si>
    <t>Patrik Schick is the best player in the world tbh. Patrik Schick just pissed me off with his class. OUT OF THIS WORLD FROM PATRIK SCHICK 🤯.</t>
  </si>
  <si>
    <t>[["win", 0.7086974266760578], ["sorri", 0.7055125494438307]]</t>
  </si>
  <si>
    <t>Teamspirt💪🏻🔥 What a win en great atmosphere 🦁 EURO 2020. I feel sorry for people that don't like football EURO 2020. I actually predicted #SCO to win this game 1-0 lmaooo. I'm sorry Scotland, you'll never win with an ex Norwich goalkeeper #SCOCZE #Euros.</t>
  </si>
  <si>
    <t>[["refere", 1.0]]</t>
  </si>
  <si>
    <t>Irrelevant to everything but i do enjoy referees in pink #SCOCZE. Why is Ander Herrera refereeing this match? #SCOCZE. This referee is an absolute clown. #SCOCZE. Getting absolutely nothing at all out of this referee #sco.</t>
  </si>
  <si>
    <t>[["net", 1.0]]</t>
  </si>
  <si>
    <t>Definitely a fan of the goalie just launching himself into the back of the net. #SCOCZE. The net looks broken from the aftermath of the goal #SCOCZE EURO 2020. The way the keeper went flying into the net is killing me, Schick did him dirty man💀.</t>
  </si>
  <si>
    <t>Scotland missed 3 chances could have scored 3 if the goalkeeper of #CZE wouldn't have stopped it saves in first half. TOP SAVE BY VACLIK 🇨🇿. McLaughlin wd have saved that 🤣. You don’t save those! 🤣. #SCOCZE EURO 2020..</t>
  </si>
  <si>
    <t>[["deflect", 1.0]]</t>
  </si>
  <si>
    <t>Thought that was deflecting in then😭 #SCOCZE EURO 2020. Scotland very unlucky yet again. Stuart Armstrong goes close but it deflects over the bar. (61) - Armstrong's shot is deflected over the bar. #SCOCZE. Armstrong’s shot takes a deflection ends up on top of the netting! #SCO.</t>
  </si>
  <si>
    <t>[["goalkeep", 0.7717180133904334], ["sweeper", 0.4674681428006629], ["marshal", 0.43119003151188673]]</t>
  </si>
  <si>
    <t>Smdh why is Marshall that far off his line 🤦 Smart by Schick but sh*t from the Scotland goalkeeper 😅 EURO 2020 #SCOCZE. Steve Clarke just changed David Marshall from Sweeper keeper (attack) to Goalkeeper (defend). Marshall, you are a keeper not a sweeper! #Scotland #SCOCZE.</t>
  </si>
  <si>
    <t>[["dyke", 1.0]]</t>
  </si>
  <si>
    <t>Lyndon Dykes might be the worst footballer I've ever seen. Is this Dykes boy a footballer? Lyndon Dykes awful footballer. Jesus Lyndon Dykes is a terrible footballer EURO 2020. How's dykes a football player ? This Lyndon Dykes guy has to go back to league one.</t>
  </si>
  <si>
    <t>Take off dykes. This Lyndon Dykes player is terrible. Why didn’t Dykes just put his foot through it?? Shite player. Dykes might actually be the worst player to ever grace the Euros. TAKE DYKES OFF 🤬🤬🤬🤬. Send Dykes home. Awful awful player. Dykes is a useless player wtf #SCO.</t>
  </si>
  <si>
    <t>[["score", 0.9019104738701643], ["dyke", 0.43192302221957973]]</t>
  </si>
  <si>
    <t>That’s so poor from Dykes, you have got to be scoring that. This guy Dykes has missed too many chances … he has to score that. Dykes has to score then. He has not been on it today. Put your foot through it. Dykes should have scored that!... But what a save it was.</t>
  </si>
  <si>
    <t>[["striker", 0.6353366701455021], ["schick", 0.5716008240328082], ["vaclik", 0.5192492787991525]]</t>
  </si>
  <si>
    <t>I know fuck all about football, but that was a goal and a half 😲👏🏻 Schick really did T H A T. Vaclik will finally get the plaudits he deserves at the end of this tournament. If Scotland had even a single good striker they'd be winning this game. #SCOCZE.</t>
  </si>
  <si>
    <t>[["play", 1.0]]</t>
  </si>
  <si>
    <t>Ryan Fraser coming on now after refusing to play the opening hour as he wanted to stay fit for the final half hour. Scotland would be winning if McKenna was playing. Dykes should not b playing football. If billy gilmour plays Scotland win this game simple #SCOCZE.</t>
  </si>
  <si>
    <t>[["keep", 0.6080868903656508], ["best", 0.5958907512961357], ["david", 0.5245422254548816]]</t>
  </si>
  <si>
    <t>If only #SCO called up it's best player.... Probably the best goal of the tournament EURO 2020. The wait is nearly over... ⌛. Best of luck to Robert Lewandowski in his opening match of EURO 2020 today! 🔴⚪. David Marshall did his best to keep it out 🧤.</t>
  </si>
  <si>
    <t>[["second", 0.9405299599275346], ["half", 0.3397107511968236]]</t>
  </si>
  <si>
    <t>I didnt know half these guys were Scottish. Armstrong and Liam Cooper specifically. Schick finish! Wonderful second goal for #CZE just when #SCO were getting into it. David Marshall… 100% to blame for second goal! Scotland National Team 😡.</t>
  </si>
  <si>
    <t>[["terrorist", 1.0]]</t>
  </si>
  <si>
    <t>2-0 down and we bring on Callum mcgregor 🤮🤮Clarke’s actually a football terrorists. 2-0 down and we bring on mcgregor Steve Clarke football terrorist.</t>
  </si>
  <si>
    <t>[["net", 0.6509922890406379], ["patrick", 0.5807127888669579], ["goalkeep", 0.4888575420876624]]</t>
  </si>
  <si>
    <t>Imagine playing Shatta Wale's enter the net song in the background of Patrick Schick'a keeper enter the net simple koraaa😂😂. I feel for the goalkeeper 🤣🤣😩. Patrick Schick filthy goal!!! #SCOCZE. Czech republic's Goalkeeper today - #SCOCZE EURO 2020.</t>
  </si>
  <si>
    <t>[["sub", 0.7148944713931594], ["2nd", 0.6992323610728377]]</t>
  </si>
  <si>
    <t>Steve Clarke got todays line up and subs all wrong. All FM players watching Hlozek being subbed in at the euros. Vydra good sub to bring on here. Get in behind. He's made 3 subs. Gilmour isn't on. Patterson isn't in. O'Donnell is still on. Mcginn and mctominay 2nd half.</t>
  </si>
  <si>
    <t>[["brought", 0.7482556968592678], ["forrest", 0.663410440163291]]</t>
  </si>
  <si>
    <t>James Forrest🤣🤣🤣 clarke needs to stay off the sauce. He's just subbed o'donnell for forrest I've got no words. Dykes and Forrest should have been on half an hour ago ffs. 5 subs, Gilmour and Patterson not even brought on. Pathetic.</t>
  </si>
  <si>
    <t>[["dyke", 0.7155822669978562], ["final", 0.3866853134303729], ["odonnel", 0.3557974573250254], ["forrest", 0.3293452899690175], ["champion", 0.32149080371253824]]</t>
  </si>
  <si>
    <t>Oh look ODonnell finally off for Forrest. And Nisbet on for Dykes. Dykes off, football wins.. FINALLY TAKES O’DONNELL OFF AND PUTS ON FORREST WHEN PATTERSON IS SITTING THERE 😂😂😂😂😂😂😂😂😂😂. DYKES OFF FINALLY. Champions League Winner still on bench. Hilarious. #Sco.</t>
  </si>
  <si>
    <t>[["forrest", 1.0]]</t>
  </si>
  <si>
    <t>Craig | ☀️🌵 Suns in FOAH Will Forrest take his shirt off if he scores? FINALLY TAKES O’DONNELL OFF AND PUTS ON FORREST WHEN PATTERSON IS SITTING THERE 😂😂😂😂😂😂😂😂😂😂. And Forrest is on now. Clarke yet again picking players based on current form…. James Forrest. Good player.</t>
  </si>
  <si>
    <t>[["crimin", 0.7426902681040275], ["like", 0.6696350988886169]]</t>
  </si>
  <si>
    <t>Watch Steve Clarke come out with some bullshit likes theres been positives to take in his interview after the game 🤦🏻‍♂️🤦🏻‍♂️. Team like Scotland having a player like Billy Gilmour and not using him is absolutely criminal....</t>
  </si>
  <si>
    <t>[["marshal", 1.0]]</t>
  </si>
  <si>
    <t>Good save Marshall vydra close to a 3rd. Great save, Marshall. 👏. #SCOCZE EURO 2020. David Marshall showing again there that it’s much easier to save shots when not 40 yards off your line. Some cracking goalkeeping from Vaclik and Marshall today 🧤.</t>
  </si>
  <si>
    <t>Imagine being a ref at the Euros and being this fucking shite at your job #SCO. The ref's given Scotland nothing today #SCOCZE. This ref is shiiiiiit #SCO #CZE. On a scale of 10-10 how much does this ref need the Czechs to win? EURO 2020 #Scotland.</t>
  </si>
  <si>
    <t>[["schick", 0.7086061427007416], ["blame", 0.7056042336372255]]</t>
  </si>
  <si>
    <t>Schick 2nd goal was sick! #SCOCZE. Harsh to blame Hendry for the second goal because he took a shot. Should be blaming Marshall for being so far up the pitch #SCOCZE. That second schick is pretty decent. Schick. Vaclík. No more words needed. EURO 2020.</t>
  </si>
  <si>
    <t>[["goal", 0.5890069230923752], ["sensat", 0.37953160179224416], ["blame", 0.3387884213947702], ["patrick", 0.32970698049882596], ["patrik", 0.32406526255925716], ["simpl", 0.3169697001576696], ["secur", 0.2829385712726514]]</t>
  </si>
  <si>
    <t>Blaming Jack Hendry for taking a shot, not having it. That's football. That patrick schick goal will win goal of the tournament. Patrik Schick's wonder goal secures an opening game win for Czech Republic. Simple sensational. EURO 2020.</t>
  </si>
  <si>
    <t>[["schick", 0.80162825638572], ["armchair", 0.45836358407516736], ["least", 0.3837902595920815]]</t>
  </si>
  <si>
    <t>Schick is a great player. PATRIK SCHICK TAKE A BOW. Never heard or seen Partrick Schick but ayeee what a player!! At least England Croatia are there for the taking! #SCO. If only the Twitter armchair football players were on the field. They would have had it sorted. 🙄 #SCO.</t>
  </si>
  <si>
    <t>[["clark", 0.7199713027520903], ["2nd", 0.6940038351576003]]</t>
  </si>
  <si>
    <t>Nice victory for my 2nd team #CZE. Clarke needs to quit picking his pals and pick players who will make a difference otherwise we’re fucking wasting our time here #SCO. Can we sub Steve Clarke for the rest of the euros ? Mcginn and mctominay 2nd half.</t>
  </si>
  <si>
    <t>[["final", 1.0]]</t>
  </si>
  <si>
    <t>Final whistle drowned out by the sound of school kid’s hearts breaking across the country... #SCO EURO 2020. Final #SCO 0 #CZE 2. Scotland fans boo their team at the final whistle. Disgraceful. #SCOCZE. 🇲🇰 North Macedonia's first final tournament 🔜. EURO 2020. #SCOCZE final.</t>
  </si>
  <si>
    <t>[["cost", 1.0]]</t>
  </si>
  <si>
    <t>We had better chances and were the better team. Hendry taking a shot from 40 yards and Dykes not finishing cost us. So disappointing, not taking our chances has cost us big time 😢. #SCO EURO 2020.</t>
  </si>
  <si>
    <t>We should have played the game at Gayfield, Gets in win #sco. Why does Billy Gilmour not play for Scotland, he just be better than some of these that play in the Scottish league. #YESSIRICANBOOGIE. But Scotland can't play football. 🤣🤣🤣🤣🤣. #SCOCZE.</t>
  </si>
  <si>
    <t>#SCOCZE-v15-b0.7-e0.7-grouped-split</t>
  </si>
  <si>
    <t>Schick</t>
  </si>
  <si>
    <t>Che Adams for Christie</t>
  </si>
  <si>
    <t>Holeš for Kral</t>
  </si>
  <si>
    <t>Fraser for Amstrong</t>
  </si>
  <si>
    <t>McGregor for Hendry</t>
  </si>
  <si>
    <t>Hložek for Jankto</t>
  </si>
  <si>
    <t>Vydra for Masopust</t>
  </si>
  <si>
    <t>Forrest for O'Donnell</t>
  </si>
  <si>
    <t>Nisbet for Dykes</t>
  </si>
  <si>
    <t>Ševčik for Schick</t>
  </si>
  <si>
    <t>Krmencik for Darida</t>
  </si>
  <si>
    <t>[["happen", 0.5701922540972791], ["matchday", 0.48423721293236854], ["kick", 0.47207373301313443], ["budapest", 0.4664134491821601]]</t>
  </si>
  <si>
    <t>EURO 2020 Kick-off in Budapest! Hungary Vs France ⚽. What are your predictions? ⚽️ KICK-OFF! 🇭🇺🆚🇫🇷. ℹ️ Group F, matchday 2. 🤔 What will happen in Budapest? EURO 2020. Kick-off ⚽️ Here. We go. Allez Les Bleus!!! #HUNFRA Fiersdetre Bleus.</t>
  </si>
  <si>
    <t>[["yellow", 0.8135778477126216], ["pavard", 0.5814560049662384]]</t>
  </si>
  <si>
    <t>PAVARD YELLOW ! 🤦‍♂️. EURO 2020 #HUNFRA reference should give 2 yellow cards - Varane and Pavard! Pavard’s looking to get a red card. Mello Yellow Pavard. Pavard is gonna get cooked after that yellow on that flank. 📸 - Pavard on a yellow card already, within 10 minutes..</t>
  </si>
  <si>
    <t>[["offsid", 0.9323606091053456], ["griezmann", 0.36152965934859194]]</t>
  </si>
  <si>
    <t>Griezmann eh score that wtf lmao even if it offside. I know he's offside but that's so poor from Griezmann. Offside but Griezmann has to find the back of the net there. Griezmann lucky he was offsides bc that was a terrible miss.</t>
  </si>
  <si>
    <t>Fantastic save from the GK. #HUN. Good save but Griezmann should be scoring there. Almost benzema good save by the keeper. Great save by Gulasci after his own error. Offside though.. EURO 2020. Whatta double save! EURO 2020 #HUNFRA. Gulacsi mate. What a save. #HUNFRA.</t>
  </si>
  <si>
    <t>[["kant", 1.0]]</t>
  </si>
  <si>
    <t>What a player Kante is. KANTE, What a Player. DRIVER. Kanté best player in the world?? Arguably. Don’t @ me. I fucking love watching the little wizard. #FRA. Kante’s ability to glide past players with such speed is incredible. Kante is an infinitely greater player than Pogba.</t>
  </si>
  <si>
    <t>[["dign", 0.8343449895708207], ["kant", 0.38978740255302446], ["cross", 0.38978740255302446]]</t>
  </si>
  <si>
    <t>Kante what a run! Hand him the ball on d'or asap! Kante all alone passed 3/4 of the players im yelling. Digne's crosses are so good. Mbappe should have done better with that. Kylian kylian kylian that was so close that pass from digne 🔥.</t>
  </si>
  <si>
    <t>[["world", 0.8340553084619575], ["kant", 0.5516808338400281]]</t>
  </si>
  <si>
    <t>Kante and Pogba is the best pivot in world football. Kante is the second best player in the world ((after Neymar)) Ngolo Kante, best player in the World 💙. Kante is the best player in the world at the moment. No cap. Kante is the best midfielder in the world btw.</t>
  </si>
  <si>
    <t>[["mbapp", 0.9229404279929313], ["score", 0.38494280922784463]]</t>
  </si>
  <si>
    <t>Mbappe that is a goal na wtf. 🇫🇷 Vs 🇭🇺 starts in about 40 minutes from now!. ⚽️do you think the goal scorers will be?. 🏆Who wins the match, vote below! #FRAHUN #mbappe. Mbappe just wasted a Digne assist. Mbappe should have scored there. Ufff, I thought Mbappe had scored that.</t>
  </si>
  <si>
    <t>[["mbapp", 1.0]]</t>
  </si>
  <si>
    <t>Mbappe with another free header wa o. Mbappe ffsss. Digne and Mbappe link up. 8 yards out free header 200 mill mbappe get fucked. Quase gol do mbappe. We’ve only made one 100m+ signing in 7 years ffs. Wake up Real Madrid C.F. sancho haaland and mbappe are all available.</t>
  </si>
  <si>
    <t>[["freekick", 0.843150130116547], ["mbapp", 0.5376782105353066]]</t>
  </si>
  <si>
    <t>Why did Mbappe take that freekick ??? Ffs why does mbappe take it? Digne is goated with free kicks. Arguably the best free kick taker in that French squad. Mbappe tryna take freekicks loool😭. Can these Hungary players stop getting shot in the head I wanna watch Mbappe.</t>
  </si>
  <si>
    <t>[["mbapp", 0.9013810215741429], ["free", 0.4330268512990324]]</t>
  </si>
  <si>
    <t>Why is mbappe taking free kicks? 😭. This Mbappe ego 🤢🤢. Now he wants to play the Free-kick. That must’ve hurt bro getting a shot from mbappe to the face😭😭😭. Oh le head shot de mbappe la. Mbappe lining up for a free kick una 😂. Seriously Has mbappe ever scored a free kick goal?</t>
  </si>
  <si>
    <t>[["kick", 0.7448210461769347], ["free", 0.6672642723628297]]</t>
  </si>
  <si>
    <t>Surely Digne takes the free kick ? Why is mbappe taking free kicks? 😭. Should’ve put Digne on the free kick. Ffs why does mbappe take it? Digne is goated with free kicks. Arguably the best free kick taker in that French squad. Why’s Benzema not on free kicks.</t>
  </si>
  <si>
    <t>[["giroud", 1.0]]</t>
  </si>
  <si>
    <t>Giroud is scoring that just saying 🙃. Get this benzema out of my sight. Giroud scores there! That would have been an easy goal for Giroud. Nahh, if Giroud plays, France will be leading by 2 or 3 goals ady 😂. #HUNFRA. Giroud will score this goal falaaaaa.</t>
  </si>
  <si>
    <t>Get Giroud back ffs. NOOO BENZEMA THAT PASS FFSSS. See Benzema too ffs. How’s Benzema missed that ffs. Remove this dead striker and put Giroud ffs. Benzema just robbed Mbappe of a filthy assist ffs. Bring Giroud in, these guys are incapable of finishing ffs. Ffs bring giroud on!</t>
  </si>
  <si>
    <t>Mbappe don use ball blow person head. What's France doing. Beautiful pass from Mbappe and yet another chance missed. That touch and lay off by Mbappe 🔥. Look at that ball from grizzou and the flick by mbappe 😍😍. Mbappe what pass but what did Benzema do 😭😭.</t>
  </si>
  <si>
    <t>[["benzema", 1.0]]</t>
  </si>
  <si>
    <t>Benzema should be subbed off immediately for ruining that. That would’ve been such a good goal ffsss. Griezmann ball over the top, Mbappe touch and reverse pass, Benzema half volley. Benzema isn’t even half the player giroud is for France. I need a goal from Benzema now. Come on.</t>
  </si>
  <si>
    <t>[["striker", 0.637180694188279], ["benzema", 0.5897049870111787], ["class", 0.496234613109453]]</t>
  </si>
  <si>
    <t>And that’s why Giroud is France’s best striker…. So class from mbappe. Smh look at this pipe of a striker called benzema. Oh my, that was class. Benzema needs to do better... Benzema out here missing sitters. My striker couldn’t. Benzema knows what he’s doing. My striker 😻.</t>
  </si>
  <si>
    <t>[["benzema", 0.7901375479180197], ["player", 0.4651794209219626], ["piss", 0.39911246750860413]]</t>
  </si>
  <si>
    <t>Benzema isn’t even half the player giroud is for France. Benzema is really taking the piss now. Benzema is just running and playing passes into the Hungary players man😂😂😂. #Benzema is one of the most overrated players out there. #HUNFRA.</t>
  </si>
  <si>
    <t>[["mbapp", 0.9423001181721449], ["benzema", 0.3347693045856533]]</t>
  </si>
  <si>
    <t>If mbappe and benzema eventually click properly in this tournament, they will most likely win. Master class final pass from Mbappe, very poor delivery from Benzema.. EURO 2020. If Mbappe joins the reds I’m giving up on football. Mbappe is the best footballer in the world man.</t>
  </si>
  <si>
    <t>[["target", 0.6907923647867107], ["harri", 0.5141484722912865], ["shot", 0.4123995864803772], ["hasnt", 0.22088942299137293], ["reason", 0.19897663449327985]]</t>
  </si>
  <si>
    <t>LOL that’s the kinda shots Giroud slaps in. If only this Benzema shot had the accuracy of the previous attempt. The reason why Harry Kane hasn’t even had a shot on target in EURO 2020. Such a poor shot by Benzema. France could be leading now if it was on target!! #FRA EURO 2020.</t>
  </si>
  <si>
    <t>[["bring", 0.5760010858196556], ["win", 0.48769570237871984], ["giroud", 0.4842296624432398], ["pitch", 0.44260285248291253]]</t>
  </si>
  <si>
    <t>Benzema should stick to videoing valbuena imo bring giroud on and France win 8-0. France are winning rn if Giroud is on the pitch. If they really want to win they should bring on CL Winner Olivier Giroud. Bring Lemar or Tolisso on for Rabiot, he's not a footballer.</t>
  </si>
  <si>
    <t>[["peep", 0.7104760850958661], ["creativ", 0.6144931218715276], ["poor", 0.3429605453684659]]</t>
  </si>
  <si>
    <t>📸 - Another good chance for France to score but Benzema with a poor pass.. Peep the touch and creativity from Mbappe, class..</t>
  </si>
  <si>
    <t>[["peep", 0.6901482891284417], ["creativ", 0.5341375770695383], ["touch", 0.4882544293453648]]</t>
  </si>
  <si>
    <t>Still in awe of that touch and pass from Mbappe, would have been a class assist. Peep the touch and creativity from Mbappe, class..</t>
  </si>
  <si>
    <t>Pogba is balling again. Get Pogba into this game.... Griezmann and Rabiot holding the ball too long. Pogba doesn't know when to pass. Nothing concern Kante for this game, just stand behind Pogba and Greizman, collect loose ball, give them back and rest. Kante Nwa Jesus.</t>
  </si>
  <si>
    <t>[["major", 0.5526948892679924], ["futur", 0.5080762243037846], ["move", 0.484492336119505], ["soccer", 0.4490591118279603]]</t>
  </si>
  <si>
    <t>Griezmann wants an Major League Soccer move in the future 👀.</t>
  </si>
  <si>
    <t>Hungary have taken the lead against France! 1-0 #HUNFRA. Kante error leading to goal? Give him the ballon dor 🥶🥶🥶. Wow #HUN take the lead, what a clinical finish. They lead 1-0 just before half-time. #HUNFRA. Hungary take the lead at the stroke of HT ! #HUNFRA.</t>
  </si>
  <si>
    <t>HUNGARY TAKE THE LEAD!!!! EURO 2020. Wooohoo, #hun take the lead. #hun takes the early lead! 🙀. EURO 2020. #HUN take the lead. sksksksk. The Mighty Magyars take the lead! 🇭🇺. EURO 2020. Wow #HUN take the lead, what a clinical finish. They lead 1-0 just before half-time. #HUNFRA.</t>
  </si>
  <si>
    <t>[["win", 0.7541369503863863], ["champion", 0.553885631579697], ["world", 0.25802913791281334], ["didier", 0.24064316150568632]]</t>
  </si>
  <si>
    <t>Who will win today's match between Germany 🇩🇪 vs Portugal 🇵🇹? EURO 2020. Portugalvs Germany. Hungary have taken the lead against France! 1-0 #HUNFRA. Quality goal against the world champions! EURO 2020. Made in Chelsea.. Who's winning the midfield battle? 🤔. EURO 2020.</t>
  </si>
  <si>
    <t>[["gol", 0.8176369049701309], ["ff", 0.5757342196108074]]</t>
  </si>
  <si>
    <t>Gol de #HUN 😳. If Southgate subbed kane off yesterday, deschamps should send benzema home at half-time. Even giroud would have scored those chances ffs. I captained mbappe ffs. Deschamps gonna cost Kante a Ballon d’Or ffsss. Varane Tax ffs. Should've started my man Clement.</t>
  </si>
  <si>
    <t>[["champion", 1.0]]</t>
  </si>
  <si>
    <t>Tokono World Champions #Fra. Puskas Arena erupts. 1-0 against world champions. What a goal against world champions 😍😍😍. #HUN. Can you believe it. Hungary 1 - world Champions 0 #FRAHUN. OH MY WORD! HUNGARY HAVE TAKEN THE LEAD AGAINST THE WORLD CHAMPIONS! 🤩. EURO 2020 Euro Fantasy.</t>
  </si>
  <si>
    <t>[["unseri", 0.6272154345969002], ["job", 0.5873462614582523], ["varan", 0.24867158623852362], ["fiola", 0.21842423750252093], ["near", 0.20023526391524682], ["sleep", 0.20023526391524682], ["touch", 0.18990877696238462], ["stuff", 0.18927439611772354]]</t>
  </si>
  <si>
    <t>Varane couldn’t touch him. Fiola's first touch there was a beauty. EURO 2020. I love this,soak it up and surprise them !. He had just one job and he passed ! #HUN. Lloris gets beat at his near post, Pavard ball watching, Varane sleeping at his job. Very unserious stuff all around.</t>
  </si>
  <si>
    <t>[["llori", 1.0]]</t>
  </si>
  <si>
    <t>Lloris is not a very good keeper is he #HUNFRA. Lloris should've saved that man. How is this guy still their #1 let alone captain. Lloris should save that. Also, Lloris is a very very average goalkeeper. That’s not on Lloris. Defenders left him one on one.</t>
  </si>
  <si>
    <t>[["near", 0.8110875941545038], ["llori", 0.5849247084955967]]</t>
  </si>
  <si>
    <t>Lloris getting beat near post…. Lloris left a gaping gap at his near post. It’s like Lloris only got one arm... he’s so bad on his near post. Lloris beaten at near post. Shockingly over rated keeper. Lloris moving like ddg and ter stegen at the near post😭.</t>
  </si>
  <si>
    <t>[["behind", 0.8204741768772246], ["drill", 0.5716835882528384]]</t>
  </si>
  <si>
    <t>France are losing to Hungary, this is not a drill. The world champions are losing to Hungary.😳#FRAHUN. The World Champions are behind! This is not a drill. 😬. EURO 2020 #HUN.</t>
  </si>
  <si>
    <t>[["drill", 0.7978792195061545], ["behind", 0.6028173447075406]]</t>
  </si>
  <si>
    <t>[["dribbl", 1.0]]</t>
  </si>
  <si>
    <t>Lol kante dribbling 😂🤦🏾‍♂️. Why Kante try to dribble every time he got the ball????? Kante Trying To Dribble His Way Outta Pressure. Dude If You Don’t Go Tackle. Kante not having a good game. Forcing dribbles and it is not quite working for him. Kante trying to dribble 😭.</t>
  </si>
  <si>
    <t>Giroud is Frances best player 👍. Giroud is France’s best striker. Now if you want to win this match you have not choice than to bring in Giroud. France best striker 👌. Come save them Giroud 😅. Giroud unlucky not to feature. Benzema not having his best half of football. #HUNFRA.</t>
  </si>
  <si>
    <t>[["bu", 0.721657084965308], ["spoil", 0.6922507144953872]]</t>
  </si>
  <si>
    <t>Hungary now change their tactics and put three defender at the back 😂😂 it seems like they trying to park bus there #HUN EURO 2020. “Pogba and Kante is the best midfield pivot” 😹. Today wey them no dey park the bus them don place spoil 😭.</t>
  </si>
  <si>
    <t>[["scene", 1.0]]</t>
  </si>
  <si>
    <t>Hungary score. Absolute scenes. Those celebrations is why I ❤️football. EURO 2020 #HUNFRA.. 🇭🇺 When you score against the world champions... 🥳 Scenes in Budapest!. EURO 2020.</t>
  </si>
  <si>
    <t>🇭🇺 When you score against the world champions... 🥳 Scenes in Budapest!. EURO 2020.</t>
  </si>
  <si>
    <t>[["scene", 0.7763357204170638], ["champion", 0.6303196405035453]]</t>
  </si>
  <si>
    <t>[["sei", 0.5592711830043087], ["kwasia", 0.5592711830043087], ["giroud", 0.45586055126772773], ["2018", 0.4081943722294631]]</t>
  </si>
  <si>
    <t>This coach has not been starting Giroud because of what he said about some players not passing to him. You can't tell me otherwise. Chelsea fans are saying Giroud over Benzema forgetting Giroud played 2018 World Cup and got 0 shots on target. Kwasia player sei.</t>
  </si>
  <si>
    <t>[["itw", 1.0]]</t>
  </si>
  <si>
    <t>Hugo Lloris vs Hongria | Highlights🔥📈 | Best Goalkeeper itw?👀🌟 | The French Buffon⁉️⁉️ #HONFRA. Same people who mock Maguire rate Varane as the best ITW 😭.</t>
  </si>
  <si>
    <t>[["fiola", 0.7403234681528592], ["crazi", 0.41534206856124845], ["benzema", 0.3810370612445822], ["hungri", 0.3663644176820099]]</t>
  </si>
  <si>
    <t>Benjamin Pavard- Crazy Football Defensive skills Tackled. Benzema now goKarting.. with Benzema leading the line france won't pass Quater finals. When the English say “Football’s coming home”…. #Fiola #HUNFRA. Hungary are hungry to win this #HUNFRA.</t>
  </si>
  <si>
    <t>[["champ", 0.6286566503961025], ["mood", 0.5748619024971087], ["lead", 0.5237600681324963]]</t>
  </si>
  <si>
    <t>Hungary lead at half-time. 🇭🇺1-0 🇫🇷 #HUNFRA Fiersdetre Bleus. #HUN strike first and lead #FRA 1-0 at halftime💥. (🎥: TUDN USA). A shocker in the making? #HUN leads #FRA!. (via ESPN FC). #HUN mood after taking the lead against the World Champs 😤.</t>
  </si>
  <si>
    <t>[["champ", 0.6221217834630501], ["mood", 0.569004861510274], ["lead", 0.5377712842077266]]</t>
  </si>
  <si>
    <t>Upset alert? 👀. Hungary go up just before halftime against the reigning World Champs 🥶. EURO 2020.. #HUN mood after taking the lead against the World Champs 😤.</t>
  </si>
  <si>
    <t>[["champ", 0.6221934936648776], ["mood", 0.5689518042386906], ["lead", 0.5377444568702056]]</t>
  </si>
  <si>
    <t>#HUN mood after taking the lead against the World Champs 😤.</t>
  </si>
  <si>
    <t>[["pogba", 0.8660340688173926], ["player", 0.49998499142233405]]</t>
  </si>
  <si>
    <t>BEST PLAYER IN FRANCE HISTORY POGBA. Pogba is some player. Look at Pogba man, una go dey slander this special player smh. Pogba for France is a different player ❄️ ❄️. Pogba is such a lovely player for France yc. Paul pogba is actually the worst player on the pitch holy shit.</t>
  </si>
  <si>
    <t>[["unbeaten", 0.8068019878848423], ["hungari", 0.5908219294720423]]</t>
  </si>
  <si>
    <t>Hungary will win this. #HUN. I just turned the football on for the second half. Buzzing for Hungary!!! EURO 2020. The football world to Hungary if they pull this off.. #HUNFRA EURO 2020. 🇭🇺 Hungary are unbeaten against France at EURO finals (W3 D1) 💪. EURO 2020.</t>
  </si>
  <si>
    <t>[["duck", 1.0]]</t>
  </si>
  <si>
    <t>Antoine Griezmann taking a photo of a duck #FRA.</t>
  </si>
  <si>
    <t>[["stood", 1.0]]</t>
  </si>
  <si>
    <t>🇭🇺🆚🇫🇷 Which players have stood out?. EURO 2020.</t>
  </si>
  <si>
    <t>[["rabiot", 1.0]]</t>
  </si>
  <si>
    <t>Rabiot is not great at football. Rabiot out France win. Rabiot finally coming off he’s been meady. Rabiot off for an attacker and they’re winning this game. Rabiot finally off. Finally rabiot coming off, my eyes cannot when i see both pogba and him so casual.</t>
  </si>
  <si>
    <t>Pogba used all his 4 good passes last game. 💀. Why is kante not getting passes from his teammates? Smh. The french midfield today: • passes into the box ❌. • pass to pavard and hope he crosses ✅. Just pass the ball Sterling EURO 2020..</t>
  </si>
  <si>
    <t>I hope Chelsea FC is watching how terrible Varane is as a defender. Don't wanna see him anywhere close to our great club. EURO 2020. Love how #HUN defend!!! Varane, Kimpembe and Pavard are useless and overrated defenders ☺.</t>
  </si>
  <si>
    <t>[["dembel", 1.0]]</t>
  </si>
  <si>
    <t>Dembele just dashing balls away EURO 2020. Does Dembele not realise he's meant to pass to the team in white?? #FRA. Dembele’s passing has been poor #HUNFRA. It's quite difficult to mark a player like Dembele who can hit the ball real hard with both feet... EURO 2020.</t>
  </si>
  <si>
    <t>[["invert", 0.7894742631565271], ["varan", 0.613783665319841]]</t>
  </si>
  <si>
    <t>Thank god the varane is good at football myth has been busted today. Varane will be cooked in the premier league. #HUNFRA. France ain't winning nun w varane starting. Varane’s inverted knees is kicking his ass. Very few ppl make it to pro football with inverted knees.</t>
  </si>
  <si>
    <t>[["greizmann", 0.517093017032846], ["chaotic", 0.4225637127998747], ["let", 0.40153618146675374], ["fulli", 0.38169247604706724], ["sexi", 0.38169247604706724], ["invert", 0.16079079714217068], ["knee", 0.1557832637011346], ["varan", 0.14854712848627075], ["giroud", 0.12868273755614057], ["ass", 0.11268327635642693]]</t>
  </si>
  <si>
    <t>A go take zouma like dat na varane di3 no lie. Take Benzema off bring in Giroud. Varane’s inverted knees is kicking his ass. Very few ppl make it to pro football with inverted knees. Take Greizmann off for Giroud, let’s see big sexy and Benzema together, let’s get fully chaotic.</t>
  </si>
  <si>
    <t>[["llori", 0.8167963439792595], ["mbapp", 0.5769261065874165]]</t>
  </si>
  <si>
    <t>That ball by lloris and the work by mbappe class. The ball by lloris is incredible, Mbappe still great there though. Route one long ball by Lloris, Mbappe pace, Griezman with the finish.. 1-1 come on let's win this boys. When does Lloris ever kick a ball like that for us 🤷🏼‍♂️.</t>
  </si>
  <si>
    <t>[["dribbl", 0.5525429229419718], ["red", 0.5082404461070485], ["yellow", 0.483034233159638], ["pavard", 0.4506283355976752]]</t>
  </si>
  <si>
    <t>Mbappe's dribbling is worse than Ronaldo dfkm. Pavard needs to get a second yellow there…. Pavard might see red this game he needs to come off. Pavard fit collect red o. If pavard gets a red I know they're gonna be sick. Pavard on the yellow/red card knofe’a edge #HUNFRA.</t>
  </si>
  <si>
    <t>[["final", 0.8429943229877841], ["bring", 0.5379224585480399]]</t>
  </si>
  <si>
    <t>Has the commentator just said pogba was outstanding in the champions league final 🤣 get paid real money these. Bring on Giroud if you want to win the game. Pavard is really trying to get himself sent off 😭 his Bayern form is finally showing up in the France team. Finally!! #FRA🙌.</t>
  </si>
  <si>
    <t>[["assist", 0.9662248638703236], ["equalis", 0.25770043158437794]]</t>
  </si>
  <si>
    <t>First Half. ⚽️ | GOAL - Attila Fiola. 🅰 | ASSIST - Roland Sallai. 🇭🇺 Hungary 1-0 France 🇫🇷. Griezmann how you celebrating like that 😂😂😂😂 it’s a equaliser. Does Mbappe get the assist for that? Pls tell me thats a mbappe assist 😭. Give the assist to Lloris, what a wonder ball.</t>
  </si>
  <si>
    <t>Gooooooooooooooooooooooooooooooooooooooooooooooooooooooooooollllllll de #FRA. Gol de #FRA 🥳 EURO 2020. 80% do gol foi do Mbappe. Gol frances !!!! #Griezmann 1-1. 💥‼️ GOOOOOOOOOOOOOOL DE GRIZI 💃🏻💃🏻💃🏻💃🏻 #FRA EURO 2020. Empate a 1️⃣. Goooool de Antoine 😍 EURO 2020. ¡Gooooool de #FRA!</t>
  </si>
  <si>
    <t>If this Mbappe guy is the best player in the world then good lord I’m done with this sport. Mbappe is out of this world. Class from Mbappe. Dembouz should of went where mbappe passed but he doesnt have that strikers instinct. Griezmannnnnnnn, best in the world. Mbappe Speed Tax.</t>
  </si>
  <si>
    <t>Route one pays off for the French. Great kick out from Lloris #FRA. I mean Hugo Lloris kicking has been brilliant this euros. Can’t seem to do it for Spurs! What a kick from LLoris. Best Goal kick #Lloris has ever taken! #Fra goooooal. Best kick I’ve seen Lloris do 😂.</t>
  </si>
  <si>
    <t>Mbappe is easily the best player itw. MBAPPE WHAT A PLAYER. It's so easy to take ball off Mbappe and dembele. Mbappe c'mon 🙄🙄🙄. Wetin these France players smoke today, even Griezouuuu 😒😒😒. That goal was all Mbappe. White trash taking credit smh. Take mbappe off for Coman!</t>
  </si>
  <si>
    <t>[["griezmann", 1.0]]</t>
  </si>
  <si>
    <t>Griezmann getting an equaliser in a Euros game against an underdog. They should take that goal off griezmann just because of that celebration ffs. Not me checking the score to see hungary vs france 1-0 only to see a tweet go 'griezmann scored' 36 seconds ago.</t>
  </si>
  <si>
    <t>[["quintupl", 0.8164840550862431], ["newcastl", 0.4239352793133812], ["griezmann", 0.3919600320739476]]</t>
  </si>
  <si>
    <t>Griezmann giving me proper Dan James vibes celebrating like that whilst they're not winning😭. Finally griezmann. 🙌🏽 Still want 3 more. Goallll!!!!! Finally Griezmann we know back in the game. Antoine Griezmann is the first quintuple-winning Newcastle manager to score in Euro 2020.</t>
  </si>
  <si>
    <t>[["might", 0.7431667094190976], ["realli", 0.6691063009800391]]</t>
  </si>
  <si>
    <t>Mbappe really doing well. France might win this game.</t>
  </si>
  <si>
    <t>[["debat", 1.0]]</t>
  </si>
  <si>
    <t>Antoine Griezmann is the best International player of the last 5 years and it's not up for debate..</t>
  </si>
  <si>
    <t>I thought the new rule says any kind of handball from the striker stops the play ,didn’t Mbappe touch it with his hand ? POGBA: Don’t touch me 😂. Peep the touch and creativity from Mbappe, class.. Benzema every time he touches the ball. 😂 Pogba said “don’t touch me”.</t>
  </si>
  <si>
    <t>[["antoin", 1.0]]</t>
  </si>
  <si>
    <t>You think Antoine Griezmann wasn’t scoring on Juneteenth weekend? TUH. You know it’s black solidarity with all black people. 🇫🇷 Antoine Griezmann has now scored 38 goals for France in 93 games ⚽️. EURO 2020.</t>
  </si>
  <si>
    <t>😂 Pogba said “don’t touch me”. Pogba has only passed sideways or backwards this game btw. Pogba doesn't know when to pass or dribble. Almost cost France. Pogba man just release the goddamn ball. Every time pogba wins the ball, he loses it lol.</t>
  </si>
  <si>
    <t>[["giroud", 0.8093973837636355], ["pogba", 0.5872613346344048]]</t>
  </si>
  <si>
    <t>Giroud finally coming on about 75 minutes to late EURO 2020. Finally Giroud. Get in the fucking bin Benzema. Pogba off Giroud on. France winning 1:4 now. 😢. Giroud has to be one of the top 5 hottest football players currently playing #FRA.</t>
  </si>
  <si>
    <t>[["sallai", 1.0]]</t>
  </si>
  <si>
    <t>Roland Sallai is the most fouled player in the match (6 times). #HUN. Sallai good player. Roland Sallai is a good player mayn.</t>
  </si>
  <si>
    <t>France need a goal and they bring on Giroud 😂😂🤣🤣. I’m a Barca fan but Benzema over Giroud any day. He’s footwork, goal scoring ability and speed than Giroud. Giroud to score the winning assist or goal, let's go! If Giroud scores we’ll never hear the end of it.</t>
  </si>
  <si>
    <t>What is this sub now? could only be for Benzema but that makes no sense. Did he just sub pogba off!?? Sub this benzema guy jur!!! Benzema getting subbed off for Giroud. Justice. Wait it was rabiot they subbed ahahahahah. Told u bout that bum. Nazoke good subs now let's go #FRA.</t>
  </si>
  <si>
    <t>[["wake", 0.7071067812551767], ["giroud", 0.7071067811179184]]</t>
  </si>
  <si>
    <t>Giroud ball let’s get it. YES GIROUD INNNN!! OLIVER BALL TO THE WORLD 🥺🥺🥺🔥🔥🔥🔥🔥. Giroud from a Dembouz cross my meat is breaking. Will Mbappe pass it to Giroud? OHHH MY GODDDD OLIVIER GIROUD IS ON HE WILL SCORE THE WINNER I FEEL IT IN MY BALLS HENRY WAKE UP WAKE UP.</t>
  </si>
  <si>
    <t>On my knees for a Giroud goal 🤞. How are you bringing on Giroud but taking off Pogba ?¿ 😞. Chelsea fans are saying Giroud over Benzema forgetting Giroud played 2018 World Cup and got 0 shots on target. Kwasia player sei.</t>
  </si>
  <si>
    <t>Mbappe to score the winning goal 🥅. 80': #FRA 1-1 #HUN. If i was mbappe i’d have simply just scored. Mbappe has an assist in this game in my book of facts 👍. That was nearly a beautiful goal from Mbappe 🤌🏽. If mbappe passed to giroud, it would have been a goal 🤦‍♀️.</t>
  </si>
  <si>
    <t>[["save", 0.9364795533131639], ["gulacsi", 0.35072217812162537]]</t>
  </si>
  <si>
    <t>How did he save that #HUNFRA. Hmmm good save from Mbappe but not sure why Giroud isn't trying to get a tap in there? What a save Gulacsi. That was save of the tournament by Hungary keeper EURO 2020. Another great save! Lucky #HUN. Gila-gila goalkeeper #HUN ni save 😱🔥.</t>
  </si>
  <si>
    <t>Shit shot from mbappe. Raw finish from Mbappe, has to find the corner there. Mbappe fi pick a corner.. a wah dat. Mbappe you shot it right at him!!!! Come on mbappe back of the net. Mbappe really needs to hit the bottom corner there, come on man that was great from Giroooo.</t>
  </si>
  <si>
    <t>[["might", 1.0]]</t>
  </si>
  <si>
    <t>Mbappe just might be a good footballer. Oooh boy how has Mbappe not scored there. Starting to think my 4-0 France win might be unlikely #FRA. France might not get the win but Greizmann n Mbappe look like they’ve arrived.</t>
  </si>
  <si>
    <t>The hungary keeper looks like gay evil peter cech. #HUNFRA. Gulacsi is a decent keeper tbf. Mbappe needs to finish that, go low and hit it across the keeper smh. Hungary's keeper putting in a solid shift #hun. Mbappe has to score there... not shoot straight at the keeper.</t>
  </si>
  <si>
    <t>[["lemar", 0.9104219242147844], ["dembel", 0.41368093974589837]]</t>
  </si>
  <si>
    <t>Man said lemar when you need a goal 💀. France need a goal and they sub on lemar😭😭. It took 86mins for brainless Deschamps to realise Lemar needs to come in 🤦‍♂️. France need a goal and they bring on Dembele and Lemar😭😭. Deschamps is crazy for subbing off Dembele for fucking Lemar.</t>
  </si>
  <si>
    <t>[["sub", 0.5343456406577316], ["ask", 0.5331248948499423], ["deschamp", 0.47838968033671797], ["dembel", 0.44877154159844973]]</t>
  </si>
  <si>
    <t>Real Madrid asking £80M for Varane is a scam. I’d rather take Pau Torres tbh. Christian Pulisic. Marco Reus. Ousmane Dembele. Talented players that struggle to stay fit... Dembele asking Deschamps why he subbed him on just to take him off.</t>
  </si>
  <si>
    <t>Kante’s been smiling so well how are they not winning. Pogba and Kante pivot about to finally lose. I’m happy Toyin dropped his Kante agenda after that UCL win or? 👀. If kante wins the Ballon Dor im not watching football anymore.</t>
  </si>
  <si>
    <t>[["form", 0.630521703882342], ["werey", 0.49475909987349986], ["nah", 0.49475909987349986], ["wan", 0.2660336897348006], ["return", 0.2051714479261792]]</t>
  </si>
  <si>
    <t>Mbappe nah werey. Giroud give you ball, return am, you wan form match winner..</t>
  </si>
  <si>
    <t>[["wait", 1.0]]</t>
  </si>
  <si>
    <t>Giroud just stands in the box and waits for a loose ball to pounce on. "Don't pass it to Benzema.." Oh wait that's me..</t>
  </si>
  <si>
    <t>[["penalti", 0.6078759164409924], ["kimpemb", 0.5992327183550133], ["pen", 0.520967388100143]]</t>
  </si>
  <si>
    <t>Looks a foul on kimpembe , should be a Pen for #FRA. Penalty to France no? Kimpembe rugby tackled 😂. Tirage de maillot sur kimpembe penalty allo ? They want to give #fra a penalty 🤣🤣🤣. That has to be a penalty EURO 2020. That's a penalty for the attempted undressing of Kimpembe.</t>
  </si>
  <si>
    <t>[["world", 0.8685238971987452], ["point", 0.38781846596049074], ["final", 0.2194082379080777], ["hun", 0.21707856318123014]]</t>
  </si>
  <si>
    <t>Start Giroud ➡️ win the World Cup. Start Benzema ➡️ can’t beat Hungary. 🤷‍♂️. Football fans when they see France and England have the same points Euro 2020. 1-1 against the World Champions. I can live with that. :-P #Hun #Fra.</t>
  </si>
  <si>
    <t>[["deschamp", 0.6623325722208699], ["bare", 0.6283402496954874], ["touch", 0.29037232900171484], ["cross", 0.2866845041818942]]</t>
  </si>
  <si>
    <t>Deschamps ball. Deschamps ball 😳. Varane always gets in the end of crosses and set pieces and barely scores. Mbappe disasterclass. This guy aint touching Rashford. Giroud barely got a pass. #HUNFRA. Lemar really passed there at the end instead of crossing it in 🤣🤣.</t>
  </si>
  <si>
    <t>1-1 against the World Champions. I can live with that. :-P #Hun #Fra. 1-1 it ends, huge result for Hungary who’ve held the world champions. France didn’t have much cutting edge today #HUNFRA. 🇭🇺 When you score against the world champions... 🥳 Scenes in Budapest!. EURO 2020.</t>
  </si>
  <si>
    <t>[["level", 0.6934661245651036], ["champion", 0.3414272305077233], ["finish", 0.33741464200571114], ["point", 0.3284586313398648], ["world", 0.3103588818370417], ["cup", 0.29064726331387336]]</t>
  </si>
  <si>
    <t>Pogba best player in the world? WHAT A RESULT AND A MASSIVE POINT TO TAKE AWAY FOR HUNGARY AGAINST WORLD CHAMPIONS FRANCE #HUNFRA Euro 2020. #HUN 1-1 #FRA FT: It finishes level in Budapest as Hungary take a point from the World Cup Champions..</t>
  </si>
  <si>
    <t>[["fiola", 0.5468217836201801], ["equalis", 0.5153569997455326], ["strike", 0.48151539807962696], ["net", 0.45114966605766904]]</t>
  </si>
  <si>
    <t>GOAL RUSH: HUNGARY 1 - 0 FRANCE (A. Fiola 45+2'). euro 2020 #Fiola. Griezmann. Don’t you fuckin dare equalise pal. ⏰ RESULT ⏰. 🇭🇺 Fiola strikes just before break. 🇫🇷 Griezmann nets second-half equaliser. 🤔 Who impressed you?. EURO 2020.</t>
  </si>
  <si>
    <t>[["fiola", 0.5466873320519082], ["equalis", 0.5157071988041934], ["strike", 0.4813970190537584], ["net", 0.4510387523502324]]</t>
  </si>
  <si>
    <t>⏸️ HALF-TIME ⏸️. 🇭🇺🆚🇫🇷 Fiola puts Hungary ahead before break... 😮 Did you see that coming?. EURO 2020. ⏰ RESULT ⏰. 🇭🇺 Fiola strikes just before break. 🇫🇷 Griezmann nets second-half equaliser. 🤔 Who impressed you?. EURO 2020.</t>
  </si>
  <si>
    <t>[["fiola", 0.5508617615319306], ["equalis", 0.5508617615319306], ["strike", 0.4850729006594092], ["net", 0.39724919183019597]]</t>
  </si>
  <si>
    <t>⏰ RESULT ⏰. 🇭🇺 Fiola strikes just before break. 🇫🇷 Griezmann nets second-half equaliser. 🤔 Who impressed you?. EURO 2020.</t>
  </si>
  <si>
    <t>[["hungri", 1.0]]</t>
  </si>
  <si>
    <t>Hungry players celebrating as if they are in the next round already #HUNFRA. And Hungry were hungry enough to take the draw. This french team can't covert but good job to the Hungarians. #HUNFRA. Euro 2021.</t>
  </si>
  <si>
    <t>#HUNFRA-v15-b0.7-e0.7-grouped-split</t>
  </si>
  <si>
    <r>
      <rPr>
        <u/>
      </rPr>
      <t>The Guardian</t>
    </r>
    <r>
      <rPr>
        <u/>
      </rPr>
      <t xml:space="preserve">, </t>
    </r>
    <r>
      <rPr>
        <u/>
      </rPr>
      <t>BeSoccer</t>
    </r>
    <r>
      <rPr>
        <u/>
      </rPr>
      <t xml:space="preserve">, </t>
    </r>
    <r>
      <rPr>
        <u/>
      </rPr>
      <t>BeSoccer (live)</t>
    </r>
    <r>
      <rPr>
        <u/>
      </rPr>
      <t xml:space="preserve">, </t>
    </r>
    <r>
      <rPr>
        <u/>
      </rPr>
      <t>LiveScore</t>
    </r>
    <r>
      <rPr>
        <u/>
      </rPr>
      <t xml:space="preserve">, </t>
    </r>
    <r>
      <rPr>
        <u/>
      </rPr>
      <t>BBC</t>
    </r>
  </si>
  <si>
    <t>OPinion</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</si>
</sst>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000"/>
    <numFmt numFmtId="165" formatCode="M/d/yyyy H:mm:ss"/>
    <numFmt numFmtId="166" formatCode="h:mm:ss am/pm"/>
  </numFmts>
  <fonts count="16">
    <font>
      <sz val="10.0"/>
      <color rgb="FF000000"/>
      <name val="Arial"/>
      <scheme val="minor"/>
    </font>
    <font>
      <b/>
      <color theme="1"/>
      <name val="Arial"/>
      <scheme val="minor"/>
    </font>
    <font>
      <b/>
      <u/>
      <color rgb="FF1155CC"/>
      <name val="Inconsolata"/>
    </font>
    <font>
      <b/>
      <color theme="1"/>
      <name val="Arial"/>
    </font>
    <font>
      <color theme="1"/>
      <name val="Arial"/>
      <scheme val="minor"/>
    </font>
    <font>
      <b/>
      <sz val="8.0"/>
      <color rgb="FF666666"/>
      <name val="Nunito"/>
    </font>
    <font>
      <color theme="1"/>
      <name val="Inconsolata"/>
    </font>
    <font>
      <color theme="1"/>
      <name val="Arial"/>
    </font>
    <font/>
    <font>
      <sz val="10.0"/>
      <color theme="1"/>
      <name val="Arial"/>
      <scheme val="minor"/>
    </font>
    <font>
      <u/>
      <color rgb="FF000000"/>
      <name val="Arial"/>
    </font>
    <font>
      <u/>
      <color rgb="FF0000FF"/>
    </font>
    <font>
      <u/>
      <color rgb="FF0000FF"/>
      <name val="Arial"/>
    </font>
    <font>
      <color rgb="FF000000"/>
      <name val="Arial"/>
    </font>
    <font>
      <u/>
      <color rgb="FF0000FF"/>
    </font>
    <font>
      <u/>
      <color rgb="FF000000"/>
      <name val="Arial"/>
    </font>
  </fonts>
  <fills count="3">
    <fill>
      <patternFill patternType="none"/>
    </fill>
    <fill>
      <patternFill patternType="lightGray"/>
    </fill>
    <fill>
      <patternFill patternType="solid">
        <fgColor rgb="FFFFFFFF"/>
        <bgColor rgb="FFFFFFFF"/>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4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0"/>
    </xf>
    <xf borderId="0" fillId="0" fontId="3" numFmtId="0" xfId="0" applyAlignment="1" applyFont="1">
      <alignment horizontal="right" readingOrder="0" vertical="bottom"/>
    </xf>
    <xf borderId="0" fillId="0" fontId="3" numFmtId="0" xfId="0" applyAlignment="1" applyFont="1">
      <alignment horizontal="right" vertical="bottom"/>
    </xf>
    <xf borderId="0" fillId="0" fontId="4" numFmtId="0" xfId="0" applyFont="1"/>
    <xf borderId="0" fillId="0" fontId="4" numFmtId="10" xfId="0" applyFont="1" applyNumberFormat="1"/>
    <xf borderId="0" fillId="0" fontId="5" numFmtId="0" xfId="0" applyAlignment="1" applyFont="1">
      <alignment readingOrder="0"/>
    </xf>
    <xf borderId="0" fillId="0" fontId="3" numFmtId="0" xfId="0" applyAlignment="1" applyFont="1">
      <alignment horizontal="left" readingOrder="0" vertical="bottom"/>
    </xf>
    <xf borderId="0" fillId="0" fontId="1" numFmtId="0" xfId="0" applyAlignment="1" applyFont="1">
      <alignment horizontal="right" readingOrder="0"/>
    </xf>
    <xf borderId="0" fillId="0" fontId="3" numFmtId="0" xfId="0" applyAlignment="1" applyFont="1">
      <alignment horizontal="right" readingOrder="0" vertical="top"/>
    </xf>
    <xf borderId="0" fillId="0" fontId="4" numFmtId="3" xfId="0" applyFont="1" applyNumberFormat="1"/>
    <xf borderId="0" fillId="0" fontId="4" numFmtId="4" xfId="0" applyFont="1" applyNumberFormat="1"/>
    <xf borderId="0" fillId="0" fontId="4" numFmtId="164" xfId="0" applyFont="1" applyNumberFormat="1"/>
    <xf borderId="0" fillId="0" fontId="3" numFmtId="0" xfId="0" applyAlignment="1" applyFont="1">
      <alignment vertical="bottom"/>
    </xf>
    <xf borderId="0" fillId="0" fontId="6" numFmtId="0" xfId="0" applyAlignment="1" applyFont="1">
      <alignment readingOrder="0" vertical="bottom"/>
    </xf>
    <xf borderId="1" fillId="0" fontId="3" numFmtId="0" xfId="0" applyAlignment="1" applyBorder="1" applyFont="1">
      <alignment vertical="bottom"/>
    </xf>
    <xf borderId="2" fillId="0" fontId="3" numFmtId="0" xfId="0" applyAlignment="1" applyBorder="1" applyFont="1">
      <alignment vertical="bottom"/>
    </xf>
    <xf borderId="3" fillId="0" fontId="1" numFmtId="0" xfId="0" applyAlignment="1" applyBorder="1" applyFont="1">
      <alignment readingOrder="0"/>
    </xf>
    <xf borderId="0" fillId="0" fontId="7" numFmtId="0" xfId="0" applyAlignment="1" applyFont="1">
      <alignment vertical="bottom"/>
    </xf>
    <xf borderId="4" fillId="0" fontId="7" numFmtId="0" xfId="0" applyAlignment="1" applyBorder="1" applyFont="1">
      <alignment vertical="bottom"/>
    </xf>
    <xf borderId="0" fillId="0" fontId="7" numFmtId="0" xfId="0" applyAlignment="1" applyFont="1">
      <alignment horizontal="right" vertical="bottom"/>
    </xf>
    <xf borderId="5" fillId="0" fontId="4" numFmtId="10" xfId="0" applyBorder="1" applyFont="1" applyNumberFormat="1"/>
    <xf borderId="0" fillId="0" fontId="3" numFmtId="0" xfId="0" applyAlignment="1" applyFont="1">
      <alignment vertical="bottom"/>
    </xf>
    <xf borderId="4" fillId="0" fontId="1" numFmtId="0" xfId="0" applyAlignment="1" applyBorder="1" applyFont="1">
      <alignment readingOrder="0"/>
    </xf>
    <xf borderId="5" fillId="0" fontId="7" numFmtId="10" xfId="0" applyAlignment="1" applyBorder="1" applyFont="1" applyNumberFormat="1">
      <alignment horizontal="right" vertical="bottom"/>
    </xf>
    <xf borderId="0" fillId="0" fontId="7" numFmtId="10" xfId="0" applyAlignment="1" applyFont="1" applyNumberFormat="1">
      <alignment horizontal="right" vertical="bottom"/>
    </xf>
    <xf borderId="6" fillId="0" fontId="4" numFmtId="0" xfId="0" applyBorder="1" applyFont="1"/>
    <xf borderId="7" fillId="0" fontId="8" numFmtId="0" xfId="0" applyBorder="1" applyFont="1"/>
    <xf borderId="8" fillId="0" fontId="8" numFmtId="0" xfId="0" applyBorder="1" applyFont="1"/>
    <xf borderId="0" fillId="2" fontId="0" numFmtId="0" xfId="0" applyAlignment="1" applyFill="1" applyFont="1">
      <alignment horizontal="right"/>
    </xf>
    <xf borderId="0" fillId="0" fontId="9" numFmtId="0" xfId="0" applyAlignment="1" applyFont="1">
      <alignment horizontal="right" vertical="bottom"/>
    </xf>
    <xf borderId="0" fillId="0" fontId="3" numFmtId="0" xfId="0" applyAlignment="1" applyFont="1">
      <alignment readingOrder="0" vertical="bottom"/>
    </xf>
    <xf borderId="0" fillId="0" fontId="10" numFmtId="0" xfId="0" applyAlignment="1" applyFont="1">
      <alignment readingOrder="0" shrinkToFit="0" vertical="bottom" wrapText="0"/>
    </xf>
    <xf borderId="0" fillId="0" fontId="7" numFmtId="3" xfId="0" applyAlignment="1" applyFont="1" applyNumberFormat="1">
      <alignment horizontal="right" vertical="bottom"/>
    </xf>
    <xf borderId="0" fillId="0" fontId="7" numFmtId="0" xfId="0" applyAlignment="1" applyFont="1">
      <alignment readingOrder="0"/>
    </xf>
    <xf borderId="0" fillId="0" fontId="7" numFmtId="0" xfId="0" applyAlignment="1" applyFont="1">
      <alignment vertical="bottom"/>
    </xf>
    <xf borderId="0" fillId="0" fontId="7" numFmtId="0" xfId="0" applyAlignment="1" applyFont="1">
      <alignment readingOrder="0" vertical="bottom"/>
    </xf>
    <xf borderId="0" fillId="0" fontId="7" numFmtId="10" xfId="0" applyAlignment="1" applyFont="1" applyNumberFormat="1">
      <alignment vertical="bottom"/>
    </xf>
    <xf borderId="0" fillId="0" fontId="4" numFmtId="0" xfId="0" applyAlignment="1" applyFont="1">
      <alignment readingOrder="0"/>
    </xf>
    <xf borderId="0" fillId="0" fontId="4" numFmtId="165" xfId="0" applyFont="1" applyNumberFormat="1"/>
    <xf borderId="0" fillId="0" fontId="11" numFmtId="0" xfId="0" applyAlignment="1" applyFont="1">
      <alignment readingOrder="0" shrinkToFit="0" wrapText="0"/>
    </xf>
    <xf borderId="0" fillId="0" fontId="7" numFmtId="166" xfId="0" applyAlignment="1" applyFont="1" applyNumberFormat="1">
      <alignment vertical="bottom"/>
    </xf>
    <xf borderId="0" fillId="0" fontId="12" numFmtId="0" xfId="0" applyAlignment="1" applyFont="1">
      <alignment readingOrder="0" shrinkToFit="0" vertical="bottom" wrapText="0"/>
    </xf>
    <xf borderId="0" fillId="0" fontId="4" numFmtId="0" xfId="0" applyAlignment="1" applyFont="1">
      <alignment readingOrder="0"/>
    </xf>
    <xf borderId="0" fillId="0" fontId="7" numFmtId="0" xfId="0" applyAlignment="1" applyFont="1">
      <alignment horizontal="right" vertical="bottom"/>
    </xf>
    <xf borderId="0" fillId="2" fontId="13" numFmtId="166" xfId="0" applyAlignment="1" applyFont="1" applyNumberFormat="1">
      <alignment vertical="bottom"/>
    </xf>
    <xf borderId="0" fillId="0" fontId="14" numFmtId="0" xfId="0" applyAlignment="1" applyFont="1">
      <alignment readingOrder="0"/>
    </xf>
    <xf borderId="0" fillId="0" fontId="15" numFmtId="0" xfId="0" applyAlignment="1" applyFont="1">
      <alignment shrinkToFit="0" vertical="bottom" wrapText="0"/>
    </xf>
  </cellXfs>
  <cellStyles count="1">
    <cellStyle xfId="0" name="Normal" builtinId="0"/>
  </cellStyles>
  <dxfs count="1">
    <dxf>
      <font/>
      <fill>
        <patternFill patternType="solid">
          <fgColor rgb="FFDFFFF0"/>
          <bgColor rgb="FFDFFFF0"/>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theguardian.com/football/live/2021/jun/12/wales-v-switzerland-euro-2020-live-score-updates"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theguardian.com/football/live/2021/jun/11/turkey-v-italy-euro-2020-opening-ceremony-first-game-live-scores-updates"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theguardian.com/football/live/2020/jun/25/southampton-v-arsenal-premier-league-live"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www.theguardian.com/football/live/2020/jul/26/leicester-v-manchester-united-premier-league-live" TargetMode="Externa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www.theguardian.com/football/live/2021/jun/19/hungary-v-france-euro-2020-live" TargetMode="External"/><Relationship Id="rId2"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55.63"/>
  </cols>
  <sheetData>
    <row r="3">
      <c r="B3" s="1" t="s">
        <v>0</v>
      </c>
    </row>
    <row r="4">
      <c r="B4" s="1" t="s">
        <v>1</v>
      </c>
      <c r="C4" s="1" t="s">
        <v>2</v>
      </c>
      <c r="D4" s="1" t="s">
        <v>3</v>
      </c>
      <c r="E4" s="1" t="s">
        <v>4</v>
      </c>
      <c r="F4" s="1" t="s">
        <v>5</v>
      </c>
      <c r="G4" s="1" t="s">
        <v>6</v>
      </c>
    </row>
    <row r="5">
      <c r="B5" s="2" t="s">
        <v>7</v>
      </c>
      <c r="C5" s="2" t="s">
        <v>8</v>
      </c>
      <c r="D5" s="2" t="s">
        <v>9</v>
      </c>
      <c r="E5" s="2" t="s">
        <v>10</v>
      </c>
      <c r="F5" s="2" t="s">
        <v>11</v>
      </c>
      <c r="G5" s="2" t="s">
        <v>12</v>
      </c>
    </row>
    <row r="6">
      <c r="K6" s="1"/>
      <c r="L6" s="1"/>
      <c r="M6" s="1"/>
      <c r="N6" s="1"/>
      <c r="O6" s="1"/>
      <c r="P6" s="1"/>
      <c r="Q6" s="1"/>
      <c r="R6" s="1"/>
      <c r="S6" s="1"/>
    </row>
    <row r="7">
      <c r="B7" s="1" t="s">
        <v>13</v>
      </c>
      <c r="K7" s="1" t="s">
        <v>14</v>
      </c>
      <c r="Q7" s="1"/>
      <c r="R7" s="1"/>
      <c r="S7" s="1"/>
      <c r="T7" s="1" t="s">
        <v>15</v>
      </c>
      <c r="AC7" s="1" t="s">
        <v>16</v>
      </c>
      <c r="AL7" s="1" t="s">
        <v>17</v>
      </c>
      <c r="AU7" s="1" t="s">
        <v>18</v>
      </c>
      <c r="BA7" s="1"/>
      <c r="BB7" s="1"/>
    </row>
    <row r="8">
      <c r="A8" s="1" t="s">
        <v>19</v>
      </c>
      <c r="B8" s="1" t="s">
        <v>1</v>
      </c>
      <c r="C8" s="1" t="s">
        <v>2</v>
      </c>
      <c r="D8" s="1" t="s">
        <v>3</v>
      </c>
      <c r="E8" s="1" t="s">
        <v>4</v>
      </c>
      <c r="F8" s="1" t="s">
        <v>5</v>
      </c>
      <c r="G8" s="1" t="s">
        <v>6</v>
      </c>
      <c r="H8" s="1" t="s">
        <v>20</v>
      </c>
      <c r="I8" s="1" t="s">
        <v>21</v>
      </c>
      <c r="K8" s="1" t="s">
        <v>1</v>
      </c>
      <c r="L8" s="1" t="s">
        <v>2</v>
      </c>
      <c r="M8" s="1" t="s">
        <v>3</v>
      </c>
      <c r="N8" s="1" t="s">
        <v>4</v>
      </c>
      <c r="O8" s="1" t="s">
        <v>5</v>
      </c>
      <c r="P8" s="1" t="s">
        <v>6</v>
      </c>
      <c r="Q8" s="3" t="s">
        <v>20</v>
      </c>
      <c r="R8" s="3" t="s">
        <v>21</v>
      </c>
      <c r="S8" s="4"/>
      <c r="T8" s="1" t="s">
        <v>1</v>
      </c>
      <c r="U8" s="1" t="s">
        <v>2</v>
      </c>
      <c r="V8" s="1" t="s">
        <v>3</v>
      </c>
      <c r="W8" s="1" t="s">
        <v>4</v>
      </c>
      <c r="X8" s="1" t="s">
        <v>5</v>
      </c>
      <c r="Y8" s="1" t="s">
        <v>6</v>
      </c>
      <c r="Z8" s="3" t="s">
        <v>20</v>
      </c>
      <c r="AA8" s="3" t="s">
        <v>21</v>
      </c>
      <c r="AC8" s="1" t="s">
        <v>1</v>
      </c>
      <c r="AD8" s="1" t="s">
        <v>2</v>
      </c>
      <c r="AE8" s="1" t="s">
        <v>3</v>
      </c>
      <c r="AF8" s="1" t="s">
        <v>4</v>
      </c>
      <c r="AG8" s="1" t="s">
        <v>5</v>
      </c>
      <c r="AH8" s="1" t="s">
        <v>6</v>
      </c>
      <c r="AI8" s="3" t="s">
        <v>20</v>
      </c>
      <c r="AJ8" s="3" t="s">
        <v>21</v>
      </c>
      <c r="AL8" s="1" t="s">
        <v>1</v>
      </c>
      <c r="AM8" s="1" t="s">
        <v>2</v>
      </c>
      <c r="AN8" s="1" t="s">
        <v>3</v>
      </c>
      <c r="AO8" s="1" t="s">
        <v>4</v>
      </c>
      <c r="AP8" s="1" t="s">
        <v>5</v>
      </c>
      <c r="AQ8" s="1" t="s">
        <v>6</v>
      </c>
      <c r="AR8" s="3" t="s">
        <v>20</v>
      </c>
      <c r="AS8" s="3" t="s">
        <v>21</v>
      </c>
      <c r="AU8" s="1" t="s">
        <v>1</v>
      </c>
      <c r="AV8" s="1" t="s">
        <v>2</v>
      </c>
      <c r="AW8" s="1" t="s">
        <v>3</v>
      </c>
      <c r="AX8" s="1" t="s">
        <v>4</v>
      </c>
      <c r="AY8" s="1" t="s">
        <v>5</v>
      </c>
      <c r="AZ8" s="1" t="s">
        <v>6</v>
      </c>
      <c r="BA8" s="3" t="s">
        <v>20</v>
      </c>
      <c r="BB8" s="3" t="s">
        <v>21</v>
      </c>
    </row>
    <row r="9">
      <c r="A9" s="5" t="str">
        <f>IFERROR(__xludf.DUMMYFUNCTION("FILTER(UNIQUE({TRANSPOSE(INDEX(INDIRECT(INDEX($B$5) &amp; ""!E$9:9""))); TRANSPOSE(INDEX(INDIRECT(INDEX($C$5) &amp; ""!E$9:9""))); TRANSPOSE(INDEX(INDIRECT(INDEX($D$5) &amp; ""!E$9:9""))); TRANSPOSE(INDEX(INDIRECT(INDEX($E$5) &amp; ""!E$9:9""))); TRANSPOSE(INDEX(INDIRECT"&amp;"(INDEX($F$5) &amp; ""!E$9:9""))); TRANSPOSE(INDEX(INDIRECT(INDEX($G$5) &amp; ""!E$9:9"")))}), LEN(UNIQUE({TRANSPOSE(INDEX(INDIRECT(INDEX($B$5) &amp; ""!E$9:9""))); TRANSPOSE(INDEX(INDIRECT(INDEX($C$5) &amp; ""!E$9:9""))); TRANSPOSE(INDEX(INDIRECT(INDEX($D$5) &amp; ""!E$9:9"""&amp;"))); TRANSPOSE(INDEX(INDIRECT(INDEX($E$5) &amp; ""!E$9:9""))); TRANSPOSE(INDEX(INDIRECT(INDEX($F$5) &amp; ""!E$9:9""))); TRANSPOSE(INDEX(INDIRECT(INDEX($G$5) &amp; ""!E$9:9"")))})))"),"['champion', 'final', 'leagu', 'footbal', 'win']")</f>
        <v>['champion', 'final', 'leagu', 'footbal', 'win']</v>
      </c>
      <c r="B9" s="6">
        <f t="shared" ref="B9:G9" si="1">IFNA(INDEX(INDIRECT(B$5 &amp; "!A:ZZ"), 8, MATCH($A9, INDIRECT(INDEX(B$5,0) &amp; "!$9:$9"), 0) + 2))</f>
        <v>0.5217391304</v>
      </c>
      <c r="C9" s="6">
        <f t="shared" si="1"/>
        <v>0.625</v>
      </c>
      <c r="D9" s="6">
        <f t="shared" si="1"/>
        <v>0.3636363636</v>
      </c>
      <c r="E9" s="6">
        <f t="shared" si="1"/>
        <v>0.4285714286</v>
      </c>
      <c r="F9" s="6">
        <f t="shared" si="1"/>
        <v>0.6363636364</v>
      </c>
      <c r="G9" s="6">
        <f t="shared" si="1"/>
        <v>0.4117647059</v>
      </c>
      <c r="H9" s="6">
        <f t="shared" ref="H9:H21" si="8">AVERAGE(B9:G9)</f>
        <v>0.4978458775</v>
      </c>
      <c r="I9" s="6">
        <f t="array" ref="I9">SUM(B9:G9*$B26:$G26)/SUM($B26:$G26)</f>
        <v>0.5</v>
      </c>
      <c r="J9" s="7" t="s">
        <v>22</v>
      </c>
      <c r="K9" s="6">
        <f t="shared" ref="K9:P9" si="2">IFNA(INDEX(INDIRECT(B$5 &amp; "!A:ZZ"), MATCH($K$7, INDIRECT(INDEX(B$5,0) &amp; "!$E$3:$E$7"), 0) + 2, MATCH($A9, INDIRECT(INDEX(B$5,0) &amp; "!$9:$9"), 0) + 2))</f>
        <v>0.1304347826</v>
      </c>
      <c r="L9" s="6">
        <f t="shared" si="2"/>
        <v>0</v>
      </c>
      <c r="M9" s="6">
        <f t="shared" si="2"/>
        <v>0</v>
      </c>
      <c r="N9" s="6">
        <f t="shared" si="2"/>
        <v>0</v>
      </c>
      <c r="O9" s="6">
        <f t="shared" si="2"/>
        <v>0.09090909091</v>
      </c>
      <c r="P9" s="6">
        <f t="shared" si="2"/>
        <v>0.1176470588</v>
      </c>
      <c r="Q9" s="6">
        <f t="shared" ref="Q9:Q21" si="10">SUM(K9:P9)/6</f>
        <v>0.05649848872</v>
      </c>
      <c r="R9" s="6">
        <f t="array" ref="R9">SUM(K9:P9*$B26:$G26)/SUM($B26:$G26)</f>
        <v>0.0652173913</v>
      </c>
      <c r="S9" s="6"/>
      <c r="T9" s="6">
        <f t="shared" ref="T9:Y9" si="3">IFNA(INDEX(INDIRECT(B$5 &amp; "!A:ZZ"), MATCH($T$7, INDIRECT(INDEX(B$5,0) &amp; "!$E$3:$E$7"), 0) + 2, MATCH($A9, INDIRECT(INDEX(B$5,0) &amp; "!$9:$9"), 0) + 2))</f>
        <v>0.1304347826</v>
      </c>
      <c r="U9" s="6">
        <f t="shared" si="3"/>
        <v>0.125</v>
      </c>
      <c r="V9" s="6">
        <f t="shared" si="3"/>
        <v>0.3636363636</v>
      </c>
      <c r="W9" s="6">
        <f t="shared" si="3"/>
        <v>0.07142857143</v>
      </c>
      <c r="X9" s="6">
        <f t="shared" si="3"/>
        <v>0</v>
      </c>
      <c r="Y9" s="6">
        <f t="shared" si="3"/>
        <v>0.1764705882</v>
      </c>
      <c r="Z9" s="6">
        <f t="shared" ref="Z9:Z21" si="12">SUM(T9:Y9)/6</f>
        <v>0.144495051</v>
      </c>
      <c r="AA9" s="6">
        <f t="array" ref="AA9">SUM(T9:Y9*$B26:$G26)/SUM($B26:$G26)</f>
        <v>0.1413043478</v>
      </c>
      <c r="AC9" s="6">
        <f t="shared" ref="AC9:AH9" si="4">IFNA(INDEX(INDIRECT(B$5 &amp; "!A:ZZ"), MATCH($AC$7, INDIRECT(INDEX(B$5,0) &amp; "!$E$3:$E$7"), 0) + 2, MATCH($A9, INDIRECT(INDEX(B$5,0) &amp; "!$9:$9"), 0) + 2))</f>
        <v>0.2173913043</v>
      </c>
      <c r="AD9" s="6">
        <f t="shared" si="4"/>
        <v>0.25</v>
      </c>
      <c r="AE9" s="6">
        <f t="shared" si="4"/>
        <v>0.2727272727</v>
      </c>
      <c r="AF9" s="6">
        <f t="shared" si="4"/>
        <v>0.5</v>
      </c>
      <c r="AG9" s="6">
        <f t="shared" si="4"/>
        <v>0.2727272727</v>
      </c>
      <c r="AH9" s="6">
        <f t="shared" si="4"/>
        <v>0.2941176471</v>
      </c>
      <c r="AI9" s="6">
        <f t="shared" ref="AI9:AI21" si="14">SUM(AC9:AH9)/6</f>
        <v>0.3011605828</v>
      </c>
      <c r="AJ9" s="6">
        <f t="array" ref="AJ9">SUM(AC9:AH9*$B26:$G26)/SUM($B26:$G26)</f>
        <v>0.2934782609</v>
      </c>
      <c r="AL9" s="6">
        <f t="shared" ref="AL9:AQ9" si="5">IFNA(INDEX(INDIRECT(B$5 &amp; "!A:ZZ"), MATCH($AL$7, INDIRECT(INDEX(B$5,0) &amp; "!$E$3:$E$7"), 0) + 2, MATCH($A9, INDIRECT(INDEX(B$5,0) &amp; "!$9:$9"), 0) + 2))</f>
        <v>0.2173913043</v>
      </c>
      <c r="AM9" s="6">
        <f t="shared" si="5"/>
        <v>0.3125</v>
      </c>
      <c r="AN9" s="6">
        <f t="shared" si="5"/>
        <v>0.09090909091</v>
      </c>
      <c r="AO9" s="6">
        <f t="shared" si="5"/>
        <v>0.1428571429</v>
      </c>
      <c r="AP9" s="6">
        <f t="shared" si="5"/>
        <v>0.5454545455</v>
      </c>
      <c r="AQ9" s="6">
        <f t="shared" si="5"/>
        <v>0.2941176471</v>
      </c>
      <c r="AR9" s="6">
        <f t="shared" ref="AR9:AR21" si="16">SUM(AL9:AQ9)/6</f>
        <v>0.2672049551</v>
      </c>
      <c r="AS9" s="6">
        <f t="array" ref="AS9">SUM(AL9:AQ9*$B26:$G26)/SUM($B26:$G26)</f>
        <v>0.2608695652</v>
      </c>
      <c r="AU9" s="6">
        <f t="shared" ref="AU9:AZ9" si="6">IFNA(INDEX(INDIRECT(B$5 &amp; "!A:ZZ"), MATCH($AU$7, INDIRECT(INDEX(B$5,0) &amp; "!$E$3:$E$7"), 0) + 2, MATCH($A9, INDIRECT(INDEX(B$5,0) &amp; "!$9:$9"), 0) + 2))</f>
        <v>0.3043478261</v>
      </c>
      <c r="AV9" s="6">
        <f t="shared" si="6"/>
        <v>0.3125</v>
      </c>
      <c r="AW9" s="6">
        <f t="shared" si="6"/>
        <v>0.2727272727</v>
      </c>
      <c r="AX9" s="6">
        <f t="shared" si="6"/>
        <v>0.2857142857</v>
      </c>
      <c r="AY9" s="6">
        <f t="shared" si="6"/>
        <v>0.09090909091</v>
      </c>
      <c r="AZ9" s="6">
        <f t="shared" si="6"/>
        <v>0.1176470588</v>
      </c>
      <c r="BA9" s="6">
        <f t="shared" ref="BA9:BA21" si="18">SUM(AU9:AZ9)/6</f>
        <v>0.2306409224</v>
      </c>
      <c r="BB9" s="6">
        <f t="array" ref="BB9">SUM(AU9:AZ9*$B26:$G26)/SUM($B26:$G26)</f>
        <v>0.2391304348</v>
      </c>
    </row>
    <row r="10">
      <c r="A10" s="5" t="str">
        <f>IFERROR(__xludf.DUMMYFUNCTION("""COMPUTED_VALUE"""),"['take', 'knee', 'player']")</f>
        <v>['take', 'knee', 'player']</v>
      </c>
      <c r="B10" s="6">
        <f t="shared" ref="B10:G10" si="7">IFNA(INDEX(INDIRECT(B$5 &amp; "!A:ZZ"), 8, MATCH($A10, INDIRECT(INDEX(B$5,0) &amp; "!$9:$9"), 0) + 2))</f>
        <v>0.7777777778</v>
      </c>
      <c r="C10" s="6">
        <f t="shared" si="7"/>
        <v>0.4117647059</v>
      </c>
      <c r="D10" s="6">
        <f t="shared" si="7"/>
        <v>0.5714285714</v>
      </c>
      <c r="E10" s="6">
        <f t="shared" si="7"/>
        <v>0.2857142857</v>
      </c>
      <c r="F10" s="6">
        <f t="shared" si="7"/>
        <v>0.6666666667</v>
      </c>
      <c r="G10" s="6">
        <f t="shared" si="7"/>
        <v>0.375</v>
      </c>
      <c r="H10" s="6">
        <f t="shared" si="8"/>
        <v>0.5147253346</v>
      </c>
      <c r="I10" s="6">
        <f t="array" ref="I10">SUM(B10:G10*$B27:$G27)/SUM($B27:$G27)</f>
        <v>0.5211267606</v>
      </c>
      <c r="J10" s="6"/>
      <c r="K10" s="6">
        <f t="shared" ref="K10:P10" si="9">IFNA(INDEX(INDIRECT(B$5 &amp; "!A:ZZ"), MATCH($K$7, INDIRECT(INDEX(B$5,0) &amp; "!$E$3:$E$7"), 0) + 2, MATCH($A10, INDIRECT(INDEX(B$5,0) &amp; "!$9:$9"), 0) + 2))</f>
        <v>0.05555555556</v>
      </c>
      <c r="L10" s="6">
        <f t="shared" si="9"/>
        <v>0.1176470588</v>
      </c>
      <c r="M10" s="6">
        <f t="shared" si="9"/>
        <v>0</v>
      </c>
      <c r="N10" s="6">
        <f t="shared" si="9"/>
        <v>0</v>
      </c>
      <c r="O10" s="6">
        <f t="shared" si="9"/>
        <v>0</v>
      </c>
      <c r="P10" s="6">
        <f t="shared" si="9"/>
        <v>0</v>
      </c>
      <c r="Q10" s="6">
        <f t="shared" si="10"/>
        <v>0.0288671024</v>
      </c>
      <c r="R10" s="6">
        <f t="array" ref="R10">SUM(K10:P10*$B27:$G27)/SUM($B27:$G27)</f>
        <v>0.04225352113</v>
      </c>
      <c r="S10" s="6"/>
      <c r="T10" s="6">
        <f t="shared" ref="T10:Y10" si="11">IFNA(INDEX(INDIRECT(B$5 &amp; "!A:ZZ"), MATCH($T$7, INDIRECT(INDEX(B$5,0) &amp; "!$E$3:$E$7"), 0) + 2, MATCH($A10, INDIRECT(INDEX(B$5,0) &amp; "!$9:$9"), 0) + 2))</f>
        <v>0</v>
      </c>
      <c r="U10" s="6">
        <f t="shared" si="11"/>
        <v>0.1176470588</v>
      </c>
      <c r="V10" s="6">
        <f t="shared" si="11"/>
        <v>0.1428571429</v>
      </c>
      <c r="W10" s="6">
        <f t="shared" si="11"/>
        <v>0.2857142857</v>
      </c>
      <c r="X10" s="6">
        <f t="shared" si="11"/>
        <v>0</v>
      </c>
      <c r="Y10" s="6">
        <f t="shared" si="11"/>
        <v>0.1875</v>
      </c>
      <c r="Z10" s="6">
        <f t="shared" si="12"/>
        <v>0.1222864146</v>
      </c>
      <c r="AA10" s="6">
        <f t="array" ref="AA10">SUM(T10:Y10*$B27:$G27)/SUM($B27:$G27)</f>
        <v>0.1126760563</v>
      </c>
      <c r="AC10" s="6">
        <f t="shared" ref="AC10:AH10" si="13">IFNA(INDEX(INDIRECT(B$5 &amp; "!A:ZZ"), MATCH($AC$7, INDIRECT(INDEX(B$5,0) &amp; "!$E$3:$E$7"), 0) + 2, MATCH($A10, INDIRECT(INDEX(B$5,0) &amp; "!$9:$9"), 0) + 2))</f>
        <v>0.1666666667</v>
      </c>
      <c r="AD10" s="6">
        <f t="shared" si="13"/>
        <v>0.3529411765</v>
      </c>
      <c r="AE10" s="6">
        <f t="shared" si="13"/>
        <v>0.2857142857</v>
      </c>
      <c r="AF10" s="6">
        <f t="shared" si="13"/>
        <v>0.4285714286</v>
      </c>
      <c r="AG10" s="6">
        <f t="shared" si="13"/>
        <v>0.3333333333</v>
      </c>
      <c r="AH10" s="6">
        <f t="shared" si="13"/>
        <v>0.4375</v>
      </c>
      <c r="AI10" s="6">
        <f t="shared" si="14"/>
        <v>0.3341211485</v>
      </c>
      <c r="AJ10" s="6">
        <f t="array" ref="AJ10">SUM(AC10:AH10*$B27:$G27)/SUM($B27:$G27)</f>
        <v>0.323943662</v>
      </c>
      <c r="AL10" s="6">
        <f t="shared" ref="AL10:AQ10" si="15">IFNA(INDEX(INDIRECT(B$5 &amp; "!A:ZZ"), MATCH($AL$7, INDIRECT(INDEX(B$5,0) &amp; "!$E$3:$E$7"), 0) + 2, MATCH($A10, INDIRECT(INDEX(B$5,0) &amp; "!$9:$9"), 0) + 2))</f>
        <v>0.3333333333</v>
      </c>
      <c r="AM10" s="6">
        <f t="shared" si="15"/>
        <v>0.2352941176</v>
      </c>
      <c r="AN10" s="6">
        <f t="shared" si="15"/>
        <v>0.2857142857</v>
      </c>
      <c r="AO10" s="6">
        <f t="shared" si="15"/>
        <v>0.2857142857</v>
      </c>
      <c r="AP10" s="6">
        <f t="shared" si="15"/>
        <v>0.5</v>
      </c>
      <c r="AQ10" s="6">
        <f t="shared" si="15"/>
        <v>0.25</v>
      </c>
      <c r="AR10" s="6">
        <f t="shared" si="16"/>
        <v>0.3150093371</v>
      </c>
      <c r="AS10" s="6">
        <f t="array" ref="AS10">SUM(AL10:AQ10*$B27:$G27)/SUM($B27:$G27)</f>
        <v>0.2957746479</v>
      </c>
      <c r="AU10" s="6">
        <f t="shared" ref="AU10:AZ10" si="17">IFNA(INDEX(INDIRECT(B$5 &amp; "!A:ZZ"), MATCH($AU$7, INDIRECT(INDEX(B$5,0) &amp; "!$E$3:$E$7"), 0) + 2, MATCH($A10, INDIRECT(INDEX(B$5,0) &amp; "!$9:$9"), 0) + 2))</f>
        <v>0.4444444444</v>
      </c>
      <c r="AV10" s="6">
        <f t="shared" si="17"/>
        <v>0.1764705882</v>
      </c>
      <c r="AW10" s="6">
        <f t="shared" si="17"/>
        <v>0.2857142857</v>
      </c>
      <c r="AX10" s="6">
        <f t="shared" si="17"/>
        <v>0</v>
      </c>
      <c r="AY10" s="6">
        <f t="shared" si="17"/>
        <v>0.1666666667</v>
      </c>
      <c r="AZ10" s="6">
        <f t="shared" si="17"/>
        <v>0.125</v>
      </c>
      <c r="BA10" s="6">
        <f t="shared" si="18"/>
        <v>0.1997159975</v>
      </c>
      <c r="BB10" s="6">
        <f t="array" ref="BB10">SUM(AU10:AZ10*$B27:$G27)/SUM($B27:$G27)</f>
        <v>0.2253521127</v>
      </c>
    </row>
    <row r="11">
      <c r="A11" s="5" t="str">
        <f>IFERROR(__xludf.DUMMYFUNCTION("""COMPUTED_VALUE"""),"['goal', 'score', 'conced', 'equalis', 'offsid', 'assist']")</f>
        <v>['goal', 'score', 'conced', 'equalis', 'offsid', 'assist']</v>
      </c>
      <c r="B11" s="6">
        <f t="shared" ref="B11:G11" si="19">IFNA(INDEX(INDIRECT(B$5 &amp; "!A:ZZ"), 8, MATCH($A11, INDIRECT(INDEX(B$5,0) &amp; "!$9:$9"), 0) + 2))</f>
        <v>0.6666666667</v>
      </c>
      <c r="C11" s="6">
        <f t="shared" si="19"/>
        <v>0.8461538462</v>
      </c>
      <c r="D11" s="6">
        <f t="shared" si="19"/>
        <v>0.8</v>
      </c>
      <c r="E11" s="6">
        <f t="shared" si="19"/>
        <v>0.7</v>
      </c>
      <c r="F11" s="6">
        <f t="shared" si="19"/>
        <v>0.8571428571</v>
      </c>
      <c r="G11" s="6">
        <f t="shared" si="19"/>
        <v>0.7</v>
      </c>
      <c r="H11" s="6">
        <f t="shared" si="8"/>
        <v>0.7616605617</v>
      </c>
      <c r="I11" s="6">
        <f t="array" ref="I11">SUM(B11:G11*$B28:$G28)/SUM($B28:$G28)</f>
        <v>0.75</v>
      </c>
      <c r="J11" s="6"/>
      <c r="K11" s="6">
        <f t="shared" ref="K11:P11" si="20">IFNA(INDEX(INDIRECT(B$5 &amp; "!A:ZZ"), MATCH($K$7, INDIRECT(INDEX(B$5,0) &amp; "!$E$3:$E$7"), 0) + 2, MATCH($A11, INDIRECT(INDEX(B$5,0) &amp; "!$9:$9"), 0) + 2))</f>
        <v>0.1333333333</v>
      </c>
      <c r="L11" s="6">
        <f t="shared" si="20"/>
        <v>0.07692307692</v>
      </c>
      <c r="M11" s="6">
        <f t="shared" si="20"/>
        <v>0</v>
      </c>
      <c r="N11" s="6">
        <f t="shared" si="20"/>
        <v>0.2</v>
      </c>
      <c r="O11" s="6">
        <f t="shared" si="20"/>
        <v>0</v>
      </c>
      <c r="P11" s="6">
        <f t="shared" si="20"/>
        <v>0.2</v>
      </c>
      <c r="Q11" s="6">
        <f t="shared" si="10"/>
        <v>0.1017094017</v>
      </c>
      <c r="R11" s="6">
        <f t="array" ref="R11">SUM(K11:P11*$B28:$G28)/SUM($B28:$G28)</f>
        <v>0.1166666667</v>
      </c>
      <c r="S11" s="6"/>
      <c r="T11" s="6">
        <f t="shared" ref="T11:Y11" si="21">IFNA(INDEX(INDIRECT(B$5 &amp; "!A:ZZ"), MATCH($T$7, INDIRECT(INDEX(B$5,0) &amp; "!$E$3:$E$7"), 0) + 2, MATCH($A11, INDIRECT(INDEX(B$5,0) &amp; "!$9:$9"), 0) + 2))</f>
        <v>0</v>
      </c>
      <c r="U11" s="6">
        <f t="shared" si="21"/>
        <v>0</v>
      </c>
      <c r="V11" s="6">
        <f t="shared" si="21"/>
        <v>0</v>
      </c>
      <c r="W11" s="6">
        <f t="shared" si="21"/>
        <v>0</v>
      </c>
      <c r="X11" s="6">
        <f t="shared" si="21"/>
        <v>0</v>
      </c>
      <c r="Y11" s="6">
        <f t="shared" si="21"/>
        <v>0</v>
      </c>
      <c r="Z11" s="6">
        <f t="shared" si="12"/>
        <v>0</v>
      </c>
      <c r="AA11" s="6">
        <f t="array" ref="AA11">SUM(T11:Y11*$B28:$G28)/SUM($B28:$G28)</f>
        <v>0</v>
      </c>
      <c r="AC11" s="6">
        <f t="shared" ref="AC11:AH11" si="22">IFNA(INDEX(INDIRECT(B$5 &amp; "!A:ZZ"), MATCH($AC$7, INDIRECT(INDEX(B$5,0) &amp; "!$E$3:$E$7"), 0) + 2, MATCH($A11, INDIRECT(INDEX(B$5,0) &amp; "!$9:$9"), 0) + 2))</f>
        <v>0.2</v>
      </c>
      <c r="AD11" s="6">
        <f t="shared" si="22"/>
        <v>0.07692307692</v>
      </c>
      <c r="AE11" s="6">
        <f t="shared" si="22"/>
        <v>0.2</v>
      </c>
      <c r="AF11" s="6">
        <f t="shared" si="22"/>
        <v>0.1</v>
      </c>
      <c r="AG11" s="6">
        <f t="shared" si="22"/>
        <v>0.1428571429</v>
      </c>
      <c r="AH11" s="6">
        <f t="shared" si="22"/>
        <v>0.1</v>
      </c>
      <c r="AI11" s="6">
        <f t="shared" si="14"/>
        <v>0.1366300366</v>
      </c>
      <c r="AJ11" s="6">
        <f t="array" ref="AJ11">SUM(AC11:AH11*$B28:$G28)/SUM($B28:$G28)</f>
        <v>0.1333333333</v>
      </c>
      <c r="AL11" s="6">
        <f t="shared" ref="AL11:AQ11" si="23">IFNA(INDEX(INDIRECT(B$5 &amp; "!A:ZZ"), MATCH($AL$7, INDIRECT(INDEX(B$5,0) &amp; "!$E$3:$E$7"), 0) + 2, MATCH($A11, INDIRECT(INDEX(B$5,0) &amp; "!$9:$9"), 0) + 2))</f>
        <v>0.2666666667</v>
      </c>
      <c r="AM11" s="6">
        <f t="shared" si="23"/>
        <v>0.3076923077</v>
      </c>
      <c r="AN11" s="6">
        <f t="shared" si="23"/>
        <v>0.6</v>
      </c>
      <c r="AO11" s="6">
        <f t="shared" si="23"/>
        <v>0.3</v>
      </c>
      <c r="AP11" s="6">
        <f t="shared" si="23"/>
        <v>0.1428571429</v>
      </c>
      <c r="AQ11" s="6">
        <f t="shared" si="23"/>
        <v>0.4</v>
      </c>
      <c r="AR11" s="6">
        <f t="shared" si="16"/>
        <v>0.3362026862</v>
      </c>
      <c r="AS11" s="6">
        <f t="array" ref="AS11">SUM(AL11:AQ11*$B28:$G28)/SUM($B28:$G28)</f>
        <v>0.3166666667</v>
      </c>
      <c r="AU11" s="6">
        <f t="shared" ref="AU11:AZ11" si="24">IFNA(INDEX(INDIRECT(B$5 &amp; "!A:ZZ"), MATCH($AU$7, INDIRECT(INDEX(B$5,0) &amp; "!$E$3:$E$7"), 0) + 2, MATCH($A11, INDIRECT(INDEX(B$5,0) &amp; "!$9:$9"), 0) + 2))</f>
        <v>0.4</v>
      </c>
      <c r="AV11" s="6">
        <f t="shared" si="24"/>
        <v>0.5384615385</v>
      </c>
      <c r="AW11" s="6">
        <f t="shared" si="24"/>
        <v>0.2</v>
      </c>
      <c r="AX11" s="6">
        <f t="shared" si="24"/>
        <v>0.4</v>
      </c>
      <c r="AY11" s="6">
        <f t="shared" si="24"/>
        <v>0.7142857143</v>
      </c>
      <c r="AZ11" s="6">
        <f t="shared" si="24"/>
        <v>0.3</v>
      </c>
      <c r="BA11" s="6">
        <f t="shared" si="18"/>
        <v>0.4254578755</v>
      </c>
      <c r="BB11" s="6">
        <f t="array" ref="BB11">SUM(AU11:AZ11*$B28:$G28)/SUM($B28:$G28)</f>
        <v>0.4333333333</v>
      </c>
    </row>
    <row r="12">
      <c r="A12" s="5" t="str">
        <f>IFERROR(__xludf.DUMMYFUNCTION("""COMPUTED_VALUE"""),"['need', 'half', 'sub', 'second', 'lead', '2nd']")</f>
        <v>['need', 'half', 'sub', 'second', 'lead', '2nd']</v>
      </c>
      <c r="B12" s="6">
        <f t="shared" ref="B12:G12" si="25">IFNA(INDEX(INDIRECT(B$5 &amp; "!A:ZZ"), 8, MATCH($A12, INDIRECT(INDEX(B$5,0) &amp; "!$9:$9"), 0) + 2))</f>
        <v>0.75</v>
      </c>
      <c r="C12" s="6">
        <f t="shared" si="25"/>
        <v>0.5</v>
      </c>
      <c r="D12" s="6">
        <f t="shared" si="25"/>
        <v>0.7692307692</v>
      </c>
      <c r="E12" s="6">
        <f t="shared" si="25"/>
        <v>0.75</v>
      </c>
      <c r="F12" s="6">
        <f t="shared" si="25"/>
        <v>0.7142857143</v>
      </c>
      <c r="G12" s="6">
        <f t="shared" si="25"/>
        <v>0.8333333333</v>
      </c>
      <c r="H12" s="6">
        <f t="shared" si="8"/>
        <v>0.7194749695</v>
      </c>
      <c r="I12" s="6">
        <f t="array" ref="I12">SUM(B12:G12*$B29:$G29)/SUM($B29:$G29)</f>
        <v>0.7</v>
      </c>
      <c r="J12" s="7" t="s">
        <v>22</v>
      </c>
      <c r="K12" s="6">
        <f t="shared" ref="K12:P12" si="26">IFNA(INDEX(INDIRECT(B$5 &amp; "!A:ZZ"), MATCH($K$7, INDIRECT(INDEX(B$5,0) &amp; "!$E$3:$E$7"), 0) + 2, MATCH($A12, INDIRECT(INDEX(B$5,0) &amp; "!$9:$9"), 0) + 2))</f>
        <v>0</v>
      </c>
      <c r="L12" s="6">
        <f t="shared" si="26"/>
        <v>0.2142857143</v>
      </c>
      <c r="M12" s="6">
        <f t="shared" si="26"/>
        <v>0.07692307692</v>
      </c>
      <c r="N12" s="6">
        <f t="shared" si="26"/>
        <v>0</v>
      </c>
      <c r="O12" s="6">
        <f t="shared" si="26"/>
        <v>0.2857142857</v>
      </c>
      <c r="P12" s="6">
        <f t="shared" si="26"/>
        <v>0.1666666667</v>
      </c>
      <c r="Q12" s="6">
        <f t="shared" si="10"/>
        <v>0.1239316239</v>
      </c>
      <c r="R12" s="6">
        <f t="array" ref="R12">SUM(K12:P12*$B29:$G29)/SUM($B29:$G29)</f>
        <v>0.1166666667</v>
      </c>
      <c r="S12" s="6"/>
      <c r="T12" s="6">
        <f t="shared" ref="T12:Y12" si="27">IFNA(INDEX(INDIRECT(B$5 &amp; "!A:ZZ"), MATCH($T$7, INDIRECT(INDEX(B$5,0) &amp; "!$E$3:$E$7"), 0) + 2, MATCH($A12, INDIRECT(INDEX(B$5,0) &amp; "!$9:$9"), 0) + 2))</f>
        <v>0.08333333333</v>
      </c>
      <c r="U12" s="6">
        <f t="shared" si="27"/>
        <v>0</v>
      </c>
      <c r="V12" s="6">
        <f t="shared" si="27"/>
        <v>0</v>
      </c>
      <c r="W12" s="6">
        <f t="shared" si="27"/>
        <v>0</v>
      </c>
      <c r="X12" s="6">
        <f t="shared" si="27"/>
        <v>0</v>
      </c>
      <c r="Y12" s="6">
        <f t="shared" si="27"/>
        <v>0</v>
      </c>
      <c r="Z12" s="6">
        <f t="shared" si="12"/>
        <v>0.01388888889</v>
      </c>
      <c r="AA12" s="6">
        <f t="array" ref="AA12">SUM(T12:Y12*$B29:$G29)/SUM($B29:$G29)</f>
        <v>0.01666666667</v>
      </c>
      <c r="AC12" s="6">
        <f t="shared" ref="AC12:AH12" si="28">IFNA(INDEX(INDIRECT(B$5 &amp; "!A:ZZ"), MATCH($AC$7, INDIRECT(INDEX(B$5,0) &amp; "!$E$3:$E$7"), 0) + 2, MATCH($A12, INDIRECT(INDEX(B$5,0) &amp; "!$9:$9"), 0) + 2))</f>
        <v>0.1666666667</v>
      </c>
      <c r="AD12" s="6">
        <f t="shared" si="28"/>
        <v>0.2857142857</v>
      </c>
      <c r="AE12" s="6">
        <f t="shared" si="28"/>
        <v>0.1538461538</v>
      </c>
      <c r="AF12" s="6">
        <f t="shared" si="28"/>
        <v>0.25</v>
      </c>
      <c r="AG12" s="6">
        <f t="shared" si="28"/>
        <v>0</v>
      </c>
      <c r="AH12" s="6">
        <f t="shared" si="28"/>
        <v>0</v>
      </c>
      <c r="AI12" s="6">
        <f t="shared" si="14"/>
        <v>0.1427045177</v>
      </c>
      <c r="AJ12" s="6">
        <f t="array" ref="AJ12">SUM(AC12:AH12*$B29:$G29)/SUM($B29:$G29)</f>
        <v>0.1666666667</v>
      </c>
      <c r="AL12" s="6">
        <f t="shared" ref="AL12:AQ12" si="29">IFNA(INDEX(INDIRECT(B$5 &amp; "!A:ZZ"), MATCH($AL$7, INDIRECT(INDEX(B$5,0) &amp; "!$E$3:$E$7"), 0) + 2, MATCH($A12, INDIRECT(INDEX(B$5,0) &amp; "!$9:$9"), 0) + 2))</f>
        <v>0.4166666667</v>
      </c>
      <c r="AM12" s="6">
        <f t="shared" si="29"/>
        <v>0.3571428571</v>
      </c>
      <c r="AN12" s="6">
        <f t="shared" si="29"/>
        <v>0.5384615385</v>
      </c>
      <c r="AO12" s="6">
        <f t="shared" si="29"/>
        <v>0.5</v>
      </c>
      <c r="AP12" s="6">
        <f t="shared" si="29"/>
        <v>0.7142857143</v>
      </c>
      <c r="AQ12" s="6">
        <f t="shared" si="29"/>
        <v>0.6666666667</v>
      </c>
      <c r="AR12" s="6">
        <f t="shared" si="16"/>
        <v>0.5322039072</v>
      </c>
      <c r="AS12" s="6">
        <f t="array" ref="AS12">SUM(AL12:AQ12*$B29:$G29)/SUM($B29:$G29)</f>
        <v>0.5</v>
      </c>
      <c r="AU12" s="6">
        <f t="shared" ref="AU12:AZ12" si="30">IFNA(INDEX(INDIRECT(B$5 &amp; "!A:ZZ"), MATCH($AU$7, INDIRECT(INDEX(B$5,0) &amp; "!$E$3:$E$7"), 0) + 2, MATCH($A12, INDIRECT(INDEX(B$5,0) &amp; "!$9:$9"), 0) + 2))</f>
        <v>0.3333333333</v>
      </c>
      <c r="AV12" s="6">
        <f t="shared" si="30"/>
        <v>0.1428571429</v>
      </c>
      <c r="AW12" s="6">
        <f t="shared" si="30"/>
        <v>0.2307692308</v>
      </c>
      <c r="AX12" s="6">
        <f t="shared" si="30"/>
        <v>0.25</v>
      </c>
      <c r="AY12" s="6">
        <f t="shared" si="30"/>
        <v>0</v>
      </c>
      <c r="AZ12" s="6">
        <f t="shared" si="30"/>
        <v>0.1666666667</v>
      </c>
      <c r="BA12" s="6">
        <f t="shared" si="18"/>
        <v>0.1872710623</v>
      </c>
      <c r="BB12" s="6">
        <f t="array" ref="BB12">SUM(AU12:AZ12*$B29:$G29)/SUM($B29:$G29)</f>
        <v>0.2</v>
      </c>
    </row>
    <row r="13">
      <c r="A13" s="5" t="str">
        <f>IFERROR(__xludf.DUMMYFUNCTION("""COMPUTED_VALUE"""),"['touch', 'cross', 'ball', 'pass']")</f>
        <v>['touch', 'cross', 'ball', 'pass']</v>
      </c>
      <c r="B13" s="6">
        <f t="shared" ref="B13:G13" si="31">IFNA(INDEX(INDIRECT(B$5 &amp; "!A:ZZ"), 8, MATCH($A13, INDIRECT(INDEX(B$5,0) &amp; "!$9:$9"), 0) + 2))</f>
        <v>0.85</v>
      </c>
      <c r="C13" s="6">
        <f t="shared" si="31"/>
        <v>0.9090909091</v>
      </c>
      <c r="D13" s="6">
        <f t="shared" si="31"/>
        <v>1</v>
      </c>
      <c r="E13" s="6">
        <f t="shared" si="31"/>
        <v>1</v>
      </c>
      <c r="F13" s="6">
        <f t="shared" si="31"/>
        <v>1</v>
      </c>
      <c r="G13" s="6">
        <f t="shared" si="31"/>
        <v>0.8571428571</v>
      </c>
      <c r="H13" s="6">
        <f t="shared" si="8"/>
        <v>0.936038961</v>
      </c>
      <c r="I13" s="6">
        <f t="array" ref="I13">SUM(B13:G13*$B30:$G30)/SUM($B30:$G30)</f>
        <v>0.9117647059</v>
      </c>
      <c r="K13" s="6">
        <f t="shared" ref="K13:P13" si="32">IFNA(INDEX(INDIRECT(B$5 &amp; "!A:ZZ"), MATCH($K$7, INDIRECT(INDEX(B$5,0) &amp; "!$E$3:$E$7"), 0) + 2, MATCH($A13, INDIRECT(INDEX(B$5,0) &amp; "!$9:$9"), 0) + 2))</f>
        <v>0</v>
      </c>
      <c r="L13" s="6">
        <f t="shared" si="32"/>
        <v>0.09090909091</v>
      </c>
      <c r="M13" s="6">
        <f t="shared" si="32"/>
        <v>0</v>
      </c>
      <c r="N13" s="6">
        <f t="shared" si="32"/>
        <v>0</v>
      </c>
      <c r="O13" s="6">
        <f t="shared" si="32"/>
        <v>0</v>
      </c>
      <c r="P13" s="6">
        <f t="shared" si="32"/>
        <v>0</v>
      </c>
      <c r="Q13" s="6">
        <f t="shared" si="10"/>
        <v>0.01515151515</v>
      </c>
      <c r="R13" s="6">
        <f t="array" ref="R13">SUM(K13:P13*$B30:$G30)/SUM($B30:$G30)</f>
        <v>0.01470588235</v>
      </c>
      <c r="S13" s="6"/>
      <c r="T13" s="6">
        <f t="shared" ref="T13:Y13" si="33">IFNA(INDEX(INDIRECT(B$5 &amp; "!A:ZZ"), MATCH($T$7, INDIRECT(INDEX(B$5,0) &amp; "!$E$3:$E$7"), 0) + 2, MATCH($A13, INDIRECT(INDEX(B$5,0) &amp; "!$9:$9"), 0) + 2))</f>
        <v>0.15</v>
      </c>
      <c r="U13" s="6">
        <f t="shared" si="33"/>
        <v>0</v>
      </c>
      <c r="V13" s="6">
        <f t="shared" si="33"/>
        <v>0</v>
      </c>
      <c r="W13" s="6">
        <f t="shared" si="33"/>
        <v>0</v>
      </c>
      <c r="X13" s="6">
        <f t="shared" si="33"/>
        <v>0</v>
      </c>
      <c r="Y13" s="6">
        <f t="shared" si="33"/>
        <v>0.1428571429</v>
      </c>
      <c r="Z13" s="6">
        <f t="shared" si="12"/>
        <v>0.04880952381</v>
      </c>
      <c r="AA13" s="6">
        <f t="array" ref="AA13">SUM(T13:Y13*$B30:$G30)/SUM($B30:$G30)</f>
        <v>0.07352941176</v>
      </c>
      <c r="AC13" s="6">
        <f t="shared" ref="AC13:AH13" si="34">IFNA(INDEX(INDIRECT(B$5 &amp; "!A:ZZ"), MATCH($AC$7, INDIRECT(INDEX(B$5,0) &amp; "!$E$3:$E$7"), 0) + 2, MATCH($A13, INDIRECT(INDEX(B$5,0) &amp; "!$9:$9"), 0) + 2))</f>
        <v>0</v>
      </c>
      <c r="AD13" s="6">
        <f t="shared" si="34"/>
        <v>0</v>
      </c>
      <c r="AE13" s="6">
        <f t="shared" si="34"/>
        <v>0</v>
      </c>
      <c r="AF13" s="6">
        <f t="shared" si="34"/>
        <v>0</v>
      </c>
      <c r="AG13" s="6">
        <f t="shared" si="34"/>
        <v>0</v>
      </c>
      <c r="AH13" s="6">
        <f t="shared" si="34"/>
        <v>0</v>
      </c>
      <c r="AI13" s="6">
        <f t="shared" si="14"/>
        <v>0</v>
      </c>
      <c r="AJ13" s="6">
        <f t="array" ref="AJ13">SUM(AC13:AH13*$B30:$G30)/SUM($B30:$G30)</f>
        <v>0</v>
      </c>
      <c r="AL13" s="6">
        <f t="shared" ref="AL13:AQ13" si="35">IFNA(INDEX(INDIRECT(B$5 &amp; "!A:ZZ"), MATCH($AL$7, INDIRECT(INDEX(B$5,0) &amp; "!$E$3:$E$7"), 0) + 2, MATCH($A13, INDIRECT(INDEX(B$5,0) &amp; "!$9:$9"), 0) + 2))</f>
        <v>0.25</v>
      </c>
      <c r="AM13" s="6">
        <f t="shared" si="35"/>
        <v>0.1818181818</v>
      </c>
      <c r="AN13" s="6">
        <f t="shared" si="35"/>
        <v>0.1818181818</v>
      </c>
      <c r="AO13" s="6">
        <f t="shared" si="35"/>
        <v>0.1</v>
      </c>
      <c r="AP13" s="6">
        <f t="shared" si="35"/>
        <v>0.5</v>
      </c>
      <c r="AQ13" s="6">
        <f t="shared" si="35"/>
        <v>0.2142857143</v>
      </c>
      <c r="AR13" s="6">
        <f t="shared" si="16"/>
        <v>0.237987013</v>
      </c>
      <c r="AS13" s="6">
        <f t="array" ref="AS13">SUM(AL13:AQ13*$B30:$G30)/SUM($B30:$G30)</f>
        <v>0.2058823529</v>
      </c>
      <c r="AU13" s="6">
        <f t="shared" ref="AU13:AZ13" si="36">IFNA(INDEX(INDIRECT(B$5 &amp; "!A:ZZ"), MATCH($AU$7, INDIRECT(INDEX(B$5,0) &amp; "!$E$3:$E$7"), 0) + 2, MATCH($A13, INDIRECT(INDEX(B$5,0) &amp; "!$9:$9"), 0) + 2))</f>
        <v>0.6</v>
      </c>
      <c r="AV13" s="6">
        <f t="shared" si="36"/>
        <v>0.7272727273</v>
      </c>
      <c r="AW13" s="6">
        <f t="shared" si="36"/>
        <v>0.8181818182</v>
      </c>
      <c r="AX13" s="6">
        <f t="shared" si="36"/>
        <v>0.9</v>
      </c>
      <c r="AY13" s="6">
        <f t="shared" si="36"/>
        <v>0.5</v>
      </c>
      <c r="AZ13" s="6">
        <f t="shared" si="36"/>
        <v>0.6428571429</v>
      </c>
      <c r="BA13" s="6">
        <f t="shared" si="18"/>
        <v>0.6980519481</v>
      </c>
      <c r="BB13" s="6">
        <f t="array" ref="BB13">SUM(AU13:AZ13*$B30:$G30)/SUM($B30:$G30)</f>
        <v>0.7058823529</v>
      </c>
    </row>
    <row r="14">
      <c r="A14" s="5" t="str">
        <f>IFERROR(__xludf.DUMMYFUNCTION("""COMPUTED_VALUE"""),"['foul', 'refere', 'book', 'decis', 'var', 'given', 'pen', 'dive', 'ref', 'penalti']")</f>
        <v>['foul', 'refere', 'book', 'decis', 'var', 'given', 'pen', 'dive', 'ref', 'penalti']</v>
      </c>
      <c r="B14" s="6">
        <f t="shared" ref="B14:G14" si="37">IFNA(INDEX(INDIRECT(B$5 &amp; "!A:ZZ"), 8, MATCH($A14, INDIRECT(INDEX(B$5,0) &amp; "!$9:$9"), 0) + 2))</f>
        <v>0.7777777778</v>
      </c>
      <c r="C14" s="6">
        <f t="shared" si="37"/>
        <v>0.6666666667</v>
      </c>
      <c r="D14" s="6">
        <f t="shared" si="37"/>
        <v>1</v>
      </c>
      <c r="E14" s="6">
        <f t="shared" si="37"/>
        <v>0.8</v>
      </c>
      <c r="F14" s="6">
        <f t="shared" si="37"/>
        <v>0.2</v>
      </c>
      <c r="G14" s="6">
        <f t="shared" si="37"/>
        <v>1</v>
      </c>
      <c r="H14" s="6">
        <f t="shared" si="8"/>
        <v>0.7407407407</v>
      </c>
      <c r="I14" s="6">
        <f t="array" ref="I14">SUM(B14:G14*$B31:$G31)/SUM($B31:$G31)</f>
        <v>0.7</v>
      </c>
      <c r="J14" s="6"/>
      <c r="K14" s="6">
        <f t="shared" ref="K14:P14" si="38">IFNA(INDEX(INDIRECT(B$5 &amp; "!A:ZZ"), MATCH($K$7, INDIRECT(INDEX(B$5,0) &amp; "!$E$3:$E$7"), 0) + 2, MATCH($A14, INDIRECT(INDEX(B$5,0) &amp; "!$9:$9"), 0) + 2))</f>
        <v>0.1111111111</v>
      </c>
      <c r="L14" s="6">
        <f t="shared" si="38"/>
        <v>0</v>
      </c>
      <c r="M14" s="6">
        <f t="shared" si="38"/>
        <v>0</v>
      </c>
      <c r="N14" s="6">
        <f t="shared" si="38"/>
        <v>0.1</v>
      </c>
      <c r="O14" s="6">
        <f t="shared" si="38"/>
        <v>0</v>
      </c>
      <c r="P14" s="6">
        <f t="shared" si="38"/>
        <v>0</v>
      </c>
      <c r="Q14" s="6">
        <f t="shared" si="10"/>
        <v>0.03518518519</v>
      </c>
      <c r="R14" s="6">
        <f t="array" ref="R14">SUM(K14:P14*$B31:$G31)/SUM($B31:$G31)</f>
        <v>0.06666666667</v>
      </c>
      <c r="S14" s="6"/>
      <c r="T14" s="6">
        <f t="shared" ref="T14:Y14" si="39">IFNA(INDEX(INDIRECT(B$5 &amp; "!A:ZZ"), MATCH($T$7, INDIRECT(INDEX(B$5,0) &amp; "!$E$3:$E$7"), 0) + 2, MATCH($A14, INDIRECT(INDEX(B$5,0) &amp; "!$9:$9"), 0) + 2))</f>
        <v>0.1111111111</v>
      </c>
      <c r="U14" s="6">
        <f t="shared" si="39"/>
        <v>0</v>
      </c>
      <c r="V14" s="6">
        <f t="shared" si="39"/>
        <v>0</v>
      </c>
      <c r="W14" s="6">
        <f t="shared" si="39"/>
        <v>0.1</v>
      </c>
      <c r="X14" s="6">
        <f t="shared" si="39"/>
        <v>0.2</v>
      </c>
      <c r="Y14" s="6">
        <f t="shared" si="39"/>
        <v>0</v>
      </c>
      <c r="Z14" s="6">
        <f t="shared" si="12"/>
        <v>0.06851851852</v>
      </c>
      <c r="AA14" s="6">
        <f t="array" ref="AA14">SUM(T14:Y14*$B31:$G31)/SUM($B31:$G31)</f>
        <v>0.1</v>
      </c>
      <c r="AC14" s="6">
        <f t="shared" ref="AC14:AH14" si="40">IFNA(INDEX(INDIRECT(B$5 &amp; "!A:ZZ"), MATCH($AC$7, INDIRECT(INDEX(B$5,0) &amp; "!$E$3:$E$7"), 0) + 2, MATCH($A14, INDIRECT(INDEX(B$5,0) &amp; "!$9:$9"), 0) + 2))</f>
        <v>0</v>
      </c>
      <c r="AD14" s="6">
        <f t="shared" si="40"/>
        <v>0.3333333333</v>
      </c>
      <c r="AE14" s="6">
        <f t="shared" si="40"/>
        <v>0</v>
      </c>
      <c r="AF14" s="6">
        <f t="shared" si="40"/>
        <v>0</v>
      </c>
      <c r="AG14" s="6">
        <f t="shared" si="40"/>
        <v>0.6</v>
      </c>
      <c r="AH14" s="6">
        <f t="shared" si="40"/>
        <v>0</v>
      </c>
      <c r="AI14" s="6">
        <f t="shared" si="14"/>
        <v>0.1555555556</v>
      </c>
      <c r="AJ14" s="6">
        <f t="array" ref="AJ14">SUM(AC14:AH14*$B31:$G31)/SUM($B31:$G31)</f>
        <v>0.1333333333</v>
      </c>
      <c r="AL14" s="6">
        <f t="shared" ref="AL14:AQ14" si="41">IFNA(INDEX(INDIRECT(B$5 &amp; "!A:ZZ"), MATCH($AL$7, INDIRECT(INDEX(B$5,0) &amp; "!$E$3:$E$7"), 0) + 2, MATCH($A14, INDIRECT(INDEX(B$5,0) &amp; "!$9:$9"), 0) + 2))</f>
        <v>0.3333333333</v>
      </c>
      <c r="AM14" s="6">
        <f t="shared" si="41"/>
        <v>0</v>
      </c>
      <c r="AN14" s="6">
        <f t="shared" si="41"/>
        <v>1</v>
      </c>
      <c r="AO14" s="6">
        <f t="shared" si="41"/>
        <v>0.2</v>
      </c>
      <c r="AP14" s="6">
        <f t="shared" si="41"/>
        <v>0</v>
      </c>
      <c r="AQ14" s="6">
        <f t="shared" si="41"/>
        <v>0</v>
      </c>
      <c r="AR14" s="6">
        <f t="shared" si="16"/>
        <v>0.2555555556</v>
      </c>
      <c r="AS14" s="6">
        <f t="array" ref="AS14">SUM(AL14:AQ14*$B31:$G31)/SUM($B31:$G31)</f>
        <v>0.2333333333</v>
      </c>
      <c r="AU14" s="6">
        <f t="shared" ref="AU14:AZ14" si="42">IFNA(INDEX(INDIRECT(B$5 &amp; "!A:ZZ"), MATCH($AU$7, INDIRECT(INDEX(B$5,0) &amp; "!$E$3:$E$7"), 0) + 2, MATCH($A14, INDIRECT(INDEX(B$5,0) &amp; "!$9:$9"), 0) + 2))</f>
        <v>0.4444444444</v>
      </c>
      <c r="AV14" s="6">
        <f t="shared" si="42"/>
        <v>0.6666666667</v>
      </c>
      <c r="AW14" s="6">
        <f t="shared" si="42"/>
        <v>0</v>
      </c>
      <c r="AX14" s="6">
        <f t="shared" si="42"/>
        <v>0.6</v>
      </c>
      <c r="AY14" s="6">
        <f t="shared" si="42"/>
        <v>0.2</v>
      </c>
      <c r="AZ14" s="6">
        <f t="shared" si="42"/>
        <v>1</v>
      </c>
      <c r="BA14" s="6">
        <f t="shared" si="18"/>
        <v>0.4851851852</v>
      </c>
      <c r="BB14" s="6">
        <f t="array" ref="BB14">SUM(AU14:AZ14*$B31:$G31)/SUM($B31:$G31)</f>
        <v>0.4666666667</v>
      </c>
    </row>
    <row r="15">
      <c r="A15" s="5" t="str">
        <f>IFERROR(__xludf.DUMMYFUNCTION("""COMPUTED_VALUE"""),"['tackl', 'dribbl', 'yellow', 'red', 'card']")</f>
        <v>['tackl', 'dribbl', 'yellow', 'red', 'card']</v>
      </c>
      <c r="B15" s="6">
        <f t="shared" ref="B15:G15" si="43">IFNA(INDEX(INDIRECT(B$5 &amp; "!A:ZZ"), 8, MATCH($A15, INDIRECT(INDEX(B$5,0) &amp; "!$9:$9"), 0) + 2))</f>
        <v>1</v>
      </c>
      <c r="C15" s="6">
        <f t="shared" si="43"/>
        <v>1</v>
      </c>
      <c r="D15" s="6">
        <f t="shared" si="43"/>
        <v>1</v>
      </c>
      <c r="E15" s="6">
        <f t="shared" si="43"/>
        <v>0.8571428571</v>
      </c>
      <c r="F15" s="6" t="str">
        <f t="shared" si="43"/>
        <v/>
      </c>
      <c r="G15" s="6">
        <f t="shared" si="43"/>
        <v>0.6666666667</v>
      </c>
      <c r="H15" s="6">
        <f t="shared" si="8"/>
        <v>0.9047619048</v>
      </c>
      <c r="I15" s="6">
        <f t="array" ref="I15">SUM(B15:G15*$B32:$G32)/SUM($B32:$G32)</f>
        <v>0.8823529412</v>
      </c>
      <c r="J15" s="6"/>
      <c r="K15" s="6">
        <f t="shared" ref="K15:P15" si="44">IFNA(INDEX(INDIRECT(B$5 &amp; "!A:ZZ"), MATCH($K$7, INDIRECT(INDEX(B$5,0) &amp; "!$E$3:$E$7"), 0) + 2, MATCH($A15, INDIRECT(INDEX(B$5,0) &amp; "!$9:$9"), 0) + 2))</f>
        <v>0</v>
      </c>
      <c r="L15" s="6">
        <f t="shared" si="44"/>
        <v>0</v>
      </c>
      <c r="M15" s="6">
        <f t="shared" si="44"/>
        <v>0</v>
      </c>
      <c r="N15" s="6">
        <f t="shared" si="44"/>
        <v>0</v>
      </c>
      <c r="O15" s="6" t="str">
        <f t="shared" si="44"/>
        <v/>
      </c>
      <c r="P15" s="6">
        <f t="shared" si="44"/>
        <v>0</v>
      </c>
      <c r="Q15" s="6">
        <f t="shared" si="10"/>
        <v>0</v>
      </c>
      <c r="R15" s="6">
        <f t="array" ref="R15">SUM(K15:P15*$B32:$G32)/SUM($B32:$G32)</f>
        <v>0</v>
      </c>
      <c r="S15" s="6"/>
      <c r="T15" s="6">
        <f t="shared" ref="T15:Y15" si="45">IFNA(INDEX(INDIRECT(B$5 &amp; "!A:ZZ"), MATCH($T$7, INDIRECT(INDEX(B$5,0) &amp; "!$E$3:$E$7"), 0) + 2, MATCH($A15, INDIRECT(INDEX(B$5,0) &amp; "!$9:$9"), 0) + 2))</f>
        <v>0</v>
      </c>
      <c r="U15" s="6">
        <f t="shared" si="45"/>
        <v>0</v>
      </c>
      <c r="V15" s="6">
        <f t="shared" si="45"/>
        <v>0</v>
      </c>
      <c r="W15" s="6">
        <f t="shared" si="45"/>
        <v>0.1428571429</v>
      </c>
      <c r="X15" s="6" t="str">
        <f t="shared" si="45"/>
        <v/>
      </c>
      <c r="Y15" s="6">
        <f t="shared" si="45"/>
        <v>0</v>
      </c>
      <c r="Z15" s="6">
        <f t="shared" si="12"/>
        <v>0.02380952381</v>
      </c>
      <c r="AA15" s="6">
        <f t="array" ref="AA15">SUM(T15:Y15*$B32:$G32)/SUM($B32:$G32)</f>
        <v>0.05882352941</v>
      </c>
      <c r="AC15" s="6">
        <f t="shared" ref="AC15:AH15" si="46">IFNA(INDEX(INDIRECT(B$5 &amp; "!A:ZZ"), MATCH($AC$7, INDIRECT(INDEX(B$5,0) &amp; "!$E$3:$E$7"), 0) + 2, MATCH($A15, INDIRECT(INDEX(B$5,0) &amp; "!$9:$9"), 0) + 2))</f>
        <v>0</v>
      </c>
      <c r="AD15" s="6">
        <f t="shared" si="46"/>
        <v>0</v>
      </c>
      <c r="AE15" s="6">
        <f t="shared" si="46"/>
        <v>0</v>
      </c>
      <c r="AF15" s="6">
        <f t="shared" si="46"/>
        <v>0</v>
      </c>
      <c r="AG15" s="6" t="str">
        <f t="shared" si="46"/>
        <v/>
      </c>
      <c r="AH15" s="6">
        <f t="shared" si="46"/>
        <v>0.3333333333</v>
      </c>
      <c r="AI15" s="6">
        <f t="shared" si="14"/>
        <v>0.05555555556</v>
      </c>
      <c r="AJ15" s="6">
        <f t="array" ref="AJ15">SUM(AC15:AH15*$B32:$G32)/SUM($B32:$G32)</f>
        <v>0.05882352941</v>
      </c>
      <c r="AL15" s="6">
        <f t="shared" ref="AL15:AQ15" si="47">IFNA(INDEX(INDIRECT(B$5 &amp; "!A:ZZ"), MATCH($AL$7, INDIRECT(INDEX(B$5,0) &amp; "!$E$3:$E$7"), 0) + 2, MATCH($A15, INDIRECT(INDEX(B$5,0) &amp; "!$9:$9"), 0) + 2))</f>
        <v>0.6666666667</v>
      </c>
      <c r="AM15" s="6">
        <f t="shared" si="47"/>
        <v>0</v>
      </c>
      <c r="AN15" s="6">
        <f t="shared" si="47"/>
        <v>1</v>
      </c>
      <c r="AO15" s="6">
        <f t="shared" si="47"/>
        <v>0.5714285714</v>
      </c>
      <c r="AP15" s="6" t="str">
        <f t="shared" si="47"/>
        <v/>
      </c>
      <c r="AQ15" s="6">
        <f t="shared" si="47"/>
        <v>0.3333333333</v>
      </c>
      <c r="AR15" s="6">
        <f t="shared" si="16"/>
        <v>0.4285714286</v>
      </c>
      <c r="AS15" s="6">
        <f t="array" ref="AS15">SUM(AL15:AQ15*$B32:$G32)/SUM($B32:$G32)</f>
        <v>0.5882352941</v>
      </c>
      <c r="AU15" s="6">
        <f t="shared" ref="AU15:AZ15" si="48">IFNA(INDEX(INDIRECT(B$5 &amp; "!A:ZZ"), MATCH($AU$7, INDIRECT(INDEX(B$5,0) &amp; "!$E$3:$E$7"), 0) + 2, MATCH($A15, INDIRECT(INDEX(B$5,0) &amp; "!$9:$9"), 0) + 2))</f>
        <v>0.3333333333</v>
      </c>
      <c r="AV15" s="6">
        <f t="shared" si="48"/>
        <v>1</v>
      </c>
      <c r="AW15" s="6">
        <f t="shared" si="48"/>
        <v>0</v>
      </c>
      <c r="AX15" s="6">
        <f t="shared" si="48"/>
        <v>0.2857142857</v>
      </c>
      <c r="AY15" s="6" t="str">
        <f t="shared" si="48"/>
        <v/>
      </c>
      <c r="AZ15" s="6">
        <f t="shared" si="48"/>
        <v>0.3333333333</v>
      </c>
      <c r="BA15" s="6">
        <f t="shared" si="18"/>
        <v>0.3253968254</v>
      </c>
      <c r="BB15" s="6">
        <f t="array" ref="BB15">SUM(AU15:AZ15*$B32:$G32)/SUM($B32:$G32)</f>
        <v>0.2941176471</v>
      </c>
    </row>
    <row r="16">
      <c r="A16" s="5" t="str">
        <f>IFERROR(__xludf.DUMMYFUNCTION("""COMPUTED_VALUE"""),"['gol', 'stream', 'onlin', 'free', 'reddit', 'link', 'EXCLUDED-manchest', 'ff', 'live']")</f>
        <v>['gol', 'stream', 'onlin', 'free', 'reddit', 'link', 'EXCLUDED-manchest', 'ff', 'live']</v>
      </c>
      <c r="B16" s="6">
        <f t="shared" ref="B16:G16" si="49">IFNA(INDEX(INDIRECT(B$5 &amp; "!A:ZZ"), 8, MATCH($A16, INDIRECT(INDEX(B$5,0) &amp; "!$9:$9"), 0) + 2))</f>
        <v>0.7142857143</v>
      </c>
      <c r="C16" s="6">
        <f t="shared" si="49"/>
        <v>1</v>
      </c>
      <c r="D16" s="6">
        <f t="shared" si="49"/>
        <v>1</v>
      </c>
      <c r="E16" s="6">
        <f t="shared" si="49"/>
        <v>0.8</v>
      </c>
      <c r="F16" s="6">
        <f t="shared" si="49"/>
        <v>1</v>
      </c>
      <c r="G16" s="6">
        <f t="shared" si="49"/>
        <v>0.8</v>
      </c>
      <c r="H16" s="6">
        <f t="shared" si="8"/>
        <v>0.8857142857</v>
      </c>
      <c r="I16" s="6">
        <f t="array" ref="I16">SUM(B16:G16*$B33:$G33)/SUM($B33:$G33)</f>
        <v>0.8571428571</v>
      </c>
      <c r="J16" s="7" t="s">
        <v>22</v>
      </c>
      <c r="K16" s="6">
        <f t="shared" ref="K16:P16" si="50">IFNA(INDEX(INDIRECT(B$5 &amp; "!A:ZZ"), MATCH($K$7, INDIRECT(INDEX(B$5,0) &amp; "!$E$3:$E$7"), 0) + 2, MATCH($A16, INDIRECT(INDEX(B$5,0) &amp; "!$9:$9"), 0) + 2))</f>
        <v>0</v>
      </c>
      <c r="L16" s="6">
        <f t="shared" si="50"/>
        <v>0</v>
      </c>
      <c r="M16" s="6">
        <f t="shared" si="50"/>
        <v>0</v>
      </c>
      <c r="N16" s="6">
        <f t="shared" si="50"/>
        <v>0</v>
      </c>
      <c r="O16" s="6">
        <f t="shared" si="50"/>
        <v>0</v>
      </c>
      <c r="P16" s="6">
        <f t="shared" si="50"/>
        <v>0</v>
      </c>
      <c r="Q16" s="6">
        <f t="shared" si="10"/>
        <v>0</v>
      </c>
      <c r="R16" s="6">
        <f t="array" ref="R16">SUM(K16:P16*$B33:$G33)/SUM($B33:$G33)</f>
        <v>0</v>
      </c>
      <c r="S16" s="6"/>
      <c r="T16" s="6">
        <f t="shared" ref="T16:Y16" si="51">IFNA(INDEX(INDIRECT(B$5 &amp; "!A:ZZ"), MATCH($T$7, INDIRECT(INDEX(B$5,0) &amp; "!$E$3:$E$7"), 0) + 2, MATCH($A16, INDIRECT(INDEX(B$5,0) &amp; "!$9:$9"), 0) + 2))</f>
        <v>0.1428571429</v>
      </c>
      <c r="U16" s="6">
        <f t="shared" si="51"/>
        <v>0</v>
      </c>
      <c r="V16" s="6">
        <f t="shared" si="51"/>
        <v>0</v>
      </c>
      <c r="W16" s="6">
        <f t="shared" si="51"/>
        <v>0.2</v>
      </c>
      <c r="X16" s="6">
        <f t="shared" si="51"/>
        <v>0</v>
      </c>
      <c r="Y16" s="6">
        <f t="shared" si="51"/>
        <v>0</v>
      </c>
      <c r="Z16" s="6">
        <f t="shared" si="12"/>
        <v>0.05714285714</v>
      </c>
      <c r="AA16" s="6">
        <f t="array" ref="AA16">SUM(T16:Y16*$B33:$G33)/SUM($B33:$G33)</f>
        <v>0.07142857143</v>
      </c>
      <c r="AC16" s="6">
        <f t="shared" ref="AC16:AH16" si="52">IFNA(INDEX(INDIRECT(B$5 &amp; "!A:ZZ"), MATCH($AC$7, INDIRECT(INDEX(B$5,0) &amp; "!$E$3:$E$7"), 0) + 2, MATCH($A16, INDIRECT(INDEX(B$5,0) &amp; "!$9:$9"), 0) + 2))</f>
        <v>0.1428571429</v>
      </c>
      <c r="AD16" s="6">
        <f t="shared" si="52"/>
        <v>0</v>
      </c>
      <c r="AE16" s="6">
        <f t="shared" si="52"/>
        <v>0</v>
      </c>
      <c r="AF16" s="6">
        <f t="shared" si="52"/>
        <v>0</v>
      </c>
      <c r="AG16" s="6">
        <f t="shared" si="52"/>
        <v>0</v>
      </c>
      <c r="AH16" s="6">
        <f t="shared" si="52"/>
        <v>0.2</v>
      </c>
      <c r="AI16" s="6">
        <f t="shared" si="14"/>
        <v>0.05714285714</v>
      </c>
      <c r="AJ16" s="6">
        <f t="array" ref="AJ16">SUM(AC16:AH16*$B33:$G33)/SUM($B33:$G33)</f>
        <v>0.07142857143</v>
      </c>
      <c r="AL16" s="6">
        <f t="shared" ref="AL16:AQ16" si="53">IFNA(INDEX(INDIRECT(B$5 &amp; "!A:ZZ"), MATCH($AL$7, INDIRECT(INDEX(B$5,0) &amp; "!$E$3:$E$7"), 0) + 2, MATCH($A16, INDIRECT(INDEX(B$5,0) &amp; "!$9:$9"), 0) + 2))</f>
        <v>0.4285714286</v>
      </c>
      <c r="AM16" s="6">
        <f t="shared" si="53"/>
        <v>0.75</v>
      </c>
      <c r="AN16" s="6">
        <f t="shared" si="53"/>
        <v>0.8</v>
      </c>
      <c r="AO16" s="6">
        <f t="shared" si="53"/>
        <v>0.6</v>
      </c>
      <c r="AP16" s="6">
        <f t="shared" si="53"/>
        <v>1</v>
      </c>
      <c r="AQ16" s="6">
        <f t="shared" si="53"/>
        <v>0.4</v>
      </c>
      <c r="AR16" s="6">
        <f t="shared" si="16"/>
        <v>0.6630952381</v>
      </c>
      <c r="AS16" s="6">
        <f t="array" ref="AS16">SUM(AL16:AQ16*$B33:$G33)/SUM($B33:$G33)</f>
        <v>0.6071428571</v>
      </c>
      <c r="AU16" s="6">
        <f t="shared" ref="AU16:AZ16" si="54">IFNA(INDEX(INDIRECT(B$5 &amp; "!A:ZZ"), MATCH($AU$7, INDIRECT(INDEX(B$5,0) &amp; "!$E$3:$E$7"), 0) + 2, MATCH($A16, INDIRECT(INDEX(B$5,0) &amp; "!$9:$9"), 0) + 2))</f>
        <v>0.2857142857</v>
      </c>
      <c r="AV16" s="6">
        <f t="shared" si="54"/>
        <v>0.25</v>
      </c>
      <c r="AW16" s="6">
        <f t="shared" si="54"/>
        <v>0.2</v>
      </c>
      <c r="AX16" s="6">
        <f t="shared" si="54"/>
        <v>0.2</v>
      </c>
      <c r="AY16" s="6">
        <f t="shared" si="54"/>
        <v>0</v>
      </c>
      <c r="AZ16" s="6">
        <f t="shared" si="54"/>
        <v>0.4</v>
      </c>
      <c r="BA16" s="6">
        <f t="shared" si="18"/>
        <v>0.2226190476</v>
      </c>
      <c r="BB16" s="6">
        <f t="array" ref="BB16">SUM(AU16:AZ16*$B33:$G33)/SUM($B33:$G33)</f>
        <v>0.25</v>
      </c>
    </row>
    <row r="17">
      <c r="A17" s="5" t="str">
        <f>IFERROR(__xludf.DUMMYFUNCTION("""COMPUTED_VALUE"""),"['deflect', 'kick', 'corner', 'shot', 'net']")</f>
        <v>['deflect', 'kick', 'corner', 'shot', 'net']</v>
      </c>
      <c r="B17" s="6">
        <f t="shared" ref="B17:G17" si="55">IFNA(INDEX(INDIRECT(B$5 &amp; "!A:ZZ"), 8, MATCH($A17, INDIRECT(INDEX(B$5,0) &amp; "!$9:$9"), 0) + 2))</f>
        <v>0.7142857143</v>
      </c>
      <c r="C17" s="6">
        <f t="shared" si="55"/>
        <v>0.8571428571</v>
      </c>
      <c r="D17" s="6">
        <f t="shared" si="55"/>
        <v>1</v>
      </c>
      <c r="E17" s="6">
        <f t="shared" si="55"/>
        <v>1</v>
      </c>
      <c r="F17" s="6">
        <f t="shared" si="55"/>
        <v>1</v>
      </c>
      <c r="G17" s="6">
        <f t="shared" si="55"/>
        <v>1</v>
      </c>
      <c r="H17" s="6">
        <f t="shared" si="8"/>
        <v>0.9285714286</v>
      </c>
      <c r="I17" s="6">
        <f t="array" ref="I17">SUM(B17:G17*$B34:$G34)/SUM($B34:$G34)</f>
        <v>0.8888888889</v>
      </c>
      <c r="J17" s="6"/>
      <c r="K17" s="6">
        <f t="shared" ref="K17:P17" si="56">IFNA(INDEX(INDIRECT(B$5 &amp; "!A:ZZ"), MATCH($K$7, INDIRECT(INDEX(B$5,0) &amp; "!$E$3:$E$7"), 0) + 2, MATCH($A17, INDIRECT(INDEX(B$5,0) &amp; "!$9:$9"), 0) + 2))</f>
        <v>0.1428571429</v>
      </c>
      <c r="L17" s="6">
        <f t="shared" si="56"/>
        <v>0.1428571429</v>
      </c>
      <c r="M17" s="6">
        <f t="shared" si="56"/>
        <v>0</v>
      </c>
      <c r="N17" s="6">
        <f t="shared" si="56"/>
        <v>0</v>
      </c>
      <c r="O17" s="6">
        <f t="shared" si="56"/>
        <v>0</v>
      </c>
      <c r="P17" s="6">
        <f t="shared" si="56"/>
        <v>0</v>
      </c>
      <c r="Q17" s="6">
        <f t="shared" si="10"/>
        <v>0.04761904762</v>
      </c>
      <c r="R17" s="6">
        <f t="array" ref="R17">SUM(K17:P17*$B34:$G34)/SUM($B34:$G34)</f>
        <v>0.07407407407</v>
      </c>
      <c r="S17" s="6"/>
      <c r="T17" s="6">
        <f t="shared" ref="T17:Y17" si="57">IFNA(INDEX(INDIRECT(B$5 &amp; "!A:ZZ"), MATCH($T$7, INDIRECT(INDEX(B$5,0) &amp; "!$E$3:$E$7"), 0) + 2, MATCH($A17, INDIRECT(INDEX(B$5,0) &amp; "!$9:$9"), 0) + 2))</f>
        <v>0</v>
      </c>
      <c r="U17" s="6">
        <f t="shared" si="57"/>
        <v>0</v>
      </c>
      <c r="V17" s="6">
        <f t="shared" si="57"/>
        <v>0</v>
      </c>
      <c r="W17" s="6">
        <f t="shared" si="57"/>
        <v>0</v>
      </c>
      <c r="X17" s="6">
        <f t="shared" si="57"/>
        <v>0</v>
      </c>
      <c r="Y17" s="6">
        <f t="shared" si="57"/>
        <v>0</v>
      </c>
      <c r="Z17" s="6">
        <f t="shared" si="12"/>
        <v>0</v>
      </c>
      <c r="AA17" s="6">
        <f t="array" ref="AA17">SUM(T17:Y17*$B34:$G34)/SUM($B34:$G34)</f>
        <v>0</v>
      </c>
      <c r="AC17" s="6">
        <f t="shared" ref="AC17:AH17" si="58">IFNA(INDEX(INDIRECT(B$5 &amp; "!A:ZZ"), MATCH($AC$7, INDIRECT(INDEX(B$5,0) &amp; "!$E$3:$E$7"), 0) + 2, MATCH($A17, INDIRECT(INDEX(B$5,0) &amp; "!$9:$9"), 0) + 2))</f>
        <v>0.1428571429</v>
      </c>
      <c r="AD17" s="6">
        <f t="shared" si="58"/>
        <v>0</v>
      </c>
      <c r="AE17" s="6">
        <f t="shared" si="58"/>
        <v>0</v>
      </c>
      <c r="AF17" s="6">
        <f t="shared" si="58"/>
        <v>0</v>
      </c>
      <c r="AG17" s="6">
        <f t="shared" si="58"/>
        <v>0</v>
      </c>
      <c r="AH17" s="6">
        <f t="shared" si="58"/>
        <v>0</v>
      </c>
      <c r="AI17" s="6">
        <f t="shared" si="14"/>
        <v>0.02380952381</v>
      </c>
      <c r="AJ17" s="6">
        <f t="array" ref="AJ17">SUM(AC17:AH17*$B34:$G34)/SUM($B34:$G34)</f>
        <v>0.03703703704</v>
      </c>
      <c r="AL17" s="6">
        <f t="shared" ref="AL17:AQ17" si="59">IFNA(INDEX(INDIRECT(B$5 &amp; "!A:ZZ"), MATCH($AL$7, INDIRECT(INDEX(B$5,0) &amp; "!$E$3:$E$7"), 0) + 2, MATCH($A17, INDIRECT(INDEX(B$5,0) &amp; "!$9:$9"), 0) + 2))</f>
        <v>0.2857142857</v>
      </c>
      <c r="AM17" s="6">
        <f t="shared" si="59"/>
        <v>0.2857142857</v>
      </c>
      <c r="AN17" s="6">
        <f t="shared" si="59"/>
        <v>1</v>
      </c>
      <c r="AO17" s="6">
        <f t="shared" si="59"/>
        <v>0</v>
      </c>
      <c r="AP17" s="6">
        <f t="shared" si="59"/>
        <v>0</v>
      </c>
      <c r="AQ17" s="6">
        <f t="shared" si="59"/>
        <v>0.5</v>
      </c>
      <c r="AR17" s="6">
        <f t="shared" si="16"/>
        <v>0.3452380952</v>
      </c>
      <c r="AS17" s="6">
        <f t="array" ref="AS17">SUM(AL17:AQ17*$B34:$G34)/SUM($B34:$G34)</f>
        <v>0.3703703704</v>
      </c>
      <c r="AU17" s="6">
        <f t="shared" ref="AU17:AZ17" si="60">IFNA(INDEX(INDIRECT(B$5 &amp; "!A:ZZ"), MATCH($AU$7, INDIRECT(INDEX(B$5,0) &amp; "!$E$3:$E$7"), 0) + 2, MATCH($A17, INDIRECT(INDEX(B$5,0) &amp; "!$9:$9"), 0) + 2))</f>
        <v>0.4285714286</v>
      </c>
      <c r="AV17" s="6">
        <f t="shared" si="60"/>
        <v>0.5714285714</v>
      </c>
      <c r="AW17" s="6">
        <f t="shared" si="60"/>
        <v>0</v>
      </c>
      <c r="AX17" s="6">
        <f t="shared" si="60"/>
        <v>1</v>
      </c>
      <c r="AY17" s="6">
        <f t="shared" si="60"/>
        <v>1</v>
      </c>
      <c r="AZ17" s="6">
        <f t="shared" si="60"/>
        <v>0.5</v>
      </c>
      <c r="BA17" s="6">
        <f t="shared" si="18"/>
        <v>0.5833333333</v>
      </c>
      <c r="BB17" s="6">
        <f t="array" ref="BB17">SUM(AU17:AZ17*$B34:$G34)/SUM($B34:$G34)</f>
        <v>0.5185185185</v>
      </c>
    </row>
    <row r="18">
      <c r="A18" s="5" t="str">
        <f>IFERROR(__xludf.DUMMYFUNCTION("""COMPUTED_VALUE"""),"['world', 'class', 'striker']")</f>
        <v>['world', 'class', 'striker']</v>
      </c>
      <c r="B18" s="6">
        <f t="shared" ref="B18:G18" si="61">IFNA(INDEX(INDIRECT(B$5 &amp; "!A:ZZ"), 8, MATCH($A18, INDIRECT(INDEX(B$5,0) &amp; "!$9:$9"), 0) + 2))</f>
        <v>0.5</v>
      </c>
      <c r="C18" s="6">
        <f t="shared" si="61"/>
        <v>0</v>
      </c>
      <c r="D18" s="6">
        <f t="shared" si="61"/>
        <v>0</v>
      </c>
      <c r="E18" s="6" t="str">
        <f t="shared" si="61"/>
        <v/>
      </c>
      <c r="F18" s="6">
        <f t="shared" si="61"/>
        <v>0</v>
      </c>
      <c r="G18" s="6">
        <f t="shared" si="61"/>
        <v>0.5</v>
      </c>
      <c r="H18" s="6">
        <f t="shared" si="8"/>
        <v>0.2</v>
      </c>
      <c r="I18" s="6">
        <f t="array" ref="I18">SUM(B18:G18*$B35:$G35)/SUM($B35:$G35)</f>
        <v>0.3333333333</v>
      </c>
      <c r="J18" s="6"/>
      <c r="K18" s="6">
        <f t="shared" ref="K18:P18" si="62">IFNA(INDEX(INDIRECT(B$5 &amp; "!A:ZZ"), MATCH($K$7, INDIRECT(INDEX(B$5,0) &amp; "!$E$3:$E$7"), 0) + 2, MATCH($A18, INDIRECT(INDEX(B$5,0) &amp; "!$9:$9"), 0) + 2))</f>
        <v>0</v>
      </c>
      <c r="L18" s="6">
        <f t="shared" si="62"/>
        <v>0</v>
      </c>
      <c r="M18" s="6">
        <f t="shared" si="62"/>
        <v>0</v>
      </c>
      <c r="N18" s="6" t="str">
        <f t="shared" si="62"/>
        <v/>
      </c>
      <c r="O18" s="6">
        <f t="shared" si="62"/>
        <v>0</v>
      </c>
      <c r="P18" s="6">
        <f t="shared" si="62"/>
        <v>0.25</v>
      </c>
      <c r="Q18" s="6">
        <f t="shared" si="10"/>
        <v>0.04166666667</v>
      </c>
      <c r="R18" s="6">
        <f t="array" ref="R18">SUM(K18:P18*$B35:$G35)/SUM($B35:$G35)</f>
        <v>0.1111111111</v>
      </c>
      <c r="S18" s="6"/>
      <c r="T18" s="6">
        <f t="shared" ref="T18:Y18" si="63">IFNA(INDEX(INDIRECT(B$5 &amp; "!A:ZZ"), MATCH($T$7, INDIRECT(INDEX(B$5,0) &amp; "!$E$3:$E$7"), 0) + 2, MATCH($A18, INDIRECT(INDEX(B$5,0) &amp; "!$9:$9"), 0) + 2))</f>
        <v>0</v>
      </c>
      <c r="U18" s="6">
        <f t="shared" si="63"/>
        <v>0</v>
      </c>
      <c r="V18" s="6">
        <f t="shared" si="63"/>
        <v>0</v>
      </c>
      <c r="W18" s="6" t="str">
        <f t="shared" si="63"/>
        <v/>
      </c>
      <c r="X18" s="6">
        <f t="shared" si="63"/>
        <v>0</v>
      </c>
      <c r="Y18" s="6">
        <f t="shared" si="63"/>
        <v>0.25</v>
      </c>
      <c r="Z18" s="6">
        <f t="shared" si="12"/>
        <v>0.04166666667</v>
      </c>
      <c r="AA18" s="6">
        <f t="array" ref="AA18">SUM(T18:Y18*$B35:$G35)/SUM($B35:$G35)</f>
        <v>0.1111111111</v>
      </c>
      <c r="AC18" s="6">
        <f t="shared" ref="AC18:AH18" si="64">IFNA(INDEX(INDIRECT(B$5 &amp; "!A:ZZ"), MATCH($AC$7, INDIRECT(INDEX(B$5,0) &amp; "!$E$3:$E$7"), 0) + 2, MATCH($A18, INDIRECT(INDEX(B$5,0) &amp; "!$9:$9"), 0) + 2))</f>
        <v>0.5</v>
      </c>
      <c r="AD18" s="6">
        <f t="shared" si="64"/>
        <v>1</v>
      </c>
      <c r="AE18" s="6">
        <f t="shared" si="64"/>
        <v>1</v>
      </c>
      <c r="AF18" s="6" t="str">
        <f t="shared" si="64"/>
        <v/>
      </c>
      <c r="AG18" s="6">
        <f t="shared" si="64"/>
        <v>1</v>
      </c>
      <c r="AH18" s="6">
        <f t="shared" si="64"/>
        <v>0</v>
      </c>
      <c r="AI18" s="6">
        <f t="shared" si="14"/>
        <v>0.5833333333</v>
      </c>
      <c r="AJ18" s="6">
        <f t="array" ref="AJ18">SUM(AC18:AH18*$B35:$G35)/SUM($B35:$G35)</f>
        <v>0.4444444444</v>
      </c>
      <c r="AL18" s="6">
        <f t="shared" ref="AL18:AQ18" si="65">IFNA(INDEX(INDIRECT(B$5 &amp; "!A:ZZ"), MATCH($AL$7, INDIRECT(INDEX(B$5,0) &amp; "!$E$3:$E$7"), 0) + 2, MATCH($A18, INDIRECT(INDEX(B$5,0) &amp; "!$9:$9"), 0) + 2))</f>
        <v>0.25</v>
      </c>
      <c r="AM18" s="6">
        <f t="shared" si="65"/>
        <v>0</v>
      </c>
      <c r="AN18" s="6">
        <f t="shared" si="65"/>
        <v>0</v>
      </c>
      <c r="AO18" s="6" t="str">
        <f t="shared" si="65"/>
        <v/>
      </c>
      <c r="AP18" s="6">
        <f t="shared" si="65"/>
        <v>0</v>
      </c>
      <c r="AQ18" s="6">
        <f t="shared" si="65"/>
        <v>0.25</v>
      </c>
      <c r="AR18" s="6">
        <f t="shared" si="16"/>
        <v>0.08333333333</v>
      </c>
      <c r="AS18" s="6">
        <f t="array" ref="AS18">SUM(AL18:AQ18*$B35:$G35)/SUM($B35:$G35)</f>
        <v>0.1666666667</v>
      </c>
      <c r="AU18" s="6">
        <f t="shared" ref="AU18:AZ18" si="66">IFNA(INDEX(INDIRECT(B$5 &amp; "!A:ZZ"), MATCH($AU$7, INDIRECT(INDEX(B$5,0) &amp; "!$E$3:$E$7"), 0) + 2, MATCH($A18, INDIRECT(INDEX(B$5,0) &amp; "!$9:$9"), 0) + 2))</f>
        <v>0.25</v>
      </c>
      <c r="AV18" s="6">
        <f t="shared" si="66"/>
        <v>0</v>
      </c>
      <c r="AW18" s="6">
        <f t="shared" si="66"/>
        <v>0</v>
      </c>
      <c r="AX18" s="6" t="str">
        <f t="shared" si="66"/>
        <v/>
      </c>
      <c r="AY18" s="6">
        <f t="shared" si="66"/>
        <v>0</v>
      </c>
      <c r="AZ18" s="6">
        <f t="shared" si="66"/>
        <v>0.25</v>
      </c>
      <c r="BA18" s="6">
        <f t="shared" si="18"/>
        <v>0.08333333333</v>
      </c>
      <c r="BB18" s="6">
        <f t="array" ref="BB18">SUM(AU18:AZ18*$B35:$G35)/SUM($B35:$G35)</f>
        <v>0.1666666667</v>
      </c>
    </row>
    <row r="19">
      <c r="A19" s="5" t="str">
        <f>IFERROR(__xludf.DUMMYFUNCTION("""COMPUTED_VALUE"""),"['keeper', 'best', 'goalkeep', 'defend', 'EXCLUDED-kepa', 'save']")</f>
        <v>['keeper', 'best', 'goalkeep', 'defend', 'EXCLUDED-kepa', 'save']</v>
      </c>
      <c r="B19" s="6">
        <f t="shared" ref="B19:G19" si="67">IFNA(INDEX(INDIRECT(B$5 &amp; "!A:ZZ"), 8, MATCH($A19, INDIRECT(INDEX(B$5,0) &amp; "!$9:$9"), 0) + 2))</f>
        <v>1</v>
      </c>
      <c r="C19" s="6">
        <f t="shared" si="67"/>
        <v>0.6363636364</v>
      </c>
      <c r="D19" s="6">
        <f t="shared" si="67"/>
        <v>0.6666666667</v>
      </c>
      <c r="E19" s="6">
        <f t="shared" si="67"/>
        <v>0.75</v>
      </c>
      <c r="F19" s="6">
        <f t="shared" si="67"/>
        <v>0.7777777778</v>
      </c>
      <c r="G19" s="6">
        <f t="shared" si="67"/>
        <v>0.3333333333</v>
      </c>
      <c r="H19" s="6">
        <f t="shared" si="8"/>
        <v>0.694023569</v>
      </c>
      <c r="I19" s="6">
        <f t="array" ref="I19">SUM(B19:G19*$B36:$G36)/SUM($B36:$G36)</f>
        <v>0.6585365854</v>
      </c>
      <c r="J19" s="6"/>
      <c r="K19" s="6">
        <f t="shared" ref="K19:P19" si="68">IFNA(INDEX(INDIRECT(B$5 &amp; "!A:ZZ"), MATCH($K$7, INDIRECT(INDEX(B$5,0) &amp; "!$E$3:$E$7"), 0) + 2, MATCH($A19, INDIRECT(INDEX(B$5,0) &amp; "!$9:$9"), 0) + 2))</f>
        <v>0</v>
      </c>
      <c r="L19" s="6">
        <f t="shared" si="68"/>
        <v>0</v>
      </c>
      <c r="M19" s="6">
        <f t="shared" si="68"/>
        <v>0</v>
      </c>
      <c r="N19" s="6">
        <f t="shared" si="68"/>
        <v>0</v>
      </c>
      <c r="O19" s="6">
        <f t="shared" si="68"/>
        <v>0.1111111111</v>
      </c>
      <c r="P19" s="6">
        <f t="shared" si="68"/>
        <v>0.1111111111</v>
      </c>
      <c r="Q19" s="6">
        <f t="shared" si="10"/>
        <v>0.03703703704</v>
      </c>
      <c r="R19" s="6">
        <f t="array" ref="R19">SUM(K19:P19*$B36:$G36)/SUM($B36:$G36)</f>
        <v>0.0487804878</v>
      </c>
      <c r="S19" s="6"/>
      <c r="T19" s="6">
        <f t="shared" ref="T19:Y19" si="69">IFNA(INDEX(INDIRECT(B$5 &amp; "!A:ZZ"), MATCH($T$7, INDIRECT(INDEX(B$5,0) &amp; "!$E$3:$E$7"), 0) + 2, MATCH($A19, INDIRECT(INDEX(B$5,0) &amp; "!$9:$9"), 0) + 2))</f>
        <v>0</v>
      </c>
      <c r="U19" s="6">
        <f t="shared" si="69"/>
        <v>0</v>
      </c>
      <c r="V19" s="6">
        <f t="shared" si="69"/>
        <v>0.3333333333</v>
      </c>
      <c r="W19" s="6">
        <f t="shared" si="69"/>
        <v>0.25</v>
      </c>
      <c r="X19" s="6">
        <f t="shared" si="69"/>
        <v>0.1111111111</v>
      </c>
      <c r="Y19" s="6">
        <f t="shared" si="69"/>
        <v>0.1111111111</v>
      </c>
      <c r="Z19" s="6">
        <f t="shared" si="12"/>
        <v>0.1342592593</v>
      </c>
      <c r="AA19" s="6">
        <f t="array" ref="AA19">SUM(T19:Y19*$B36:$G36)/SUM($B36:$G36)</f>
        <v>0.09756097561</v>
      </c>
      <c r="AC19" s="6">
        <f t="shared" ref="AC19:AH19" si="70">IFNA(INDEX(INDIRECT(B$5 &amp; "!A:ZZ"), MATCH($AC$7, INDIRECT(INDEX(B$5,0) &amp; "!$E$3:$E$7"), 0) + 2, MATCH($A19, INDIRECT(INDEX(B$5,0) &amp; "!$9:$9"), 0) + 2))</f>
        <v>0</v>
      </c>
      <c r="AD19" s="6">
        <f t="shared" si="70"/>
        <v>0.3636363636</v>
      </c>
      <c r="AE19" s="6">
        <f t="shared" si="70"/>
        <v>0</v>
      </c>
      <c r="AF19" s="6">
        <f t="shared" si="70"/>
        <v>0</v>
      </c>
      <c r="AG19" s="6">
        <f t="shared" si="70"/>
        <v>0</v>
      </c>
      <c r="AH19" s="6">
        <f t="shared" si="70"/>
        <v>0.4444444444</v>
      </c>
      <c r="AI19" s="6">
        <f t="shared" si="14"/>
        <v>0.1346801347</v>
      </c>
      <c r="AJ19" s="6">
        <f t="array" ref="AJ19">SUM(AC19:AH19*$B36:$G36)/SUM($B36:$G36)</f>
        <v>0.1951219512</v>
      </c>
      <c r="AL19" s="6">
        <f t="shared" ref="AL19:AQ19" si="71">IFNA(INDEX(INDIRECT(B$5 &amp; "!A:ZZ"), MATCH($AL$7, INDIRECT(INDEX(B$5,0) &amp; "!$E$3:$E$7"), 0) + 2, MATCH($A19, INDIRECT(INDEX(B$5,0) &amp; "!$9:$9"), 0) + 2))</f>
        <v>0.6</v>
      </c>
      <c r="AM19" s="6">
        <f t="shared" si="71"/>
        <v>0.2727272727</v>
      </c>
      <c r="AN19" s="6">
        <f t="shared" si="71"/>
        <v>0.3333333333</v>
      </c>
      <c r="AO19" s="6">
        <f t="shared" si="71"/>
        <v>0.25</v>
      </c>
      <c r="AP19" s="6">
        <f t="shared" si="71"/>
        <v>0.1111111111</v>
      </c>
      <c r="AQ19" s="6">
        <f t="shared" si="71"/>
        <v>0</v>
      </c>
      <c r="AR19" s="6">
        <f t="shared" si="16"/>
        <v>0.2611952862</v>
      </c>
      <c r="AS19" s="6">
        <f t="array" ref="AS19">SUM(AL19:AQ19*$B36:$G36)/SUM($B36:$G36)</f>
        <v>0.2195121951</v>
      </c>
      <c r="AU19" s="6">
        <f t="shared" ref="AU19:AZ19" si="72">IFNA(INDEX(INDIRECT(B$5 &amp; "!A:ZZ"), MATCH($AU$7, INDIRECT(INDEX(B$5,0) &amp; "!$E$3:$E$7"), 0) + 2, MATCH($A19, INDIRECT(INDEX(B$5,0) &amp; "!$9:$9"), 0) + 2))</f>
        <v>0.4</v>
      </c>
      <c r="AV19" s="6">
        <f t="shared" si="72"/>
        <v>0.3636363636</v>
      </c>
      <c r="AW19" s="6">
        <f t="shared" si="72"/>
        <v>0.3333333333</v>
      </c>
      <c r="AX19" s="6">
        <f t="shared" si="72"/>
        <v>0.5</v>
      </c>
      <c r="AY19" s="6">
        <f t="shared" si="72"/>
        <v>0.6666666667</v>
      </c>
      <c r="AZ19" s="6">
        <f t="shared" si="72"/>
        <v>0.3333333333</v>
      </c>
      <c r="BA19" s="6">
        <f t="shared" si="18"/>
        <v>0.4328282828</v>
      </c>
      <c r="BB19" s="6">
        <f t="array" ref="BB19">SUM(AU19:AZ19*$B36:$G36)/SUM($B36:$G36)</f>
        <v>0.4390243902</v>
      </c>
    </row>
    <row r="20">
      <c r="A20" s="5" t="str">
        <f>IFERROR(__xludf.DUMMYFUNCTION("""COMPUTED_VALUE"""),"['hit', 'post']")</f>
        <v>['hit', 'post']</v>
      </c>
      <c r="B20" s="6" t="str">
        <f t="shared" ref="B20:G20" si="73">IFNA(INDEX(INDIRECT(B$5 &amp; "!A:ZZ"), 8, MATCH($A20, INDIRECT(INDEX(B$5,0) &amp; "!$9:$9"), 0) + 2))</f>
        <v/>
      </c>
      <c r="C20" s="6">
        <f t="shared" si="73"/>
        <v>1</v>
      </c>
      <c r="D20" s="6" t="str">
        <f t="shared" si="73"/>
        <v/>
      </c>
      <c r="E20" s="6">
        <f t="shared" si="73"/>
        <v>1</v>
      </c>
      <c r="F20" s="6">
        <f t="shared" si="73"/>
        <v>1</v>
      </c>
      <c r="G20" s="6">
        <f t="shared" si="73"/>
        <v>1</v>
      </c>
      <c r="H20" s="6">
        <f t="shared" si="8"/>
        <v>1</v>
      </c>
      <c r="I20" s="6">
        <f t="array" ref="I20">SUM(B20:G20*$B37:$G37)/SUM($B37:$G37)</f>
        <v>1</v>
      </c>
      <c r="J20" s="6"/>
      <c r="K20" s="6" t="str">
        <f t="shared" ref="K20:P20" si="74">IFNA(INDEX(INDIRECT(B$5 &amp; "!A:ZZ"), MATCH($K$7, INDIRECT(INDEX(B$5,0) &amp; "!$E$3:$E$7"), 0) + 2, MATCH($A20, INDIRECT(INDEX(B$5,0) &amp; "!$9:$9"), 0) + 2))</f>
        <v/>
      </c>
      <c r="L20" s="6">
        <f t="shared" si="74"/>
        <v>0</v>
      </c>
      <c r="M20" s="6" t="str">
        <f t="shared" si="74"/>
        <v/>
      </c>
      <c r="N20" s="6">
        <f t="shared" si="74"/>
        <v>0</v>
      </c>
      <c r="O20" s="6">
        <f t="shared" si="74"/>
        <v>0</v>
      </c>
      <c r="P20" s="6">
        <f t="shared" si="74"/>
        <v>0</v>
      </c>
      <c r="Q20" s="6">
        <f t="shared" si="10"/>
        <v>0</v>
      </c>
      <c r="R20" s="6">
        <f t="array" ref="R20">SUM(K20:P20*$B37:$G37)/SUM($B37:$G37)</f>
        <v>0</v>
      </c>
      <c r="T20" s="6" t="str">
        <f t="shared" ref="T20:Y20" si="75">IFNA(INDEX(INDIRECT(B$5 &amp; "!A:ZZ"), MATCH($T$7, INDIRECT(INDEX(B$5,0) &amp; "!$E$3:$E$7"), 0) + 2, MATCH($A20, INDIRECT(INDEX(B$5,0) &amp; "!$9:$9"), 0) + 2))</f>
        <v/>
      </c>
      <c r="U20" s="6">
        <f t="shared" si="75"/>
        <v>0</v>
      </c>
      <c r="V20" s="6" t="str">
        <f t="shared" si="75"/>
        <v/>
      </c>
      <c r="W20" s="6">
        <f t="shared" si="75"/>
        <v>0</v>
      </c>
      <c r="X20" s="6">
        <f t="shared" si="75"/>
        <v>0</v>
      </c>
      <c r="Y20" s="6">
        <f t="shared" si="75"/>
        <v>0</v>
      </c>
      <c r="Z20" s="6">
        <f t="shared" si="12"/>
        <v>0</v>
      </c>
      <c r="AA20" s="6">
        <f t="array" ref="AA20">SUM(T20:Y20*$B37:$G37)/SUM($B37:$G37)</f>
        <v>0</v>
      </c>
      <c r="AC20" s="6" t="str">
        <f t="shared" ref="AC20:AH20" si="76">IFNA(INDEX(INDIRECT(B$5 &amp; "!A:ZZ"), MATCH($AC$7, INDIRECT(INDEX(B$5,0) &amp; "!$E$3:$E$7"), 0) + 2, MATCH($A20, INDIRECT(INDEX(B$5,0) &amp; "!$9:$9"), 0) + 2))</f>
        <v/>
      </c>
      <c r="AD20" s="6">
        <f t="shared" si="76"/>
        <v>0</v>
      </c>
      <c r="AE20" s="6" t="str">
        <f t="shared" si="76"/>
        <v/>
      </c>
      <c r="AF20" s="6">
        <f t="shared" si="76"/>
        <v>0</v>
      </c>
      <c r="AG20" s="6">
        <f t="shared" si="76"/>
        <v>0</v>
      </c>
      <c r="AH20" s="6">
        <f t="shared" si="76"/>
        <v>0</v>
      </c>
      <c r="AI20" s="6">
        <f t="shared" si="14"/>
        <v>0</v>
      </c>
      <c r="AJ20" s="6">
        <f t="array" ref="AJ20">SUM(AC20:AH20*$B37:$G37)/SUM($B37:$G37)</f>
        <v>0</v>
      </c>
      <c r="AL20" s="6" t="str">
        <f t="shared" ref="AL20:AQ20" si="77">IFNA(INDEX(INDIRECT(B$5 &amp; "!A:ZZ"), MATCH($AL$7, INDIRECT(INDEX(B$5,0) &amp; "!$E$3:$E$7"), 0) + 2, MATCH($A20, INDIRECT(INDEX(B$5,0) &amp; "!$9:$9"), 0) + 2))</f>
        <v/>
      </c>
      <c r="AM20" s="6">
        <f t="shared" si="77"/>
        <v>0</v>
      </c>
      <c r="AN20" s="6" t="str">
        <f t="shared" si="77"/>
        <v/>
      </c>
      <c r="AO20" s="6">
        <f t="shared" si="77"/>
        <v>0</v>
      </c>
      <c r="AP20" s="6">
        <f t="shared" si="77"/>
        <v>0</v>
      </c>
      <c r="AQ20" s="6">
        <f t="shared" si="77"/>
        <v>1</v>
      </c>
      <c r="AR20" s="6">
        <f t="shared" si="16"/>
        <v>0.1666666667</v>
      </c>
      <c r="AS20" s="6">
        <f t="array" ref="AS20">SUM(AL20:AQ20*$B37:$G37)/SUM($B37:$G37)</f>
        <v>0.25</v>
      </c>
      <c r="AU20" s="6" t="str">
        <f t="shared" ref="AU20:AZ20" si="78">IFNA(INDEX(INDIRECT(B$5 &amp; "!A:ZZ"), MATCH($AU$7, INDIRECT(INDEX(B$5,0) &amp; "!$E$3:$E$7"), 0) + 2, MATCH($A20, INDIRECT(INDEX(B$5,0) &amp; "!$9:$9"), 0) + 2))</f>
        <v/>
      </c>
      <c r="AV20" s="6">
        <f t="shared" si="78"/>
        <v>1</v>
      </c>
      <c r="AW20" s="6" t="str">
        <f t="shared" si="78"/>
        <v/>
      </c>
      <c r="AX20" s="6">
        <f t="shared" si="78"/>
        <v>1</v>
      </c>
      <c r="AY20" s="6">
        <f t="shared" si="78"/>
        <v>1</v>
      </c>
      <c r="AZ20" s="6">
        <f t="shared" si="78"/>
        <v>0</v>
      </c>
      <c r="BA20" s="6">
        <f t="shared" si="18"/>
        <v>0.5</v>
      </c>
      <c r="BB20" s="6">
        <f t="array" ref="BB20">SUM(AU20:AZ20*$B37:$G37)/SUM($B37:$G37)</f>
        <v>0.75</v>
      </c>
    </row>
    <row r="21">
      <c r="A21" s="5" t="str">
        <f>IFERROR(__xludf.DUMMYFUNCTION("""COMPUTED_VALUE"""),"['EXCLUDED-man', 'utd']")</f>
        <v>['EXCLUDED-man', 'utd']</v>
      </c>
      <c r="B21" s="6" t="str">
        <f t="shared" ref="B21:G21" si="79">IFNA(INDEX(INDIRECT(B$5 &amp; "!A:ZZ"), 8, MATCH($A21, INDIRECT(INDEX(B$5,0) &amp; "!$9:$9"), 0) + 2))</f>
        <v/>
      </c>
      <c r="C21" s="6" t="str">
        <f t="shared" si="79"/>
        <v/>
      </c>
      <c r="D21" s="6" t="str">
        <f t="shared" si="79"/>
        <v/>
      </c>
      <c r="E21" s="6">
        <f t="shared" si="79"/>
        <v>0.8571428571</v>
      </c>
      <c r="F21" s="6" t="str">
        <f t="shared" si="79"/>
        <v/>
      </c>
      <c r="G21" s="6" t="str">
        <f t="shared" si="79"/>
        <v/>
      </c>
      <c r="H21" s="6">
        <f t="shared" si="8"/>
        <v>0.8571428571</v>
      </c>
      <c r="I21" s="6">
        <f t="array" ref="I21">SUM(B21:G21*$B38:$G38)/SUM($B38:$G38)</f>
        <v>0.8571428571</v>
      </c>
      <c r="J21" s="6"/>
      <c r="K21" s="6" t="str">
        <f t="shared" ref="K21:P21" si="80">IFNA(INDEX(INDIRECT(B$5 &amp; "!A:ZZ"), MATCH($K$7, INDIRECT(INDEX(B$5,0) &amp; "!$E$3:$E$7"), 0) + 2, MATCH($A21, INDIRECT(INDEX(B$5,0) &amp; "!$9:$9"), 0) + 2))</f>
        <v/>
      </c>
      <c r="L21" s="6" t="str">
        <f t="shared" si="80"/>
        <v/>
      </c>
      <c r="M21" s="6" t="str">
        <f t="shared" si="80"/>
        <v/>
      </c>
      <c r="N21" s="6">
        <f t="shared" si="80"/>
        <v>0</v>
      </c>
      <c r="O21" s="6" t="str">
        <f t="shared" si="80"/>
        <v/>
      </c>
      <c r="P21" s="6" t="str">
        <f t="shared" si="80"/>
        <v/>
      </c>
      <c r="Q21" s="6">
        <f t="shared" si="10"/>
        <v>0</v>
      </c>
      <c r="R21" s="6">
        <f t="array" ref="R21">SUM(K21:P21*$B38:$G38)/SUM($B38:$G38)</f>
        <v>0</v>
      </c>
      <c r="T21" s="6" t="str">
        <f t="shared" ref="T21:Y21" si="81">IFNA(INDEX(INDIRECT(B$5 &amp; "!A:ZZ"), MATCH($T$7, INDIRECT(INDEX(B$5,0) &amp; "!$E$3:$E$7"), 0) + 2, MATCH($A21, INDIRECT(INDEX(B$5,0) &amp; "!$9:$9"), 0) + 2))</f>
        <v/>
      </c>
      <c r="U21" s="6" t="str">
        <f t="shared" si="81"/>
        <v/>
      </c>
      <c r="V21" s="6" t="str">
        <f t="shared" si="81"/>
        <v/>
      </c>
      <c r="W21" s="6">
        <f t="shared" si="81"/>
        <v>0</v>
      </c>
      <c r="X21" s="6" t="str">
        <f t="shared" si="81"/>
        <v/>
      </c>
      <c r="Y21" s="6" t="str">
        <f t="shared" si="81"/>
        <v/>
      </c>
      <c r="Z21" s="6">
        <f t="shared" si="12"/>
        <v>0</v>
      </c>
      <c r="AA21" s="6">
        <f t="array" ref="AA21">SUM(T21:Y21*$B38:$G38)/SUM($B38:$G38)</f>
        <v>0</v>
      </c>
      <c r="AC21" s="6" t="str">
        <f t="shared" ref="AC21:AH21" si="82">IFNA(INDEX(INDIRECT(B$5 &amp; "!A:ZZ"), MATCH($AC$7, INDIRECT(INDEX(B$5,0) &amp; "!$E$3:$E$7"), 0) + 2, MATCH($A21, INDIRECT(INDEX(B$5,0) &amp; "!$9:$9"), 0) + 2))</f>
        <v/>
      </c>
      <c r="AD21" s="6" t="str">
        <f t="shared" si="82"/>
        <v/>
      </c>
      <c r="AE21" s="6" t="str">
        <f t="shared" si="82"/>
        <v/>
      </c>
      <c r="AF21" s="6">
        <f t="shared" si="82"/>
        <v>0.1428571429</v>
      </c>
      <c r="AG21" s="6" t="str">
        <f t="shared" si="82"/>
        <v/>
      </c>
      <c r="AH21" s="6" t="str">
        <f t="shared" si="82"/>
        <v/>
      </c>
      <c r="AI21" s="6">
        <f t="shared" si="14"/>
        <v>0.02380952381</v>
      </c>
      <c r="AJ21" s="6">
        <f t="array" ref="AJ21">SUM(AC21:AH21*$B38:$G38)/SUM($B38:$G38)</f>
        <v>0.1428571429</v>
      </c>
      <c r="AL21" s="6" t="str">
        <f t="shared" ref="AL21:AQ21" si="83">IFNA(INDEX(INDIRECT(B$5 &amp; "!A:ZZ"), MATCH($AL$7, INDIRECT(INDEX(B$5,0) &amp; "!$E$3:$E$7"), 0) + 2, MATCH($A21, INDIRECT(INDEX(B$5,0) &amp; "!$9:$9"), 0) + 2))</f>
        <v/>
      </c>
      <c r="AM21" s="6" t="str">
        <f t="shared" si="83"/>
        <v/>
      </c>
      <c r="AN21" s="6" t="str">
        <f t="shared" si="83"/>
        <v/>
      </c>
      <c r="AO21" s="6">
        <f t="shared" si="83"/>
        <v>0.5714285714</v>
      </c>
      <c r="AP21" s="6" t="str">
        <f t="shared" si="83"/>
        <v/>
      </c>
      <c r="AQ21" s="6" t="str">
        <f t="shared" si="83"/>
        <v/>
      </c>
      <c r="AR21" s="6">
        <f t="shared" si="16"/>
        <v>0.09523809524</v>
      </c>
      <c r="AS21" s="6">
        <f t="array" ref="AS21">SUM(AL21:AQ21*$B38:$G38)/SUM($B38:$G38)</f>
        <v>0.5714285714</v>
      </c>
      <c r="AU21" s="6" t="str">
        <f t="shared" ref="AU21:AZ21" si="84">IFNA(INDEX(INDIRECT(B$5 &amp; "!A:ZZ"), MATCH($AU$7, INDIRECT(INDEX(B$5,0) &amp; "!$E$3:$E$7"), 0) + 2, MATCH($A21, INDIRECT(INDEX(B$5,0) &amp; "!$9:$9"), 0) + 2))</f>
        <v/>
      </c>
      <c r="AV21" s="6" t="str">
        <f t="shared" si="84"/>
        <v/>
      </c>
      <c r="AW21" s="6" t="str">
        <f t="shared" si="84"/>
        <v/>
      </c>
      <c r="AX21" s="6">
        <f t="shared" si="84"/>
        <v>0.2857142857</v>
      </c>
      <c r="AY21" s="6" t="str">
        <f t="shared" si="84"/>
        <v/>
      </c>
      <c r="AZ21" s="6" t="str">
        <f t="shared" si="84"/>
        <v/>
      </c>
      <c r="BA21" s="6">
        <f t="shared" si="18"/>
        <v>0.04761904762</v>
      </c>
      <c r="BB21" s="6">
        <f t="array" ref="BB21">SUM(AU21:AZ21*$B38:$G38)/SUM($B38:$G38)</f>
        <v>0.2857142857</v>
      </c>
    </row>
    <row r="22">
      <c r="K22" s="6"/>
      <c r="L22" s="6"/>
      <c r="M22" s="6"/>
      <c r="N22" s="6"/>
      <c r="O22" s="6"/>
    </row>
    <row r="23">
      <c r="C23" s="1"/>
      <c r="D23" s="1"/>
      <c r="E23" s="1"/>
      <c r="F23" s="1"/>
      <c r="G23" s="1"/>
      <c r="H23" s="1"/>
      <c r="I23" s="1"/>
    </row>
    <row r="24">
      <c r="A24" s="1"/>
      <c r="B24" s="1" t="s">
        <v>23</v>
      </c>
      <c r="K24" s="8" t="s">
        <v>24</v>
      </c>
      <c r="R24" s="8" t="s">
        <v>25</v>
      </c>
    </row>
    <row r="25">
      <c r="A25" s="1" t="s">
        <v>19</v>
      </c>
      <c r="B25" s="1" t="s">
        <v>1</v>
      </c>
      <c r="C25" s="1" t="s">
        <v>2</v>
      </c>
      <c r="D25" s="1" t="s">
        <v>3</v>
      </c>
      <c r="E25" s="1" t="s">
        <v>4</v>
      </c>
      <c r="F25" s="1" t="s">
        <v>5</v>
      </c>
      <c r="G25" s="1" t="s">
        <v>6</v>
      </c>
      <c r="H25" s="1" t="s">
        <v>20</v>
      </c>
      <c r="I25" s="9" t="s">
        <v>26</v>
      </c>
      <c r="K25" s="3" t="s">
        <v>14</v>
      </c>
      <c r="L25" s="3" t="s">
        <v>15</v>
      </c>
      <c r="M25" s="10" t="s">
        <v>16</v>
      </c>
      <c r="N25" s="3" t="s">
        <v>17</v>
      </c>
      <c r="O25" s="3" t="s">
        <v>18</v>
      </c>
      <c r="P25" s="1" t="s">
        <v>27</v>
      </c>
      <c r="Q25" s="1" t="s">
        <v>26</v>
      </c>
      <c r="R25" s="3" t="s">
        <v>14</v>
      </c>
      <c r="S25" s="3" t="s">
        <v>15</v>
      </c>
      <c r="T25" s="10" t="s">
        <v>16</v>
      </c>
      <c r="U25" s="3" t="s">
        <v>17</v>
      </c>
      <c r="V25" s="3" t="s">
        <v>18</v>
      </c>
      <c r="W25" s="1" t="s">
        <v>27</v>
      </c>
    </row>
    <row r="26">
      <c r="A26" s="5" t="str">
        <f>IFERROR(__xludf.DUMMYFUNCTION("FILTER(UNIQUE({TRANSPOSE(INDEX(INDIRECT(INDEX($B$5) &amp; ""!E$9:9""))); TRANSPOSE(INDEX(INDIRECT(INDEX($C$5) &amp; ""!E$9:9""))); TRANSPOSE(INDEX(INDIRECT(INDEX($D$5) &amp; ""!E$9:9""))); TRANSPOSE(INDEX(INDIRECT(INDEX($E$5) &amp; ""!E$9:9""))); TRANSPOSE(INDEX(INDIRECT"&amp;"(INDEX($F$5) &amp; ""!E$9:9""))); TRANSPOSE(INDEX(INDIRECT(INDEX($G$5) &amp; ""!E$9:9"")))}), LEN(UNIQUE({TRANSPOSE(INDEX(INDIRECT(INDEX($B$5) &amp; ""!E$9:9""))); TRANSPOSE(INDEX(INDIRECT(INDEX($C$5) &amp; ""!E$9:9""))); TRANSPOSE(INDEX(INDIRECT(INDEX($D$5) &amp; ""!E$9:9"""&amp;"))); TRANSPOSE(INDEX(INDIRECT(INDEX($E$5) &amp; ""!E$9:9""))); TRANSPOSE(INDEX(INDIRECT(INDEX($F$5) &amp; ""!E$9:9""))); TRANSPOSE(INDEX(INDIRECT(INDEX($G$5) &amp; ""!E$9:9"")))})))"),"['champion', 'final', 'leagu', 'footbal', 'win']")</f>
        <v>['champion', 'final', 'leagu', 'footbal', 'win']</v>
      </c>
      <c r="B26" s="11">
        <f t="shared" ref="B26:G26" si="85">IFNA(INDEX(INDIRECT(B$5 &amp; "!A:ZZ"), 8, MATCH($A26, INDIRECT(INDEX(B$5,0) &amp; "!$9:$9"), 0) + 1))</f>
        <v>23</v>
      </c>
      <c r="C26" s="11">
        <f t="shared" si="85"/>
        <v>16</v>
      </c>
      <c r="D26" s="11">
        <f t="shared" si="85"/>
        <v>11</v>
      </c>
      <c r="E26" s="11">
        <f t="shared" si="85"/>
        <v>14</v>
      </c>
      <c r="F26" s="11">
        <f t="shared" si="85"/>
        <v>11</v>
      </c>
      <c r="G26" s="11">
        <f t="shared" si="85"/>
        <v>17</v>
      </c>
      <c r="H26" s="12">
        <f t="shared" ref="H26:H38" si="87">SUM(B26:G26)/6</f>
        <v>15.33333333</v>
      </c>
      <c r="I26" s="11">
        <f t="shared" ref="I26:I38" si="88">SUM(B26:G26)</f>
        <v>92</v>
      </c>
      <c r="K26" s="6">
        <f t="array" ref="K26:K38">INDEX(R9:R21,0)</f>
        <v>0.0652173913</v>
      </c>
      <c r="L26" s="6">
        <f t="array" ref="L26:L38">INDEX(AA9:AA21,0)</f>
        <v>0.1413043478</v>
      </c>
      <c r="M26" s="6">
        <f t="array" ref="M26:M38">INDEX(AJ9:AJ21,0)</f>
        <v>0.2934782609</v>
      </c>
      <c r="N26" s="6">
        <f t="array" ref="N26:N38">INDEX(AS9:AS21,0)</f>
        <v>0.2608695652</v>
      </c>
      <c r="O26" s="6">
        <f t="array" ref="O26:O38">INDEX(BB9:BB21,0)</f>
        <v>0.2391304348</v>
      </c>
      <c r="P26" s="6">
        <f t="shared" ref="P26:P38" si="89">N26+O26</f>
        <v>0.5</v>
      </c>
      <c r="Q26" s="6">
        <f t="shared" ref="Q26:Q38" si="90">SUM(K26:O26)</f>
        <v>1</v>
      </c>
      <c r="R26" s="6">
        <f t="array" ref="R26:R38">INDEX(Q9:Q21,0)</f>
        <v>0.05649848872</v>
      </c>
      <c r="S26" s="6">
        <f t="array" ref="S26:S38">INDEX(Z9:Z21,0)</f>
        <v>0.144495051</v>
      </c>
      <c r="T26" s="6">
        <f t="array" ref="T26:T38">INDEX(AI9:AI21,0)</f>
        <v>0.3011605828</v>
      </c>
      <c r="U26" s="6">
        <f t="array" ref="U26:U38">INDEX(AR9:AR21,0)</f>
        <v>0.2672049551</v>
      </c>
      <c r="V26" s="6">
        <f t="array" ref="V26:V38">INDEX(BA9:BA21,0)</f>
        <v>0.2306409224</v>
      </c>
      <c r="W26" s="6">
        <f t="shared" ref="W26:W38" si="91">U26+V26</f>
        <v>0.4978458775</v>
      </c>
    </row>
    <row r="27">
      <c r="A27" s="5" t="str">
        <f>IFERROR(__xludf.DUMMYFUNCTION("""COMPUTED_VALUE"""),"['take', 'knee', 'player']")</f>
        <v>['take', 'knee', 'player']</v>
      </c>
      <c r="B27" s="11">
        <f t="shared" ref="B27:G27" si="86">IFNA(INDEX(INDIRECT(B$5 &amp; "!A:ZZ"), 8, MATCH($A27, INDIRECT(INDEX(B$5,0) &amp; "!$9:$9"), 0) + 1))</f>
        <v>18</v>
      </c>
      <c r="C27" s="11">
        <f t="shared" si="86"/>
        <v>17</v>
      </c>
      <c r="D27" s="11">
        <f t="shared" si="86"/>
        <v>7</v>
      </c>
      <c r="E27" s="11">
        <f t="shared" si="86"/>
        <v>7</v>
      </c>
      <c r="F27" s="11">
        <f t="shared" si="86"/>
        <v>6</v>
      </c>
      <c r="G27" s="11">
        <f t="shared" si="86"/>
        <v>16</v>
      </c>
      <c r="H27" s="12">
        <f t="shared" si="87"/>
        <v>11.83333333</v>
      </c>
      <c r="I27" s="11">
        <f t="shared" si="88"/>
        <v>71</v>
      </c>
      <c r="K27" s="6">
        <v>0.04225352112676056</v>
      </c>
      <c r="L27" s="6">
        <v>0.11267605633802817</v>
      </c>
      <c r="M27" s="6">
        <v>0.323943661971831</v>
      </c>
      <c r="N27" s="6">
        <v>0.29577464788732394</v>
      </c>
      <c r="O27" s="6">
        <v>0.22535211267605634</v>
      </c>
      <c r="P27" s="6">
        <f t="shared" si="89"/>
        <v>0.5211267606</v>
      </c>
      <c r="Q27" s="6">
        <f t="shared" si="90"/>
        <v>1</v>
      </c>
      <c r="R27" s="6">
        <v>0.02886710239651416</v>
      </c>
      <c r="S27" s="6">
        <v>0.12228641456582633</v>
      </c>
      <c r="T27" s="6">
        <v>0.33412114845938373</v>
      </c>
      <c r="U27" s="6">
        <v>0.3150093370681606</v>
      </c>
      <c r="V27" s="6">
        <v>0.19971599751011515</v>
      </c>
      <c r="W27" s="6">
        <f t="shared" si="91"/>
        <v>0.5147253346</v>
      </c>
    </row>
    <row r="28">
      <c r="A28" s="5" t="str">
        <f>IFERROR(__xludf.DUMMYFUNCTION("""COMPUTED_VALUE"""),"['goal', 'score', 'conced', 'equalis', 'offsid', 'assist']")</f>
        <v>['goal', 'score', 'conced', 'equalis', 'offsid', 'assist']</v>
      </c>
      <c r="B28" s="11">
        <f t="shared" ref="B28:G28" si="92">IFNA(INDEX(INDIRECT(B$5 &amp; "!A:ZZ"), 8, MATCH($A28, INDIRECT(INDEX(B$5,0) &amp; "!$9:$9"), 0) + 1))</f>
        <v>15</v>
      </c>
      <c r="C28" s="11">
        <f t="shared" si="92"/>
        <v>13</v>
      </c>
      <c r="D28" s="11">
        <f t="shared" si="92"/>
        <v>5</v>
      </c>
      <c r="E28" s="11">
        <f t="shared" si="92"/>
        <v>10</v>
      </c>
      <c r="F28" s="11">
        <f t="shared" si="92"/>
        <v>7</v>
      </c>
      <c r="G28" s="11">
        <f t="shared" si="92"/>
        <v>10</v>
      </c>
      <c r="H28" s="12">
        <f t="shared" si="87"/>
        <v>10</v>
      </c>
      <c r="I28" s="11">
        <f t="shared" si="88"/>
        <v>60</v>
      </c>
      <c r="K28" s="6">
        <v>0.11666666666666667</v>
      </c>
      <c r="L28" s="6">
        <v>0.0</v>
      </c>
      <c r="M28" s="6">
        <v>0.13333333333333333</v>
      </c>
      <c r="N28" s="6">
        <v>0.31666666666666665</v>
      </c>
      <c r="O28" s="6">
        <v>0.43333333333333335</v>
      </c>
      <c r="P28" s="6">
        <f t="shared" si="89"/>
        <v>0.75</v>
      </c>
      <c r="Q28" s="6">
        <f t="shared" si="90"/>
        <v>1</v>
      </c>
      <c r="R28" s="6">
        <v>0.10170940170940172</v>
      </c>
      <c r="S28" s="6">
        <v>0.0</v>
      </c>
      <c r="T28" s="6">
        <v>0.13663003663003664</v>
      </c>
      <c r="U28" s="6">
        <v>0.3362026862026862</v>
      </c>
      <c r="V28" s="6">
        <v>0.42545787545787545</v>
      </c>
      <c r="W28" s="6">
        <f t="shared" si="91"/>
        <v>0.7616605617</v>
      </c>
    </row>
    <row r="29">
      <c r="A29" s="5" t="str">
        <f>IFERROR(__xludf.DUMMYFUNCTION("""COMPUTED_VALUE"""),"['need', 'half', 'sub', 'second', 'lead', '2nd']")</f>
        <v>['need', 'half', 'sub', 'second', 'lead', '2nd']</v>
      </c>
      <c r="B29" s="11">
        <f t="shared" ref="B29:G29" si="93">IFNA(INDEX(INDIRECT(B$5 &amp; "!A:ZZ"), 8, MATCH($A29, INDIRECT(INDEX(B$5,0) &amp; "!$9:$9"), 0) + 1))</f>
        <v>12</v>
      </c>
      <c r="C29" s="11">
        <f t="shared" si="93"/>
        <v>14</v>
      </c>
      <c r="D29" s="11">
        <f t="shared" si="93"/>
        <v>13</v>
      </c>
      <c r="E29" s="11">
        <f t="shared" si="93"/>
        <v>8</v>
      </c>
      <c r="F29" s="11">
        <f t="shared" si="93"/>
        <v>7</v>
      </c>
      <c r="G29" s="11">
        <f t="shared" si="93"/>
        <v>6</v>
      </c>
      <c r="H29" s="12">
        <f t="shared" si="87"/>
        <v>10</v>
      </c>
      <c r="I29" s="11">
        <f t="shared" si="88"/>
        <v>60</v>
      </c>
      <c r="K29" s="6">
        <v>0.11666666666666667</v>
      </c>
      <c r="L29" s="6">
        <v>0.016666666666666666</v>
      </c>
      <c r="M29" s="6">
        <v>0.16666666666666666</v>
      </c>
      <c r="N29" s="6">
        <v>0.5</v>
      </c>
      <c r="O29" s="6">
        <v>0.2</v>
      </c>
      <c r="P29" s="6">
        <f t="shared" si="89"/>
        <v>0.7</v>
      </c>
      <c r="Q29" s="6">
        <f t="shared" si="90"/>
        <v>1</v>
      </c>
      <c r="R29" s="6">
        <v>0.12393162393162392</v>
      </c>
      <c r="S29" s="6">
        <v>0.013888888888888888</v>
      </c>
      <c r="T29" s="6">
        <v>0.1427045177045177</v>
      </c>
      <c r="U29" s="6">
        <v>0.5322039072039072</v>
      </c>
      <c r="V29" s="6">
        <v>0.18727106227106227</v>
      </c>
      <c r="W29" s="6">
        <f t="shared" si="91"/>
        <v>0.7194749695</v>
      </c>
    </row>
    <row r="30">
      <c r="A30" s="5" t="str">
        <f>IFERROR(__xludf.DUMMYFUNCTION("""COMPUTED_VALUE"""),"['touch', 'cross', 'ball', 'pass']")</f>
        <v>['touch', 'cross', 'ball', 'pass']</v>
      </c>
      <c r="B30" s="11">
        <f t="shared" ref="B30:G30" si="94">IFNA(INDEX(INDIRECT(B$5 &amp; "!A:ZZ"), 8, MATCH($A30, INDIRECT(INDEX(B$5,0) &amp; "!$9:$9"), 0) + 1))</f>
        <v>20</v>
      </c>
      <c r="C30" s="11">
        <f t="shared" si="94"/>
        <v>11</v>
      </c>
      <c r="D30" s="11">
        <f t="shared" si="94"/>
        <v>11</v>
      </c>
      <c r="E30" s="11">
        <f t="shared" si="94"/>
        <v>10</v>
      </c>
      <c r="F30" s="11">
        <f t="shared" si="94"/>
        <v>2</v>
      </c>
      <c r="G30" s="11">
        <f t="shared" si="94"/>
        <v>14</v>
      </c>
      <c r="H30" s="12">
        <f t="shared" si="87"/>
        <v>11.33333333</v>
      </c>
      <c r="I30" s="11">
        <f t="shared" si="88"/>
        <v>68</v>
      </c>
      <c r="K30" s="6">
        <v>0.014705882352941176</v>
      </c>
      <c r="L30" s="6">
        <v>0.07352941176470588</v>
      </c>
      <c r="M30" s="6">
        <v>0.0</v>
      </c>
      <c r="N30" s="6">
        <v>0.20588235294117646</v>
      </c>
      <c r="O30" s="6">
        <v>0.7058823529411765</v>
      </c>
      <c r="P30" s="6">
        <f t="shared" si="89"/>
        <v>0.9117647059</v>
      </c>
      <c r="Q30" s="6">
        <f t="shared" si="90"/>
        <v>1</v>
      </c>
      <c r="R30" s="6">
        <v>0.015151515151515152</v>
      </c>
      <c r="S30" s="6">
        <v>0.0488095238095238</v>
      </c>
      <c r="T30" s="6">
        <v>0.0</v>
      </c>
      <c r="U30" s="6">
        <v>0.23798701298701297</v>
      </c>
      <c r="V30" s="6">
        <v>0.698051948051948</v>
      </c>
      <c r="W30" s="6">
        <f t="shared" si="91"/>
        <v>0.936038961</v>
      </c>
    </row>
    <row r="31">
      <c r="A31" s="5" t="str">
        <f>IFERROR(__xludf.DUMMYFUNCTION("""COMPUTED_VALUE"""),"['foul', 'refere', 'book', 'decis', 'var', 'given', 'pen', 'dive', 'ref', 'penalti']")</f>
        <v>['foul', 'refere', 'book', 'decis', 'var', 'given', 'pen', 'dive', 'ref', 'penalti']</v>
      </c>
      <c r="B31" s="11">
        <f t="shared" ref="B31:G31" si="95">IFNA(INDEX(INDIRECT(B$5 &amp; "!A:ZZ"), 8, MATCH($A31, INDIRECT(INDEX(B$5,0) &amp; "!$9:$9"), 0) + 1))</f>
        <v>9</v>
      </c>
      <c r="C31" s="11">
        <f t="shared" si="95"/>
        <v>3</v>
      </c>
      <c r="D31" s="11">
        <f t="shared" si="95"/>
        <v>2</v>
      </c>
      <c r="E31" s="11">
        <f t="shared" si="95"/>
        <v>10</v>
      </c>
      <c r="F31" s="11">
        <f t="shared" si="95"/>
        <v>5</v>
      </c>
      <c r="G31" s="11">
        <f t="shared" si="95"/>
        <v>1</v>
      </c>
      <c r="H31" s="12">
        <f t="shared" si="87"/>
        <v>5</v>
      </c>
      <c r="I31" s="11">
        <f t="shared" si="88"/>
        <v>30</v>
      </c>
      <c r="K31" s="6">
        <v>0.06666666666666667</v>
      </c>
      <c r="L31" s="6">
        <v>0.1</v>
      </c>
      <c r="M31" s="6">
        <v>0.13333333333333333</v>
      </c>
      <c r="N31" s="6">
        <v>0.23333333333333334</v>
      </c>
      <c r="O31" s="6">
        <v>0.4666666666666667</v>
      </c>
      <c r="P31" s="6">
        <f t="shared" si="89"/>
        <v>0.7</v>
      </c>
      <c r="Q31" s="6">
        <f t="shared" si="90"/>
        <v>1</v>
      </c>
      <c r="R31" s="6">
        <v>0.03518518518518519</v>
      </c>
      <c r="S31" s="6">
        <v>0.06851851851851852</v>
      </c>
      <c r="T31" s="6">
        <v>0.15555555555555556</v>
      </c>
      <c r="U31" s="6">
        <v>0.25555555555555554</v>
      </c>
      <c r="V31" s="6">
        <v>0.4851851851851852</v>
      </c>
      <c r="W31" s="6">
        <f t="shared" si="91"/>
        <v>0.7407407407</v>
      </c>
    </row>
    <row r="32">
      <c r="A32" s="5" t="str">
        <f>IFERROR(__xludf.DUMMYFUNCTION("""COMPUTED_VALUE"""),"['tackl', 'dribbl', 'yellow', 'red', 'card']")</f>
        <v>['tackl', 'dribbl', 'yellow', 'red', 'card']</v>
      </c>
      <c r="B32" s="11">
        <f t="shared" ref="B32:G32" si="96">IFNA(INDEX(INDIRECT(B$5 &amp; "!A:ZZ"), 8, MATCH($A32, INDIRECT(INDEX(B$5,0) &amp; "!$9:$9"), 0) + 1))</f>
        <v>3</v>
      </c>
      <c r="C32" s="11">
        <f t="shared" si="96"/>
        <v>1</v>
      </c>
      <c r="D32" s="11">
        <f t="shared" si="96"/>
        <v>3</v>
      </c>
      <c r="E32" s="11">
        <f t="shared" si="96"/>
        <v>7</v>
      </c>
      <c r="F32" s="11" t="str">
        <f t="shared" si="96"/>
        <v/>
      </c>
      <c r="G32" s="11">
        <f t="shared" si="96"/>
        <v>3</v>
      </c>
      <c r="H32" s="12">
        <f t="shared" si="87"/>
        <v>2.833333333</v>
      </c>
      <c r="I32" s="11">
        <f t="shared" si="88"/>
        <v>17</v>
      </c>
      <c r="K32" s="6">
        <v>0.0</v>
      </c>
      <c r="L32" s="6">
        <v>0.058823529411764705</v>
      </c>
      <c r="M32" s="6">
        <v>0.058823529411764705</v>
      </c>
      <c r="N32" s="6">
        <v>0.5882352941176471</v>
      </c>
      <c r="O32" s="6">
        <v>0.29411764705882354</v>
      </c>
      <c r="P32" s="6">
        <f t="shared" si="89"/>
        <v>0.8823529412</v>
      </c>
      <c r="Q32" s="6">
        <f t="shared" si="90"/>
        <v>1</v>
      </c>
      <c r="R32" s="6">
        <v>0.0</v>
      </c>
      <c r="S32" s="6">
        <v>0.023809523809523808</v>
      </c>
      <c r="T32" s="6">
        <v>0.05555555555555555</v>
      </c>
      <c r="U32" s="6">
        <v>0.4285714285714286</v>
      </c>
      <c r="V32" s="6">
        <v>0.3253968253968254</v>
      </c>
      <c r="W32" s="6">
        <f t="shared" si="91"/>
        <v>0.753968254</v>
      </c>
    </row>
    <row r="33">
      <c r="A33" s="5" t="str">
        <f>IFERROR(__xludf.DUMMYFUNCTION("""COMPUTED_VALUE"""),"['gol', 'stream', 'onlin', 'free', 'reddit', 'link', 'EXCLUDED-manchest', 'ff', 'live']")</f>
        <v>['gol', 'stream', 'onlin', 'free', 'reddit', 'link', 'EXCLUDED-manchest', 'ff', 'live']</v>
      </c>
      <c r="B33" s="11">
        <f t="shared" ref="B33:G33" si="97">IFNA(INDEX(INDIRECT(B$5 &amp; "!A:ZZ"), 8, MATCH($A33, INDIRECT(INDEX(B$5,0) &amp; "!$9:$9"), 0) + 1))</f>
        <v>7</v>
      </c>
      <c r="C33" s="11">
        <f t="shared" si="97"/>
        <v>4</v>
      </c>
      <c r="D33" s="11">
        <f t="shared" si="97"/>
        <v>5</v>
      </c>
      <c r="E33" s="11">
        <f t="shared" si="97"/>
        <v>5</v>
      </c>
      <c r="F33" s="11">
        <f t="shared" si="97"/>
        <v>2</v>
      </c>
      <c r="G33" s="11">
        <f t="shared" si="97"/>
        <v>5</v>
      </c>
      <c r="H33" s="12">
        <f t="shared" si="87"/>
        <v>4.666666667</v>
      </c>
      <c r="I33" s="11">
        <f t="shared" si="88"/>
        <v>28</v>
      </c>
      <c r="K33" s="6">
        <v>0.0</v>
      </c>
      <c r="L33" s="6">
        <v>0.07142857142857142</v>
      </c>
      <c r="M33" s="6">
        <v>0.07142857142857142</v>
      </c>
      <c r="N33" s="6">
        <v>0.6071428571428571</v>
      </c>
      <c r="O33" s="6">
        <v>0.25</v>
      </c>
      <c r="P33" s="6">
        <f t="shared" si="89"/>
        <v>0.8571428571</v>
      </c>
      <c r="Q33" s="6">
        <f t="shared" si="90"/>
        <v>1</v>
      </c>
      <c r="R33" s="6">
        <v>0.0</v>
      </c>
      <c r="S33" s="6">
        <v>0.05714285714285714</v>
      </c>
      <c r="T33" s="6">
        <v>0.05714285714285714</v>
      </c>
      <c r="U33" s="6">
        <v>0.6630952380952381</v>
      </c>
      <c r="V33" s="6">
        <v>0.22261904761904763</v>
      </c>
      <c r="W33" s="6">
        <f t="shared" si="91"/>
        <v>0.8857142857</v>
      </c>
    </row>
    <row r="34">
      <c r="A34" s="5" t="str">
        <f>IFERROR(__xludf.DUMMYFUNCTION("""COMPUTED_VALUE"""),"['deflect', 'kick', 'corner', 'shot', 'net']")</f>
        <v>['deflect', 'kick', 'corner', 'shot', 'net']</v>
      </c>
      <c r="B34" s="11">
        <f t="shared" ref="B34:G34" si="98">IFNA(INDEX(INDIRECT(B$5 &amp; "!A:ZZ"), 8, MATCH($A34, INDIRECT(INDEX(B$5,0) &amp; "!$9:$9"), 0) + 1))</f>
        <v>7</v>
      </c>
      <c r="C34" s="11">
        <f t="shared" si="98"/>
        <v>7</v>
      </c>
      <c r="D34" s="11">
        <f t="shared" si="98"/>
        <v>3</v>
      </c>
      <c r="E34" s="11">
        <f t="shared" si="98"/>
        <v>2</v>
      </c>
      <c r="F34" s="11">
        <f t="shared" si="98"/>
        <v>2</v>
      </c>
      <c r="G34" s="11">
        <f t="shared" si="98"/>
        <v>6</v>
      </c>
      <c r="H34" s="12">
        <f t="shared" si="87"/>
        <v>4.5</v>
      </c>
      <c r="I34" s="11">
        <f t="shared" si="88"/>
        <v>27</v>
      </c>
      <c r="K34" s="6">
        <v>0.07407407407407407</v>
      </c>
      <c r="L34" s="6">
        <v>0.0</v>
      </c>
      <c r="M34" s="6">
        <v>0.037037037037037035</v>
      </c>
      <c r="N34" s="6">
        <v>0.37037037037037035</v>
      </c>
      <c r="O34" s="6">
        <v>0.5185185185185185</v>
      </c>
      <c r="P34" s="6">
        <f t="shared" si="89"/>
        <v>0.8888888889</v>
      </c>
      <c r="Q34" s="6">
        <f t="shared" si="90"/>
        <v>1</v>
      </c>
      <c r="R34" s="6">
        <v>0.047619047619047616</v>
      </c>
      <c r="S34" s="6">
        <v>0.0</v>
      </c>
      <c r="T34" s="6">
        <v>0.023809523809523808</v>
      </c>
      <c r="U34" s="6">
        <v>0.3452380952380952</v>
      </c>
      <c r="V34" s="6">
        <v>0.5833333333333334</v>
      </c>
      <c r="W34" s="6">
        <f t="shared" si="91"/>
        <v>0.9285714286</v>
      </c>
    </row>
    <row r="35">
      <c r="A35" s="5" t="str">
        <f>IFERROR(__xludf.DUMMYFUNCTION("""COMPUTED_VALUE"""),"['world', 'class', 'striker']")</f>
        <v>['world', 'class', 'striker']</v>
      </c>
      <c r="B35" s="11">
        <f t="shared" ref="B35:G35" si="99">IFNA(INDEX(INDIRECT(B$5 &amp; "!A:ZZ"), 8, MATCH($A35, INDIRECT(INDEX(B$5,0) &amp; "!$9:$9"), 0) + 1))</f>
        <v>4</v>
      </c>
      <c r="C35" s="11">
        <f t="shared" si="99"/>
        <v>4</v>
      </c>
      <c r="D35" s="11">
        <f t="shared" si="99"/>
        <v>1</v>
      </c>
      <c r="E35" s="11" t="str">
        <f t="shared" si="99"/>
        <v/>
      </c>
      <c r="F35" s="11">
        <f t="shared" si="99"/>
        <v>1</v>
      </c>
      <c r="G35" s="11">
        <f t="shared" si="99"/>
        <v>8</v>
      </c>
      <c r="H35" s="12">
        <f t="shared" si="87"/>
        <v>3</v>
      </c>
      <c r="I35" s="11">
        <f t="shared" si="88"/>
        <v>18</v>
      </c>
      <c r="K35" s="6">
        <v>0.1111111111111111</v>
      </c>
      <c r="L35" s="6">
        <v>0.1111111111111111</v>
      </c>
      <c r="M35" s="6">
        <v>0.4444444444444444</v>
      </c>
      <c r="N35" s="6">
        <v>0.16666666666666666</v>
      </c>
      <c r="O35" s="6">
        <v>0.16666666666666666</v>
      </c>
      <c r="P35" s="6">
        <f t="shared" si="89"/>
        <v>0.3333333333</v>
      </c>
      <c r="Q35" s="6">
        <f t="shared" si="90"/>
        <v>1</v>
      </c>
      <c r="R35" s="6">
        <v>0.041666666666666664</v>
      </c>
      <c r="S35" s="6">
        <v>0.041666666666666664</v>
      </c>
      <c r="T35" s="6">
        <v>0.5833333333333334</v>
      </c>
      <c r="U35" s="6">
        <v>0.08333333333333333</v>
      </c>
      <c r="V35" s="6">
        <v>0.08333333333333333</v>
      </c>
      <c r="W35" s="6">
        <f t="shared" si="91"/>
        <v>0.1666666667</v>
      </c>
    </row>
    <row r="36">
      <c r="A36" s="5" t="str">
        <f>IFERROR(__xludf.DUMMYFUNCTION("""COMPUTED_VALUE"""),"['keeper', 'best', 'goalkeep', 'defend', 'EXCLUDED-kepa', 'save']")</f>
        <v>['keeper', 'best', 'goalkeep', 'defend', 'EXCLUDED-kepa', 'save']</v>
      </c>
      <c r="B36" s="11">
        <f t="shared" ref="B36:G36" si="100">IFNA(INDEX(INDIRECT(B$5 &amp; "!A:ZZ"), 8, MATCH($A36, INDIRECT(INDEX(B$5,0) &amp; "!$9:$9"), 0) + 1))</f>
        <v>5</v>
      </c>
      <c r="C36" s="11">
        <f t="shared" si="100"/>
        <v>11</v>
      </c>
      <c r="D36" s="11">
        <f t="shared" si="100"/>
        <v>3</v>
      </c>
      <c r="E36" s="11">
        <f t="shared" si="100"/>
        <v>4</v>
      </c>
      <c r="F36" s="11">
        <f t="shared" si="100"/>
        <v>9</v>
      </c>
      <c r="G36" s="11">
        <f t="shared" si="100"/>
        <v>9</v>
      </c>
      <c r="H36" s="12">
        <f t="shared" si="87"/>
        <v>6.833333333</v>
      </c>
      <c r="I36" s="11">
        <f t="shared" si="88"/>
        <v>41</v>
      </c>
      <c r="K36" s="6">
        <v>0.04878048780487805</v>
      </c>
      <c r="L36" s="6">
        <v>0.0975609756097561</v>
      </c>
      <c r="M36" s="6">
        <v>0.1951219512195122</v>
      </c>
      <c r="N36" s="6">
        <v>0.21951219512195122</v>
      </c>
      <c r="O36" s="6">
        <v>0.43902439024390244</v>
      </c>
      <c r="P36" s="6">
        <f t="shared" si="89"/>
        <v>0.6585365854</v>
      </c>
      <c r="Q36" s="6">
        <f t="shared" si="90"/>
        <v>1</v>
      </c>
      <c r="R36" s="6">
        <v>0.037037037037037035</v>
      </c>
      <c r="S36" s="6">
        <v>0.13425925925925927</v>
      </c>
      <c r="T36" s="6">
        <v>0.13468013468013468</v>
      </c>
      <c r="U36" s="6">
        <v>0.2611952861952862</v>
      </c>
      <c r="V36" s="6">
        <v>0.43282828282828284</v>
      </c>
      <c r="W36" s="6">
        <f t="shared" si="91"/>
        <v>0.694023569</v>
      </c>
    </row>
    <row r="37">
      <c r="A37" s="5" t="str">
        <f>IFERROR(__xludf.DUMMYFUNCTION("""COMPUTED_VALUE"""),"['hit', 'post']")</f>
        <v>['hit', 'post']</v>
      </c>
      <c r="B37" s="11" t="str">
        <f t="shared" ref="B37:G37" si="101">IFNA(INDEX(INDIRECT(B$5 &amp; "!A:ZZ"), 8, MATCH($A37, INDIRECT(INDEX(B$5,0) &amp; "!$9:$9"), 0) + 1))</f>
        <v/>
      </c>
      <c r="C37" s="11">
        <f t="shared" si="101"/>
        <v>1</v>
      </c>
      <c r="D37" s="11" t="str">
        <f t="shared" si="101"/>
        <v/>
      </c>
      <c r="E37" s="11">
        <f t="shared" si="101"/>
        <v>1</v>
      </c>
      <c r="F37" s="11">
        <f t="shared" si="101"/>
        <v>1</v>
      </c>
      <c r="G37" s="11">
        <f t="shared" si="101"/>
        <v>1</v>
      </c>
      <c r="H37" s="12">
        <f t="shared" si="87"/>
        <v>0.6666666667</v>
      </c>
      <c r="I37" s="11">
        <f t="shared" si="88"/>
        <v>4</v>
      </c>
      <c r="K37" s="6">
        <v>0.0</v>
      </c>
      <c r="L37" s="6">
        <v>0.0</v>
      </c>
      <c r="M37" s="6">
        <v>0.0</v>
      </c>
      <c r="N37" s="6">
        <v>0.25</v>
      </c>
      <c r="O37" s="6">
        <v>0.75</v>
      </c>
      <c r="P37" s="6">
        <f t="shared" si="89"/>
        <v>1</v>
      </c>
      <c r="Q37" s="6">
        <f t="shared" si="90"/>
        <v>1</v>
      </c>
      <c r="R37" s="6">
        <v>0.0</v>
      </c>
      <c r="S37" s="6">
        <v>0.0</v>
      </c>
      <c r="T37" s="6">
        <v>0.0</v>
      </c>
      <c r="U37" s="6">
        <v>0.16666666666666666</v>
      </c>
      <c r="V37" s="6">
        <v>0.5</v>
      </c>
      <c r="W37" s="6">
        <f t="shared" si="91"/>
        <v>0.6666666667</v>
      </c>
    </row>
    <row r="38">
      <c r="A38" s="5" t="str">
        <f>IFERROR(__xludf.DUMMYFUNCTION("""COMPUTED_VALUE"""),"['EXCLUDED-man', 'utd']")</f>
        <v>['EXCLUDED-man', 'utd']</v>
      </c>
      <c r="B38" s="11" t="str">
        <f t="shared" ref="B38:G38" si="102">IFNA(INDEX(INDIRECT(B$5 &amp; "!A:ZZ"), 8, MATCH($A38, INDIRECT(INDEX(B$5,0) &amp; "!$9:$9"), 0) + 1))</f>
        <v/>
      </c>
      <c r="C38" s="11" t="str">
        <f t="shared" si="102"/>
        <v/>
      </c>
      <c r="D38" s="11" t="str">
        <f t="shared" si="102"/>
        <v/>
      </c>
      <c r="E38" s="11">
        <f t="shared" si="102"/>
        <v>7</v>
      </c>
      <c r="F38" s="11" t="str">
        <f t="shared" si="102"/>
        <v/>
      </c>
      <c r="G38" s="11" t="str">
        <f t="shared" si="102"/>
        <v/>
      </c>
      <c r="H38" s="12">
        <f t="shared" si="87"/>
        <v>1.166666667</v>
      </c>
      <c r="I38" s="11">
        <f t="shared" si="88"/>
        <v>7</v>
      </c>
      <c r="K38" s="6">
        <v>0.0</v>
      </c>
      <c r="L38" s="6">
        <v>0.0</v>
      </c>
      <c r="M38" s="6">
        <v>0.14285714285714285</v>
      </c>
      <c r="N38" s="6">
        <v>0.5714285714285714</v>
      </c>
      <c r="O38" s="6">
        <v>0.2857142857142857</v>
      </c>
      <c r="P38" s="6">
        <f t="shared" si="89"/>
        <v>0.8571428571</v>
      </c>
      <c r="Q38" s="6">
        <f t="shared" si="90"/>
        <v>1</v>
      </c>
      <c r="R38" s="6">
        <v>0.0</v>
      </c>
      <c r="S38" s="6">
        <v>0.0</v>
      </c>
      <c r="T38" s="6">
        <v>0.023809523809523808</v>
      </c>
      <c r="U38" s="6">
        <v>0.09523809523809523</v>
      </c>
      <c r="V38" s="6">
        <v>0.047619047619047616</v>
      </c>
      <c r="W38" s="6">
        <f t="shared" si="91"/>
        <v>0.1428571429</v>
      </c>
    </row>
    <row r="39">
      <c r="G39" s="1" t="s">
        <v>28</v>
      </c>
      <c r="H39" s="13">
        <f>CORREL(I9:I21,H26:H38)</f>
        <v>-0.4023102073</v>
      </c>
    </row>
    <row r="40">
      <c r="B40" s="1" t="s">
        <v>29</v>
      </c>
    </row>
    <row r="41">
      <c r="A41" s="1" t="s">
        <v>19</v>
      </c>
      <c r="B41" s="1" t="s">
        <v>1</v>
      </c>
      <c r="C41" s="1" t="s">
        <v>2</v>
      </c>
      <c r="D41" s="1" t="s">
        <v>3</v>
      </c>
      <c r="E41" s="1" t="s">
        <v>4</v>
      </c>
      <c r="F41" s="1" t="s">
        <v>5</v>
      </c>
      <c r="G41" s="1" t="s">
        <v>6</v>
      </c>
      <c r="H41" s="1" t="s">
        <v>20</v>
      </c>
      <c r="I41" s="9" t="s">
        <v>26</v>
      </c>
    </row>
    <row r="42">
      <c r="A42" s="5" t="str">
        <f>IFERROR(__xludf.DUMMYFUNCTION("FILTER(UNIQUE({TRANSPOSE(INDEX(INDIRECT(INDEX($B$5) &amp; ""!E$9:9""))); TRANSPOSE(INDEX(INDIRECT(INDEX($C$5) &amp; ""!E$9:9""))); TRANSPOSE(INDEX(INDIRECT(INDEX($D$5) &amp; ""!E$9:9""))); TRANSPOSE(INDEX(INDIRECT(INDEX($E$5) &amp; ""!E$9:9""))); TRANSPOSE(INDEX(INDIRECT"&amp;"(INDEX($F$5) &amp; ""!E$9:9""))); TRANSPOSE(INDEX(INDIRECT(INDEX($G$5) &amp; ""!E$9:9"")))}), LEN(UNIQUE({TRANSPOSE(INDEX(INDIRECT(INDEX($B$5) &amp; ""!E$9:9""))); TRANSPOSE(INDEX(INDIRECT(INDEX($C$5) &amp; ""!E$9:9""))); TRANSPOSE(INDEX(INDIRECT(INDEX($D$5) &amp; ""!E$9:9"""&amp;"))); TRANSPOSE(INDEX(INDIRECT(INDEX($E$5) &amp; ""!E$9:9""))); TRANSPOSE(INDEX(INDIRECT(INDEX($F$5) &amp; ""!E$9:9""))); TRANSPOSE(INDEX(INDIRECT(INDEX($G$5) &amp; ""!E$9:9"")))})))"),"['champion', 'final', 'leagu', 'footbal', 'win']")</f>
        <v>['champion', 'final', 'leagu', 'footbal', 'win']</v>
      </c>
      <c r="B42" s="5">
        <f t="shared" ref="B42:G42" si="103">B26*B9</f>
        <v>12</v>
      </c>
      <c r="C42" s="5">
        <f t="shared" si="103"/>
        <v>10</v>
      </c>
      <c r="D42" s="5">
        <f t="shared" si="103"/>
        <v>4</v>
      </c>
      <c r="E42" s="5">
        <f t="shared" si="103"/>
        <v>6</v>
      </c>
      <c r="F42" s="5">
        <f t="shared" si="103"/>
        <v>7</v>
      </c>
      <c r="G42" s="5">
        <f t="shared" si="103"/>
        <v>7</v>
      </c>
      <c r="H42" s="12">
        <f t="shared" ref="H42:H54" si="105">SUM(B42:G42)/6</f>
        <v>7.666666667</v>
      </c>
      <c r="I42" s="5">
        <f t="shared" ref="I42:I54" si="106">SUM(B42:G42)</f>
        <v>46</v>
      </c>
    </row>
    <row r="43">
      <c r="A43" s="5" t="str">
        <f>IFERROR(__xludf.DUMMYFUNCTION("""COMPUTED_VALUE"""),"['take', 'knee', 'player']")</f>
        <v>['take', 'knee', 'player']</v>
      </c>
      <c r="B43" s="5">
        <f t="shared" ref="B43:G43" si="104">B27*B10</f>
        <v>14</v>
      </c>
      <c r="C43" s="5">
        <f t="shared" si="104"/>
        <v>7</v>
      </c>
      <c r="D43" s="5">
        <f t="shared" si="104"/>
        <v>4</v>
      </c>
      <c r="E43" s="5">
        <f t="shared" si="104"/>
        <v>2</v>
      </c>
      <c r="F43" s="5">
        <f t="shared" si="104"/>
        <v>4</v>
      </c>
      <c r="G43" s="5">
        <f t="shared" si="104"/>
        <v>6</v>
      </c>
      <c r="H43" s="12">
        <f t="shared" si="105"/>
        <v>6.166666667</v>
      </c>
      <c r="I43" s="5">
        <f t="shared" si="106"/>
        <v>37</v>
      </c>
    </row>
    <row r="44">
      <c r="A44" s="5" t="str">
        <f>IFERROR(__xludf.DUMMYFUNCTION("""COMPUTED_VALUE"""),"['goal', 'score', 'conced', 'equalis', 'offsid', 'assist']")</f>
        <v>['goal', 'score', 'conced', 'equalis', 'offsid', 'assist']</v>
      </c>
      <c r="B44" s="5">
        <f t="shared" ref="B44:G44" si="107">B28*B11</f>
        <v>10</v>
      </c>
      <c r="C44" s="5">
        <f t="shared" si="107"/>
        <v>11</v>
      </c>
      <c r="D44" s="5">
        <f t="shared" si="107"/>
        <v>4</v>
      </c>
      <c r="E44" s="5">
        <f t="shared" si="107"/>
        <v>7</v>
      </c>
      <c r="F44" s="5">
        <f t="shared" si="107"/>
        <v>6</v>
      </c>
      <c r="G44" s="5">
        <f t="shared" si="107"/>
        <v>7</v>
      </c>
      <c r="H44" s="12">
        <f t="shared" si="105"/>
        <v>7.5</v>
      </c>
      <c r="I44" s="5">
        <f t="shared" si="106"/>
        <v>45</v>
      </c>
    </row>
    <row r="45">
      <c r="A45" s="5" t="str">
        <f>IFERROR(__xludf.DUMMYFUNCTION("""COMPUTED_VALUE"""),"['need', 'half', 'sub', 'second', 'lead', '2nd']")</f>
        <v>['need', 'half', 'sub', 'second', 'lead', '2nd']</v>
      </c>
      <c r="B45" s="5">
        <f t="shared" ref="B45:G45" si="108">B29*B12</f>
        <v>9</v>
      </c>
      <c r="C45" s="5">
        <f t="shared" si="108"/>
        <v>7</v>
      </c>
      <c r="D45" s="5">
        <f t="shared" si="108"/>
        <v>10</v>
      </c>
      <c r="E45" s="5">
        <f t="shared" si="108"/>
        <v>6</v>
      </c>
      <c r="F45" s="5">
        <f t="shared" si="108"/>
        <v>5</v>
      </c>
      <c r="G45" s="5">
        <f t="shared" si="108"/>
        <v>5</v>
      </c>
      <c r="H45" s="12">
        <f t="shared" si="105"/>
        <v>7</v>
      </c>
      <c r="I45" s="5">
        <f t="shared" si="106"/>
        <v>42</v>
      </c>
    </row>
    <row r="46">
      <c r="A46" s="5" t="str">
        <f>IFERROR(__xludf.DUMMYFUNCTION("""COMPUTED_VALUE"""),"['touch', 'cross', 'ball', 'pass']")</f>
        <v>['touch', 'cross', 'ball', 'pass']</v>
      </c>
      <c r="B46" s="5">
        <f t="shared" ref="B46:G46" si="109">B30*B13</f>
        <v>17</v>
      </c>
      <c r="C46" s="5">
        <f t="shared" si="109"/>
        <v>10</v>
      </c>
      <c r="D46" s="5">
        <f t="shared" si="109"/>
        <v>11</v>
      </c>
      <c r="E46" s="5">
        <f t="shared" si="109"/>
        <v>10</v>
      </c>
      <c r="F46" s="5">
        <f t="shared" si="109"/>
        <v>2</v>
      </c>
      <c r="G46" s="5">
        <f t="shared" si="109"/>
        <v>12</v>
      </c>
      <c r="H46" s="12">
        <f t="shared" si="105"/>
        <v>10.33333333</v>
      </c>
      <c r="I46" s="5">
        <f t="shared" si="106"/>
        <v>62</v>
      </c>
    </row>
    <row r="47">
      <c r="A47" s="5" t="str">
        <f>IFERROR(__xludf.DUMMYFUNCTION("""COMPUTED_VALUE"""),"['foul', 'refere', 'book', 'decis', 'var', 'given', 'pen', 'dive', 'ref', 'penalti']")</f>
        <v>['foul', 'refere', 'book', 'decis', 'var', 'given', 'pen', 'dive', 'ref', 'penalti']</v>
      </c>
      <c r="B47" s="5">
        <f t="shared" ref="B47:G47" si="110">B31*B14</f>
        <v>7</v>
      </c>
      <c r="C47" s="5">
        <f t="shared" si="110"/>
        <v>2</v>
      </c>
      <c r="D47" s="5">
        <f t="shared" si="110"/>
        <v>2</v>
      </c>
      <c r="E47" s="5">
        <f t="shared" si="110"/>
        <v>8</v>
      </c>
      <c r="F47" s="5">
        <f t="shared" si="110"/>
        <v>1</v>
      </c>
      <c r="G47" s="5">
        <f t="shared" si="110"/>
        <v>1</v>
      </c>
      <c r="H47" s="12">
        <f t="shared" si="105"/>
        <v>3.5</v>
      </c>
      <c r="I47" s="5">
        <f t="shared" si="106"/>
        <v>21</v>
      </c>
    </row>
    <row r="48">
      <c r="A48" s="5" t="str">
        <f>IFERROR(__xludf.DUMMYFUNCTION("""COMPUTED_VALUE"""),"['tackl', 'dribbl', 'yellow', 'red', 'card']")</f>
        <v>['tackl', 'dribbl', 'yellow', 'red', 'card']</v>
      </c>
      <c r="B48" s="5">
        <f t="shared" ref="B48:G48" si="111">B32*B15</f>
        <v>3</v>
      </c>
      <c r="C48" s="5">
        <f t="shared" si="111"/>
        <v>1</v>
      </c>
      <c r="D48" s="5">
        <f t="shared" si="111"/>
        <v>3</v>
      </c>
      <c r="E48" s="5">
        <f t="shared" si="111"/>
        <v>6</v>
      </c>
      <c r="F48" s="5">
        <f t="shared" si="111"/>
        <v>0</v>
      </c>
      <c r="G48" s="5">
        <f t="shared" si="111"/>
        <v>2</v>
      </c>
      <c r="H48" s="12">
        <f t="shared" si="105"/>
        <v>2.5</v>
      </c>
      <c r="I48" s="5">
        <f t="shared" si="106"/>
        <v>15</v>
      </c>
    </row>
    <row r="49">
      <c r="A49" s="5" t="str">
        <f>IFERROR(__xludf.DUMMYFUNCTION("""COMPUTED_VALUE"""),"['gol', 'stream', 'onlin', 'free', 'reddit', 'link', 'EXCLUDED-manchest', 'ff', 'live']")</f>
        <v>['gol', 'stream', 'onlin', 'free', 'reddit', 'link', 'EXCLUDED-manchest', 'ff', 'live']</v>
      </c>
      <c r="B49" s="5">
        <f t="shared" ref="B49:G49" si="112">B33*B16</f>
        <v>5</v>
      </c>
      <c r="C49" s="5">
        <f t="shared" si="112"/>
        <v>4</v>
      </c>
      <c r="D49" s="5">
        <f t="shared" si="112"/>
        <v>5</v>
      </c>
      <c r="E49" s="5">
        <f t="shared" si="112"/>
        <v>4</v>
      </c>
      <c r="F49" s="5">
        <f t="shared" si="112"/>
        <v>2</v>
      </c>
      <c r="G49" s="5">
        <f t="shared" si="112"/>
        <v>4</v>
      </c>
      <c r="H49" s="12">
        <f t="shared" si="105"/>
        <v>4</v>
      </c>
      <c r="I49" s="5">
        <f t="shared" si="106"/>
        <v>24</v>
      </c>
    </row>
    <row r="50">
      <c r="A50" s="5" t="str">
        <f>IFERROR(__xludf.DUMMYFUNCTION("""COMPUTED_VALUE"""),"['deflect', 'kick', 'corner', 'shot', 'net']")</f>
        <v>['deflect', 'kick', 'corner', 'shot', 'net']</v>
      </c>
      <c r="B50" s="5">
        <f t="shared" ref="B50:G50" si="113">B34*B17</f>
        <v>5</v>
      </c>
      <c r="C50" s="5">
        <f t="shared" si="113"/>
        <v>6</v>
      </c>
      <c r="D50" s="5">
        <f t="shared" si="113"/>
        <v>3</v>
      </c>
      <c r="E50" s="5">
        <f t="shared" si="113"/>
        <v>2</v>
      </c>
      <c r="F50" s="5">
        <f t="shared" si="113"/>
        <v>2</v>
      </c>
      <c r="G50" s="5">
        <f t="shared" si="113"/>
        <v>6</v>
      </c>
      <c r="H50" s="12">
        <f t="shared" si="105"/>
        <v>4</v>
      </c>
      <c r="I50" s="5">
        <f t="shared" si="106"/>
        <v>24</v>
      </c>
    </row>
    <row r="51">
      <c r="A51" s="5" t="str">
        <f>IFERROR(__xludf.DUMMYFUNCTION("""COMPUTED_VALUE"""),"['world', 'class', 'striker']")</f>
        <v>['world', 'class', 'striker']</v>
      </c>
      <c r="B51" s="5">
        <f t="shared" ref="B51:G51" si="114">B35*B18</f>
        <v>2</v>
      </c>
      <c r="C51" s="5">
        <f t="shared" si="114"/>
        <v>0</v>
      </c>
      <c r="D51" s="5">
        <f t="shared" si="114"/>
        <v>0</v>
      </c>
      <c r="E51" s="5">
        <f t="shared" si="114"/>
        <v>0</v>
      </c>
      <c r="F51" s="5">
        <f t="shared" si="114"/>
        <v>0</v>
      </c>
      <c r="G51" s="5">
        <f t="shared" si="114"/>
        <v>4</v>
      </c>
      <c r="H51" s="12">
        <f t="shared" si="105"/>
        <v>1</v>
      </c>
      <c r="I51" s="5">
        <f t="shared" si="106"/>
        <v>6</v>
      </c>
    </row>
    <row r="52">
      <c r="A52" s="5" t="str">
        <f>IFERROR(__xludf.DUMMYFUNCTION("""COMPUTED_VALUE"""),"['keeper', 'best', 'goalkeep', 'defend', 'EXCLUDED-kepa', 'save']")</f>
        <v>['keeper', 'best', 'goalkeep', 'defend', 'EXCLUDED-kepa', 'save']</v>
      </c>
      <c r="B52" s="5">
        <f t="shared" ref="B52:G52" si="115">B36*B19</f>
        <v>5</v>
      </c>
      <c r="C52" s="5">
        <f t="shared" si="115"/>
        <v>7</v>
      </c>
      <c r="D52" s="5">
        <f t="shared" si="115"/>
        <v>2</v>
      </c>
      <c r="E52" s="5">
        <f t="shared" si="115"/>
        <v>3</v>
      </c>
      <c r="F52" s="5">
        <f t="shared" si="115"/>
        <v>7</v>
      </c>
      <c r="G52" s="5">
        <f t="shared" si="115"/>
        <v>3</v>
      </c>
      <c r="H52" s="12">
        <f t="shared" si="105"/>
        <v>4.5</v>
      </c>
      <c r="I52" s="5">
        <f t="shared" si="106"/>
        <v>27</v>
      </c>
    </row>
    <row r="53">
      <c r="A53" s="5" t="str">
        <f>IFERROR(__xludf.DUMMYFUNCTION("""COMPUTED_VALUE"""),"['hit', 'post']")</f>
        <v>['hit', 'post']</v>
      </c>
      <c r="B53" s="5">
        <f t="shared" ref="B53:G53" si="116">B37*B20</f>
        <v>0</v>
      </c>
      <c r="C53" s="5">
        <f t="shared" si="116"/>
        <v>1</v>
      </c>
      <c r="D53" s="5">
        <f t="shared" si="116"/>
        <v>0</v>
      </c>
      <c r="E53" s="5">
        <f t="shared" si="116"/>
        <v>1</v>
      </c>
      <c r="F53" s="5">
        <f t="shared" si="116"/>
        <v>1</v>
      </c>
      <c r="G53" s="5">
        <f t="shared" si="116"/>
        <v>1</v>
      </c>
      <c r="H53" s="12">
        <f t="shared" si="105"/>
        <v>0.6666666667</v>
      </c>
      <c r="I53" s="5">
        <f t="shared" si="106"/>
        <v>4</v>
      </c>
    </row>
    <row r="54">
      <c r="A54" s="5" t="str">
        <f>IFERROR(__xludf.DUMMYFUNCTION("""COMPUTED_VALUE"""),"['EXCLUDED-man', 'utd']")</f>
        <v>['EXCLUDED-man', 'utd']</v>
      </c>
      <c r="B54" s="5">
        <f t="shared" ref="B54:G54" si="117">B38*B21</f>
        <v>0</v>
      </c>
      <c r="C54" s="5">
        <f t="shared" si="117"/>
        <v>0</v>
      </c>
      <c r="D54" s="5">
        <f t="shared" si="117"/>
        <v>0</v>
      </c>
      <c r="E54" s="5">
        <f t="shared" si="117"/>
        <v>6</v>
      </c>
      <c r="F54" s="5">
        <f t="shared" si="117"/>
        <v>0</v>
      </c>
      <c r="G54" s="5">
        <f t="shared" si="117"/>
        <v>0</v>
      </c>
      <c r="H54" s="12">
        <f t="shared" si="105"/>
        <v>1</v>
      </c>
      <c r="I54" s="5">
        <f t="shared" si="106"/>
        <v>6</v>
      </c>
    </row>
    <row r="55">
      <c r="G55" s="1" t="s">
        <v>28</v>
      </c>
      <c r="H55" s="13">
        <f>CORREL(I9:I21,H42:H54)</f>
        <v>-0.07928997816</v>
      </c>
      <c r="I55" s="7" t="s">
        <v>22</v>
      </c>
    </row>
  </sheetData>
  <mergeCells count="10">
    <mergeCell ref="B24:H24"/>
    <mergeCell ref="K24:P24"/>
    <mergeCell ref="R24:W24"/>
    <mergeCell ref="B3:G3"/>
    <mergeCell ref="B7:I7"/>
    <mergeCell ref="K7:P7"/>
    <mergeCell ref="T7:Y7"/>
    <mergeCell ref="AC7:AH7"/>
    <mergeCell ref="AL7:AQ7"/>
    <mergeCell ref="AU7:AZ7"/>
  </mergeCells>
  <conditionalFormatting sqref="H9:I21 R9:R21 AA9:AA21 AJ9:AJ21 AS9:AS21 BB9:BB21">
    <cfRule type="colorScale" priority="1">
      <colorScale>
        <cfvo type="formula" val="0"/>
        <cfvo type="formula" val="0.5"/>
        <cfvo type="formula" val="1"/>
        <color rgb="FFD5A6BD"/>
        <color rgb="FFFFF2CC"/>
        <color rgb="FFD9EAD3"/>
      </colorScale>
    </cfRule>
  </conditionalFormatting>
  <conditionalFormatting sqref="H26:H38 H42:H54">
    <cfRule type="colorScale" priority="2">
      <colorScale>
        <cfvo type="min"/>
        <cfvo type="max"/>
        <color rgb="FFEAD1DC"/>
        <color rgb="FFD9EAD3"/>
      </colorScale>
    </cfRule>
  </conditionalFormatting>
  <conditionalFormatting sqref="N26:P38 U26:W38">
    <cfRule type="colorScale" priority="3">
      <colorScale>
        <cfvo type="min"/>
        <cfvo type="formula" val="1"/>
        <color rgb="FFFFFFFF"/>
        <color rgb="FFA4C2F4"/>
      </colorScale>
    </cfRule>
  </conditionalFormatting>
  <conditionalFormatting sqref="K26:M38 R26:T38">
    <cfRule type="colorScale" priority="4">
      <colorScale>
        <cfvo type="min"/>
        <cfvo type="formula" val="1"/>
        <color rgb="FFFFFFFF"/>
        <color rgb="FFEA9999"/>
      </colorScale>
    </cfRule>
  </conditionalFormatting>
  <hyperlinks>
    <hyperlink display="#WALSUI-v10-b0.7-e0.7-grouped-split-processed" location="Sheet8!A1" ref="B5"/>
    <hyperlink display="#TURITA-v15-b0.6-e0.6-grouped-split-processed" location="Sheet9!A1" ref="C5"/>
    <hyperlink display="#SOUARS-v15-b0.7-e0.7-grouped-split-processed" location="Sheet10!A1" ref="D5"/>
    <hyperlink display="#LEIMUN-v30-b0.6-e0.6-grouped-split-processed" location="Sheet11!A1" ref="E5"/>
    <hyperlink display="#SCOCZE-v15-b0.7-e0.7-grouped-split-processed" location="Sheet12!A1" ref="F5"/>
    <hyperlink display="#HUNFRA-v15-b0.7-e0.7-grouped-split-processed" location="Sheet13!A1" ref="G5"/>
  </hyperlink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9.0" topLeftCell="E10" activePane="bottomRight" state="frozen"/>
      <selection activeCell="E1" sqref="E1" pane="topRight"/>
      <selection activeCell="A10" sqref="A10" pane="bottomLeft"/>
      <selection activeCell="E10" sqref="E10" pane="bottomRight"/>
    </sheetView>
  </sheetViews>
  <sheetFormatPr customHeight="1" defaultColWidth="12.63" defaultRowHeight="15.75"/>
  <cols>
    <col customWidth="1" min="1" max="1" width="12.0"/>
    <col customWidth="1" min="2" max="2" width="17.13"/>
    <col customWidth="1" min="3" max="3" width="9.13"/>
    <col customWidth="1" min="4" max="4" width="9.75"/>
    <col customWidth="1" min="5" max="5" width="17.13"/>
    <col customWidth="1" min="6" max="6" width="25.75"/>
    <col customWidth="1" min="9" max="9" width="15.88"/>
  </cols>
  <sheetData>
    <row r="1" hidden="1">
      <c r="A1" s="1"/>
      <c r="B1" s="1"/>
      <c r="C1" s="1"/>
      <c r="D1" s="1"/>
      <c r="E1" s="1" t="s">
        <v>30</v>
      </c>
      <c r="F1" s="5" t="str">
        <f>IFERROR(__xludf.DUMMYFUNCTION("TRANSPOSE(UNIQUE(INDIRECT(B2&amp;""!D2:D107"")))"),"#REF!")</f>
        <v>#REF!</v>
      </c>
    </row>
    <row r="2">
      <c r="A2" s="14" t="s">
        <v>31</v>
      </c>
      <c r="B2" s="15" t="s">
        <v>32</v>
      </c>
      <c r="C2" s="14"/>
      <c r="D2" s="14"/>
      <c r="E2" s="16" t="s">
        <v>33</v>
      </c>
      <c r="F2" s="17" t="s">
        <v>34</v>
      </c>
      <c r="G2" s="18" t="s">
        <v>35</v>
      </c>
      <c r="H2" s="16" t="s">
        <v>33</v>
      </c>
      <c r="I2" s="17" t="s">
        <v>34</v>
      </c>
      <c r="J2" s="18" t="s">
        <v>35</v>
      </c>
      <c r="K2" s="16" t="s">
        <v>33</v>
      </c>
      <c r="L2" s="17" t="s">
        <v>34</v>
      </c>
      <c r="M2" s="18" t="s">
        <v>35</v>
      </c>
      <c r="N2" s="16" t="s">
        <v>33</v>
      </c>
      <c r="O2" s="17" t="s">
        <v>34</v>
      </c>
      <c r="P2" s="18" t="s">
        <v>35</v>
      </c>
      <c r="Q2" s="16" t="s">
        <v>33</v>
      </c>
      <c r="R2" s="17" t="s">
        <v>34</v>
      </c>
      <c r="S2" s="18" t="s">
        <v>35</v>
      </c>
      <c r="T2" s="16" t="s">
        <v>33</v>
      </c>
      <c r="U2" s="17" t="s">
        <v>34</v>
      </c>
      <c r="V2" s="18" t="s">
        <v>35</v>
      </c>
      <c r="W2" s="16" t="s">
        <v>33</v>
      </c>
      <c r="X2" s="17" t="s">
        <v>34</v>
      </c>
      <c r="Y2" s="18" t="s">
        <v>35</v>
      </c>
      <c r="Z2" s="16" t="s">
        <v>33</v>
      </c>
      <c r="AA2" s="17" t="s">
        <v>34</v>
      </c>
      <c r="AB2" s="18" t="s">
        <v>35</v>
      </c>
      <c r="AC2" s="16" t="s">
        <v>33</v>
      </c>
      <c r="AD2" s="17" t="s">
        <v>34</v>
      </c>
      <c r="AE2" s="18" t="s">
        <v>35</v>
      </c>
      <c r="AF2" s="16" t="s">
        <v>33</v>
      </c>
      <c r="AG2" s="17" t="s">
        <v>34</v>
      </c>
      <c r="AH2" s="18" t="s">
        <v>35</v>
      </c>
      <c r="AI2" s="16" t="s">
        <v>33</v>
      </c>
      <c r="AJ2" s="17" t="s">
        <v>34</v>
      </c>
      <c r="AK2" s="18" t="s">
        <v>35</v>
      </c>
      <c r="AL2" s="16" t="s">
        <v>33</v>
      </c>
      <c r="AM2" s="17" t="s">
        <v>34</v>
      </c>
      <c r="AN2" s="18" t="s">
        <v>35</v>
      </c>
      <c r="AO2" s="16" t="s">
        <v>33</v>
      </c>
      <c r="AP2" s="17" t="s">
        <v>34</v>
      </c>
      <c r="AQ2" s="18" t="s">
        <v>35</v>
      </c>
      <c r="AR2" s="16" t="s">
        <v>33</v>
      </c>
      <c r="AS2" s="17" t="s">
        <v>34</v>
      </c>
      <c r="AT2" s="18" t="s">
        <v>35</v>
      </c>
      <c r="AU2" s="16" t="s">
        <v>33</v>
      </c>
      <c r="AV2" s="17" t="s">
        <v>34</v>
      </c>
      <c r="AW2" s="18" t="s">
        <v>35</v>
      </c>
      <c r="AX2" s="16" t="s">
        <v>33</v>
      </c>
      <c r="AY2" s="17" t="s">
        <v>34</v>
      </c>
      <c r="AZ2" s="18" t="s">
        <v>35</v>
      </c>
      <c r="BA2" s="16" t="s">
        <v>33</v>
      </c>
      <c r="BB2" s="17" t="s">
        <v>34</v>
      </c>
      <c r="BC2" s="18" t="s">
        <v>35</v>
      </c>
      <c r="BD2" s="16" t="s">
        <v>33</v>
      </c>
      <c r="BE2" s="17" t="s">
        <v>34</v>
      </c>
      <c r="BF2" s="18" t="s">
        <v>35</v>
      </c>
      <c r="BG2" s="16" t="s">
        <v>33</v>
      </c>
      <c r="BH2" s="17" t="s">
        <v>34</v>
      </c>
      <c r="BI2" s="18" t="s">
        <v>35</v>
      </c>
      <c r="BJ2" s="16" t="s">
        <v>33</v>
      </c>
      <c r="BK2" s="17" t="s">
        <v>34</v>
      </c>
      <c r="BL2" s="18" t="s">
        <v>35</v>
      </c>
      <c r="BM2" s="16" t="s">
        <v>33</v>
      </c>
      <c r="BN2" s="17" t="s">
        <v>34</v>
      </c>
      <c r="BO2" s="18" t="s">
        <v>35</v>
      </c>
      <c r="BP2" s="16" t="s">
        <v>33</v>
      </c>
      <c r="BQ2" s="17" t="s">
        <v>34</v>
      </c>
      <c r="BR2" s="18" t="s">
        <v>35</v>
      </c>
      <c r="BS2" s="16" t="s">
        <v>33</v>
      </c>
      <c r="BT2" s="17" t="s">
        <v>34</v>
      </c>
      <c r="BU2" s="18" t="s">
        <v>35</v>
      </c>
      <c r="BV2" s="16" t="s">
        <v>33</v>
      </c>
      <c r="BW2" s="17" t="s">
        <v>34</v>
      </c>
      <c r="BX2" s="18" t="s">
        <v>35</v>
      </c>
      <c r="BY2" s="16" t="s">
        <v>33</v>
      </c>
      <c r="BZ2" s="17" t="s">
        <v>34</v>
      </c>
      <c r="CA2" s="18" t="s">
        <v>35</v>
      </c>
      <c r="CB2" s="16" t="s">
        <v>33</v>
      </c>
      <c r="CC2" s="17" t="s">
        <v>34</v>
      </c>
      <c r="CD2" s="18" t="s">
        <v>35</v>
      </c>
      <c r="CE2" s="16" t="s">
        <v>33</v>
      </c>
      <c r="CF2" s="17" t="s">
        <v>34</v>
      </c>
      <c r="CG2" s="18" t="s">
        <v>35</v>
      </c>
      <c r="CH2" s="16" t="s">
        <v>33</v>
      </c>
      <c r="CI2" s="17" t="s">
        <v>34</v>
      </c>
      <c r="CJ2" s="18" t="s">
        <v>35</v>
      </c>
      <c r="CK2" s="16" t="s">
        <v>33</v>
      </c>
      <c r="CL2" s="17" t="s">
        <v>34</v>
      </c>
      <c r="CM2" s="18" t="s">
        <v>35</v>
      </c>
      <c r="CN2" s="16" t="s">
        <v>33</v>
      </c>
      <c r="CO2" s="17" t="s">
        <v>34</v>
      </c>
      <c r="CP2" s="18" t="s">
        <v>35</v>
      </c>
      <c r="CQ2" s="16" t="s">
        <v>33</v>
      </c>
      <c r="CR2" s="17" t="s">
        <v>34</v>
      </c>
      <c r="CS2" s="18" t="s">
        <v>35</v>
      </c>
      <c r="CT2" s="1"/>
      <c r="CU2" s="1"/>
      <c r="CV2" s="1"/>
      <c r="CW2" s="1"/>
      <c r="CX2" s="1"/>
      <c r="CY2" s="1"/>
      <c r="CZ2" s="1"/>
      <c r="DA2" s="1"/>
      <c r="DB2" s="1"/>
      <c r="DC2" s="1"/>
      <c r="DD2" s="1"/>
      <c r="DE2" s="1"/>
      <c r="DF2" s="1"/>
    </row>
    <row r="3">
      <c r="A3" s="14"/>
      <c r="B3" s="19"/>
      <c r="C3" s="14"/>
      <c r="D3" s="14"/>
      <c r="E3" s="20" t="s">
        <v>14</v>
      </c>
      <c r="F3" s="21">
        <f t="shared" ref="F3:F7" si="1">COUNTIF(G$10:G1007,E3)</f>
        <v>0</v>
      </c>
      <c r="G3" s="22" t="str">
        <f t="shared" ref="G3:G7" si="2">F3/SUM(F$3:F$7)</f>
        <v>#DIV/0!</v>
      </c>
      <c r="H3" s="20" t="s">
        <v>14</v>
      </c>
      <c r="I3" s="21">
        <f t="shared" ref="I3:I7" si="3">COUNTIF(J$10:J1007,H3)</f>
        <v>0</v>
      </c>
      <c r="J3" s="22" t="str">
        <f t="shared" ref="J3:J7" si="4">I3/SUM(I$3:I$7)</f>
        <v>#DIV/0!</v>
      </c>
      <c r="K3" s="20" t="s">
        <v>14</v>
      </c>
      <c r="L3" s="21">
        <f t="shared" ref="L3:L7" si="5">COUNTIF(M$10:M1007,K3)</f>
        <v>0</v>
      </c>
      <c r="M3" s="22" t="str">
        <f t="shared" ref="M3:M7" si="6">L3/SUM(L$3:L$7)</f>
        <v>#DIV/0!</v>
      </c>
      <c r="N3" s="20" t="s">
        <v>14</v>
      </c>
      <c r="O3" s="21">
        <f t="shared" ref="O3:O7" si="7">COUNTIF(P$10:P1007,N3)</f>
        <v>0</v>
      </c>
      <c r="P3" s="22" t="str">
        <f t="shared" ref="P3:P7" si="8">O3/SUM(O$3:O$7)</f>
        <v>#DIV/0!</v>
      </c>
      <c r="Q3" s="20" t="s">
        <v>14</v>
      </c>
      <c r="R3" s="21">
        <f t="shared" ref="R3:R7" si="9">COUNTIF(S$10:S1007,Q3)</f>
        <v>0</v>
      </c>
      <c r="S3" s="22" t="str">
        <f t="shared" ref="S3:S7" si="10">R3/SUM(R$3:R$7)</f>
        <v>#DIV/0!</v>
      </c>
      <c r="T3" s="20" t="s">
        <v>14</v>
      </c>
      <c r="U3" s="21">
        <f t="shared" ref="U3:U7" si="11">COUNTIF(V$10:V1007,T3)</f>
        <v>0</v>
      </c>
      <c r="V3" s="22" t="str">
        <f t="shared" ref="V3:V7" si="12">U3/SUM(U$3:U$7)</f>
        <v>#DIV/0!</v>
      </c>
      <c r="W3" s="20" t="s">
        <v>14</v>
      </c>
      <c r="X3" s="21">
        <f t="shared" ref="X3:X7" si="13">COUNTIF(Y$10:Y1007,W3)</f>
        <v>0</v>
      </c>
      <c r="Y3" s="22" t="str">
        <f t="shared" ref="Y3:Y7" si="14">X3/SUM(X$3:X$7)</f>
        <v>#DIV/0!</v>
      </c>
      <c r="Z3" s="20" t="s">
        <v>14</v>
      </c>
      <c r="AA3" s="21">
        <f t="shared" ref="AA3:AA7" si="15">COUNTIF(AB$10:AB1007,Z3)</f>
        <v>0</v>
      </c>
      <c r="AB3" s="22" t="str">
        <f t="shared" ref="AB3:AB7" si="16">AA3/SUM(AA$3:AA$7)</f>
        <v>#DIV/0!</v>
      </c>
      <c r="AC3" s="20" t="s">
        <v>14</v>
      </c>
      <c r="AD3" s="21">
        <f t="shared" ref="AD3:AD7" si="17">COUNTIF(AE$10:AE1007,AC3)</f>
        <v>0</v>
      </c>
      <c r="AE3" s="22" t="str">
        <f t="shared" ref="AE3:AE7" si="18">AD3/SUM(AD$3:AD$7)</f>
        <v>#DIV/0!</v>
      </c>
      <c r="AF3" s="20" t="s">
        <v>14</v>
      </c>
      <c r="AG3" s="21">
        <f t="shared" ref="AG3:AG7" si="19">COUNTIF(AH$10:AH1007,AF3)</f>
        <v>0</v>
      </c>
      <c r="AH3" s="22" t="str">
        <f t="shared" ref="AH3:AH7" si="20">AG3/SUM(AG$3:AG$7)</f>
        <v>#DIV/0!</v>
      </c>
      <c r="AI3" s="20" t="s">
        <v>14</v>
      </c>
      <c r="AJ3" s="21">
        <f t="shared" ref="AJ3:AJ7" si="21">COUNTIF(AK$10:AK1007,AI3)</f>
        <v>0</v>
      </c>
      <c r="AK3" s="22" t="str">
        <f t="shared" ref="AK3:AK7" si="22">AJ3/SUM(AJ$3:AJ$7)</f>
        <v>#DIV/0!</v>
      </c>
      <c r="AL3" s="20" t="s">
        <v>14</v>
      </c>
      <c r="AM3" s="21">
        <f t="shared" ref="AM3:AM7" si="23">COUNTIF(AN$10:AN1007,AL3)</f>
        <v>0</v>
      </c>
      <c r="AN3" s="22" t="str">
        <f t="shared" ref="AN3:AN7" si="24">AM3/SUM(AM$3:AM$7)</f>
        <v>#DIV/0!</v>
      </c>
      <c r="AO3" s="20" t="s">
        <v>14</v>
      </c>
      <c r="AP3" s="21">
        <f t="shared" ref="AP3:AP7" si="25">COUNTIF(AQ$10:AQ1007,AO3)</f>
        <v>0</v>
      </c>
      <c r="AQ3" s="22" t="str">
        <f t="shared" ref="AQ3:AQ7" si="26">AP3/SUM(AP$3:AP$7)</f>
        <v>#DIV/0!</v>
      </c>
      <c r="AR3" s="20" t="s">
        <v>14</v>
      </c>
      <c r="AS3" s="21">
        <f t="shared" ref="AS3:AS7" si="27">COUNTIF(AT$10:AT1007,AR3)</f>
        <v>0</v>
      </c>
      <c r="AT3" s="22" t="str">
        <f t="shared" ref="AT3:AT7" si="28">AS3/SUM(AS$3:AS$7)</f>
        <v>#DIV/0!</v>
      </c>
      <c r="AU3" s="20" t="s">
        <v>14</v>
      </c>
      <c r="AV3" s="21">
        <f t="shared" ref="AV3:AV7" si="29">COUNTIF(AW$10:AW1007,AU3)</f>
        <v>0</v>
      </c>
      <c r="AW3" s="22" t="str">
        <f t="shared" ref="AW3:AW7" si="30">AV3/SUM(AV$3:AV$7)</f>
        <v>#DIV/0!</v>
      </c>
      <c r="AX3" s="20" t="s">
        <v>14</v>
      </c>
      <c r="AY3" s="21">
        <f t="shared" ref="AY3:AY7" si="31">COUNTIF(AZ$10:AZ1007,AX3)</f>
        <v>0</v>
      </c>
      <c r="AZ3" s="22" t="str">
        <f t="shared" ref="AZ3:AZ7" si="32">AY3/SUM(AY$3:AY$7)</f>
        <v>#DIV/0!</v>
      </c>
      <c r="BA3" s="20" t="s">
        <v>14</v>
      </c>
      <c r="BB3" s="21">
        <f t="shared" ref="BB3:BB7" si="33">COUNTIF(BC$10:BC1007,BA3)</f>
        <v>0</v>
      </c>
      <c r="BC3" s="22" t="str">
        <f t="shared" ref="BC3:BC7" si="34">BB3/SUM(BB$3:BB$7)</f>
        <v>#DIV/0!</v>
      </c>
      <c r="BD3" s="20" t="s">
        <v>14</v>
      </c>
      <c r="BE3" s="21">
        <f t="shared" ref="BE3:BE7" si="35">COUNTIF(BF$10:BF1007,BD3)</f>
        <v>0</v>
      </c>
      <c r="BF3" s="22" t="str">
        <f t="shared" ref="BF3:BF7" si="36">BE3/SUM(BE$3:BE$7)</f>
        <v>#DIV/0!</v>
      </c>
      <c r="BG3" s="20" t="s">
        <v>14</v>
      </c>
      <c r="BH3" s="21">
        <f t="shared" ref="BH3:BH7" si="37">COUNTIF(BI$10:BI1007,BG3)</f>
        <v>0</v>
      </c>
      <c r="BI3" s="22" t="str">
        <f t="shared" ref="BI3:BI7" si="38">BH3/SUM(BH$3:BH$7)</f>
        <v>#DIV/0!</v>
      </c>
      <c r="BJ3" s="20" t="s">
        <v>14</v>
      </c>
      <c r="BK3" s="21">
        <f t="shared" ref="BK3:BK7" si="39">COUNTIF(BL$10:BL1007,BJ3)</f>
        <v>0</v>
      </c>
      <c r="BL3" s="22" t="str">
        <f t="shared" ref="BL3:BL7" si="40">BK3/SUM(BK$3:BK$7)</f>
        <v>#DIV/0!</v>
      </c>
      <c r="BM3" s="20" t="s">
        <v>14</v>
      </c>
      <c r="BN3" s="21">
        <f t="shared" ref="BN3:BN7" si="41">COUNTIF(BO$10:BO1007,BM3)</f>
        <v>0</v>
      </c>
      <c r="BO3" s="22" t="str">
        <f t="shared" ref="BO3:BO7" si="42">BN3/SUM(BN$3:BN$7)</f>
        <v>#DIV/0!</v>
      </c>
      <c r="BP3" s="20" t="s">
        <v>14</v>
      </c>
      <c r="BQ3" s="21">
        <f t="shared" ref="BQ3:BQ7" si="43">COUNTIF(BR$10:BR1007,BP3)</f>
        <v>0</v>
      </c>
      <c r="BR3" s="22" t="str">
        <f t="shared" ref="BR3:BR7" si="44">BQ3/SUM(BQ$3:BQ$7)</f>
        <v>#DIV/0!</v>
      </c>
      <c r="BS3" s="20" t="s">
        <v>14</v>
      </c>
      <c r="BT3" s="21">
        <f t="shared" ref="BT3:BT7" si="45">COUNTIF(BU$10:BU1007,BS3)</f>
        <v>0</v>
      </c>
      <c r="BU3" s="22" t="str">
        <f t="shared" ref="BU3:BU7" si="46">BT3/SUM(BT$3:BT$7)</f>
        <v>#DIV/0!</v>
      </c>
      <c r="BV3" s="20" t="s">
        <v>14</v>
      </c>
      <c r="BW3" s="21">
        <f t="shared" ref="BW3:BW7" si="47">COUNTIF(BX$10:BX1007,BV3)</f>
        <v>0</v>
      </c>
      <c r="BX3" s="22" t="str">
        <f t="shared" ref="BX3:BX7" si="48">BW3/SUM(BW$3:BW$7)</f>
        <v>#DIV/0!</v>
      </c>
      <c r="BY3" s="20" t="s">
        <v>14</v>
      </c>
      <c r="BZ3" s="21">
        <f t="shared" ref="BZ3:BZ7" si="49">COUNTIF(CA$10:CA1007,BY3)</f>
        <v>0</v>
      </c>
      <c r="CA3" s="22" t="str">
        <f t="shared" ref="CA3:CA7" si="50">BZ3/SUM(BZ$3:BZ$7)</f>
        <v>#DIV/0!</v>
      </c>
      <c r="CB3" s="20" t="s">
        <v>14</v>
      </c>
      <c r="CC3" s="21">
        <f t="shared" ref="CC3:CC7" si="51">COUNTIF(CD$10:CD1007,CB3)</f>
        <v>0</v>
      </c>
      <c r="CD3" s="22" t="str">
        <f t="shared" ref="CD3:CD7" si="52">CC3/SUM(CC$3:CC$7)</f>
        <v>#DIV/0!</v>
      </c>
      <c r="CE3" s="20" t="s">
        <v>14</v>
      </c>
      <c r="CF3" s="21">
        <f t="shared" ref="CF3:CF7" si="53">COUNTIF(CG$10:CG1007,CE3)</f>
        <v>0</v>
      </c>
      <c r="CG3" s="22" t="str">
        <f t="shared" ref="CG3:CG7" si="54">CF3/SUM(CF$3:CF$7)</f>
        <v>#DIV/0!</v>
      </c>
      <c r="CH3" s="20" t="s">
        <v>14</v>
      </c>
      <c r="CI3" s="21">
        <f t="shared" ref="CI3:CI7" si="55">COUNTIF(CJ$10:CJ1007,CH3)</f>
        <v>0</v>
      </c>
      <c r="CJ3" s="22" t="str">
        <f t="shared" ref="CJ3:CJ7" si="56">CI3/SUM(CI$3:CI$7)</f>
        <v>#DIV/0!</v>
      </c>
      <c r="CK3" s="20" t="s">
        <v>14</v>
      </c>
      <c r="CL3" s="21">
        <f t="shared" ref="CL3:CL7" si="57">COUNTIF(CM$10:CM1007,CK3)</f>
        <v>0</v>
      </c>
      <c r="CM3" s="22" t="str">
        <f t="shared" ref="CM3:CM7" si="58">CL3/SUM(CL$3:CL$7)</f>
        <v>#DIV/0!</v>
      </c>
      <c r="CN3" s="20" t="s">
        <v>14</v>
      </c>
      <c r="CO3" s="21">
        <f t="shared" ref="CO3:CO7" si="59">COUNTIF(CP$10:CP1007,CN3)</f>
        <v>0</v>
      </c>
      <c r="CP3" s="22" t="str">
        <f t="shared" ref="CP3:CP7" si="60">CO3/SUM(CO$3:CO$7)</f>
        <v>#DIV/0!</v>
      </c>
      <c r="CQ3" s="20" t="s">
        <v>14</v>
      </c>
      <c r="CR3" s="21">
        <f t="shared" ref="CR3:CR7" si="61">COUNTIF(CS$10:CS1007,CQ3)</f>
        <v>0</v>
      </c>
      <c r="CS3" s="22" t="str">
        <f t="shared" ref="CS3:CS7" si="62">CR3/SUM(CR$3:CR$7)</f>
        <v>#DIV/0!</v>
      </c>
      <c r="CT3" s="6"/>
      <c r="CU3" s="6"/>
      <c r="CV3" s="6"/>
      <c r="CW3" s="6"/>
      <c r="CX3" s="6"/>
      <c r="CY3" s="6"/>
      <c r="CZ3" s="6"/>
      <c r="DA3" s="6"/>
      <c r="DB3" s="6"/>
      <c r="DC3" s="6"/>
      <c r="DD3" s="6"/>
      <c r="DE3" s="6"/>
      <c r="DF3" s="6"/>
    </row>
    <row r="4">
      <c r="A4" s="14"/>
      <c r="B4" s="19"/>
      <c r="C4" s="14"/>
      <c r="D4" s="14"/>
      <c r="E4" s="20" t="s">
        <v>15</v>
      </c>
      <c r="F4" s="21">
        <f t="shared" si="1"/>
        <v>0</v>
      </c>
      <c r="G4" s="22" t="str">
        <f t="shared" si="2"/>
        <v>#DIV/0!</v>
      </c>
      <c r="H4" s="20" t="s">
        <v>15</v>
      </c>
      <c r="I4" s="21">
        <f t="shared" si="3"/>
        <v>0</v>
      </c>
      <c r="J4" s="22" t="str">
        <f t="shared" si="4"/>
        <v>#DIV/0!</v>
      </c>
      <c r="K4" s="20" t="s">
        <v>15</v>
      </c>
      <c r="L4" s="21">
        <f t="shared" si="5"/>
        <v>0</v>
      </c>
      <c r="M4" s="22" t="str">
        <f t="shared" si="6"/>
        <v>#DIV/0!</v>
      </c>
      <c r="N4" s="20" t="s">
        <v>15</v>
      </c>
      <c r="O4" s="21">
        <f t="shared" si="7"/>
        <v>0</v>
      </c>
      <c r="P4" s="22" t="str">
        <f t="shared" si="8"/>
        <v>#DIV/0!</v>
      </c>
      <c r="Q4" s="20" t="s">
        <v>15</v>
      </c>
      <c r="R4" s="21">
        <f t="shared" si="9"/>
        <v>0</v>
      </c>
      <c r="S4" s="22" t="str">
        <f t="shared" si="10"/>
        <v>#DIV/0!</v>
      </c>
      <c r="T4" s="20" t="s">
        <v>15</v>
      </c>
      <c r="U4" s="21">
        <f t="shared" si="11"/>
        <v>0</v>
      </c>
      <c r="V4" s="22" t="str">
        <f t="shared" si="12"/>
        <v>#DIV/0!</v>
      </c>
      <c r="W4" s="20" t="s">
        <v>15</v>
      </c>
      <c r="X4" s="21">
        <f t="shared" si="13"/>
        <v>0</v>
      </c>
      <c r="Y4" s="22" t="str">
        <f t="shared" si="14"/>
        <v>#DIV/0!</v>
      </c>
      <c r="Z4" s="20" t="s">
        <v>15</v>
      </c>
      <c r="AA4" s="21">
        <f t="shared" si="15"/>
        <v>0</v>
      </c>
      <c r="AB4" s="22" t="str">
        <f t="shared" si="16"/>
        <v>#DIV/0!</v>
      </c>
      <c r="AC4" s="20" t="s">
        <v>15</v>
      </c>
      <c r="AD4" s="21">
        <f t="shared" si="17"/>
        <v>0</v>
      </c>
      <c r="AE4" s="22" t="str">
        <f t="shared" si="18"/>
        <v>#DIV/0!</v>
      </c>
      <c r="AF4" s="20" t="s">
        <v>15</v>
      </c>
      <c r="AG4" s="21">
        <f t="shared" si="19"/>
        <v>0</v>
      </c>
      <c r="AH4" s="22" t="str">
        <f t="shared" si="20"/>
        <v>#DIV/0!</v>
      </c>
      <c r="AI4" s="20" t="s">
        <v>15</v>
      </c>
      <c r="AJ4" s="21">
        <f t="shared" si="21"/>
        <v>0</v>
      </c>
      <c r="AK4" s="22" t="str">
        <f t="shared" si="22"/>
        <v>#DIV/0!</v>
      </c>
      <c r="AL4" s="20" t="s">
        <v>15</v>
      </c>
      <c r="AM4" s="21">
        <f t="shared" si="23"/>
        <v>0</v>
      </c>
      <c r="AN4" s="22" t="str">
        <f t="shared" si="24"/>
        <v>#DIV/0!</v>
      </c>
      <c r="AO4" s="20" t="s">
        <v>15</v>
      </c>
      <c r="AP4" s="21">
        <f t="shared" si="25"/>
        <v>0</v>
      </c>
      <c r="AQ4" s="22" t="str">
        <f t="shared" si="26"/>
        <v>#DIV/0!</v>
      </c>
      <c r="AR4" s="20" t="s">
        <v>15</v>
      </c>
      <c r="AS4" s="21">
        <f t="shared" si="27"/>
        <v>0</v>
      </c>
      <c r="AT4" s="22" t="str">
        <f t="shared" si="28"/>
        <v>#DIV/0!</v>
      </c>
      <c r="AU4" s="20" t="s">
        <v>15</v>
      </c>
      <c r="AV4" s="21">
        <f t="shared" si="29"/>
        <v>0</v>
      </c>
      <c r="AW4" s="22" t="str">
        <f t="shared" si="30"/>
        <v>#DIV/0!</v>
      </c>
      <c r="AX4" s="20" t="s">
        <v>15</v>
      </c>
      <c r="AY4" s="21">
        <f t="shared" si="31"/>
        <v>0</v>
      </c>
      <c r="AZ4" s="22" t="str">
        <f t="shared" si="32"/>
        <v>#DIV/0!</v>
      </c>
      <c r="BA4" s="20" t="s">
        <v>15</v>
      </c>
      <c r="BB4" s="21">
        <f t="shared" si="33"/>
        <v>0</v>
      </c>
      <c r="BC4" s="22" t="str">
        <f t="shared" si="34"/>
        <v>#DIV/0!</v>
      </c>
      <c r="BD4" s="20" t="s">
        <v>15</v>
      </c>
      <c r="BE4" s="21">
        <f t="shared" si="35"/>
        <v>0</v>
      </c>
      <c r="BF4" s="22" t="str">
        <f t="shared" si="36"/>
        <v>#DIV/0!</v>
      </c>
      <c r="BG4" s="20" t="s">
        <v>15</v>
      </c>
      <c r="BH4" s="21">
        <f t="shared" si="37"/>
        <v>0</v>
      </c>
      <c r="BI4" s="22" t="str">
        <f t="shared" si="38"/>
        <v>#DIV/0!</v>
      </c>
      <c r="BJ4" s="20" t="s">
        <v>15</v>
      </c>
      <c r="BK4" s="21">
        <f t="shared" si="39"/>
        <v>0</v>
      </c>
      <c r="BL4" s="22" t="str">
        <f t="shared" si="40"/>
        <v>#DIV/0!</v>
      </c>
      <c r="BM4" s="20" t="s">
        <v>15</v>
      </c>
      <c r="BN4" s="21">
        <f t="shared" si="41"/>
        <v>0</v>
      </c>
      <c r="BO4" s="22" t="str">
        <f t="shared" si="42"/>
        <v>#DIV/0!</v>
      </c>
      <c r="BP4" s="20" t="s">
        <v>15</v>
      </c>
      <c r="BQ4" s="21">
        <f t="shared" si="43"/>
        <v>0</v>
      </c>
      <c r="BR4" s="22" t="str">
        <f t="shared" si="44"/>
        <v>#DIV/0!</v>
      </c>
      <c r="BS4" s="20" t="s">
        <v>15</v>
      </c>
      <c r="BT4" s="21">
        <f t="shared" si="45"/>
        <v>0</v>
      </c>
      <c r="BU4" s="22" t="str">
        <f t="shared" si="46"/>
        <v>#DIV/0!</v>
      </c>
      <c r="BV4" s="20" t="s">
        <v>15</v>
      </c>
      <c r="BW4" s="21">
        <f t="shared" si="47"/>
        <v>0</v>
      </c>
      <c r="BX4" s="22" t="str">
        <f t="shared" si="48"/>
        <v>#DIV/0!</v>
      </c>
      <c r="BY4" s="20" t="s">
        <v>15</v>
      </c>
      <c r="BZ4" s="21">
        <f t="shared" si="49"/>
        <v>0</v>
      </c>
      <c r="CA4" s="22" t="str">
        <f t="shared" si="50"/>
        <v>#DIV/0!</v>
      </c>
      <c r="CB4" s="20" t="s">
        <v>15</v>
      </c>
      <c r="CC4" s="21">
        <f t="shared" si="51"/>
        <v>0</v>
      </c>
      <c r="CD4" s="22" t="str">
        <f t="shared" si="52"/>
        <v>#DIV/0!</v>
      </c>
      <c r="CE4" s="20" t="s">
        <v>15</v>
      </c>
      <c r="CF4" s="21">
        <f t="shared" si="53"/>
        <v>0</v>
      </c>
      <c r="CG4" s="22" t="str">
        <f t="shared" si="54"/>
        <v>#DIV/0!</v>
      </c>
      <c r="CH4" s="20" t="s">
        <v>15</v>
      </c>
      <c r="CI4" s="21">
        <f t="shared" si="55"/>
        <v>0</v>
      </c>
      <c r="CJ4" s="22" t="str">
        <f t="shared" si="56"/>
        <v>#DIV/0!</v>
      </c>
      <c r="CK4" s="20" t="s">
        <v>15</v>
      </c>
      <c r="CL4" s="21">
        <f t="shared" si="57"/>
        <v>0</v>
      </c>
      <c r="CM4" s="22" t="str">
        <f t="shared" si="58"/>
        <v>#DIV/0!</v>
      </c>
      <c r="CN4" s="20" t="s">
        <v>15</v>
      </c>
      <c r="CO4" s="21">
        <f t="shared" si="59"/>
        <v>0</v>
      </c>
      <c r="CP4" s="22" t="str">
        <f t="shared" si="60"/>
        <v>#DIV/0!</v>
      </c>
      <c r="CQ4" s="20" t="s">
        <v>15</v>
      </c>
      <c r="CR4" s="21">
        <f t="shared" si="61"/>
        <v>0</v>
      </c>
      <c r="CS4" s="22" t="str">
        <f t="shared" si="62"/>
        <v>#DIV/0!</v>
      </c>
      <c r="CT4" s="6"/>
      <c r="CU4" s="6"/>
      <c r="CV4" s="6"/>
      <c r="CW4" s="6"/>
      <c r="CX4" s="6"/>
      <c r="CY4" s="6"/>
      <c r="CZ4" s="6"/>
      <c r="DA4" s="6"/>
      <c r="DB4" s="6"/>
      <c r="DC4" s="6"/>
      <c r="DD4" s="6"/>
      <c r="DE4" s="6"/>
      <c r="DF4" s="6"/>
    </row>
    <row r="5">
      <c r="A5" s="23"/>
      <c r="B5" s="19"/>
      <c r="C5" s="14"/>
      <c r="D5" s="14"/>
      <c r="E5" s="20" t="s">
        <v>16</v>
      </c>
      <c r="F5" s="21">
        <f t="shared" si="1"/>
        <v>0</v>
      </c>
      <c r="G5" s="22" t="str">
        <f t="shared" si="2"/>
        <v>#DIV/0!</v>
      </c>
      <c r="H5" s="20" t="s">
        <v>16</v>
      </c>
      <c r="I5" s="21">
        <f t="shared" si="3"/>
        <v>0</v>
      </c>
      <c r="J5" s="22" t="str">
        <f t="shared" si="4"/>
        <v>#DIV/0!</v>
      </c>
      <c r="K5" s="20" t="s">
        <v>16</v>
      </c>
      <c r="L5" s="21">
        <f t="shared" si="5"/>
        <v>0</v>
      </c>
      <c r="M5" s="22" t="str">
        <f t="shared" si="6"/>
        <v>#DIV/0!</v>
      </c>
      <c r="N5" s="20" t="s">
        <v>16</v>
      </c>
      <c r="O5" s="21">
        <f t="shared" si="7"/>
        <v>0</v>
      </c>
      <c r="P5" s="22" t="str">
        <f t="shared" si="8"/>
        <v>#DIV/0!</v>
      </c>
      <c r="Q5" s="20" t="s">
        <v>16</v>
      </c>
      <c r="R5" s="21">
        <f t="shared" si="9"/>
        <v>0</v>
      </c>
      <c r="S5" s="22" t="str">
        <f t="shared" si="10"/>
        <v>#DIV/0!</v>
      </c>
      <c r="T5" s="20" t="s">
        <v>16</v>
      </c>
      <c r="U5" s="21">
        <f t="shared" si="11"/>
        <v>0</v>
      </c>
      <c r="V5" s="22" t="str">
        <f t="shared" si="12"/>
        <v>#DIV/0!</v>
      </c>
      <c r="W5" s="20" t="s">
        <v>16</v>
      </c>
      <c r="X5" s="21">
        <f t="shared" si="13"/>
        <v>0</v>
      </c>
      <c r="Y5" s="22" t="str">
        <f t="shared" si="14"/>
        <v>#DIV/0!</v>
      </c>
      <c r="Z5" s="20" t="s">
        <v>16</v>
      </c>
      <c r="AA5" s="21">
        <f t="shared" si="15"/>
        <v>0</v>
      </c>
      <c r="AB5" s="22" t="str">
        <f t="shared" si="16"/>
        <v>#DIV/0!</v>
      </c>
      <c r="AC5" s="20" t="s">
        <v>16</v>
      </c>
      <c r="AD5" s="21">
        <f t="shared" si="17"/>
        <v>0</v>
      </c>
      <c r="AE5" s="22" t="str">
        <f t="shared" si="18"/>
        <v>#DIV/0!</v>
      </c>
      <c r="AF5" s="20" t="s">
        <v>16</v>
      </c>
      <c r="AG5" s="21">
        <f t="shared" si="19"/>
        <v>0</v>
      </c>
      <c r="AH5" s="22" t="str">
        <f t="shared" si="20"/>
        <v>#DIV/0!</v>
      </c>
      <c r="AI5" s="20" t="s">
        <v>16</v>
      </c>
      <c r="AJ5" s="21">
        <f t="shared" si="21"/>
        <v>0</v>
      </c>
      <c r="AK5" s="22" t="str">
        <f t="shared" si="22"/>
        <v>#DIV/0!</v>
      </c>
      <c r="AL5" s="20" t="s">
        <v>16</v>
      </c>
      <c r="AM5" s="21">
        <f t="shared" si="23"/>
        <v>0</v>
      </c>
      <c r="AN5" s="22" t="str">
        <f t="shared" si="24"/>
        <v>#DIV/0!</v>
      </c>
      <c r="AO5" s="20" t="s">
        <v>16</v>
      </c>
      <c r="AP5" s="21">
        <f t="shared" si="25"/>
        <v>0</v>
      </c>
      <c r="AQ5" s="22" t="str">
        <f t="shared" si="26"/>
        <v>#DIV/0!</v>
      </c>
      <c r="AR5" s="20" t="s">
        <v>16</v>
      </c>
      <c r="AS5" s="21">
        <f t="shared" si="27"/>
        <v>0</v>
      </c>
      <c r="AT5" s="22" t="str">
        <f t="shared" si="28"/>
        <v>#DIV/0!</v>
      </c>
      <c r="AU5" s="20" t="s">
        <v>16</v>
      </c>
      <c r="AV5" s="21">
        <f t="shared" si="29"/>
        <v>0</v>
      </c>
      <c r="AW5" s="22" t="str">
        <f t="shared" si="30"/>
        <v>#DIV/0!</v>
      </c>
      <c r="AX5" s="20" t="s">
        <v>16</v>
      </c>
      <c r="AY5" s="21">
        <f t="shared" si="31"/>
        <v>0</v>
      </c>
      <c r="AZ5" s="22" t="str">
        <f t="shared" si="32"/>
        <v>#DIV/0!</v>
      </c>
      <c r="BA5" s="20" t="s">
        <v>16</v>
      </c>
      <c r="BB5" s="21">
        <f t="shared" si="33"/>
        <v>0</v>
      </c>
      <c r="BC5" s="22" t="str">
        <f t="shared" si="34"/>
        <v>#DIV/0!</v>
      </c>
      <c r="BD5" s="20" t="s">
        <v>16</v>
      </c>
      <c r="BE5" s="21">
        <f t="shared" si="35"/>
        <v>0</v>
      </c>
      <c r="BF5" s="22" t="str">
        <f t="shared" si="36"/>
        <v>#DIV/0!</v>
      </c>
      <c r="BG5" s="20" t="s">
        <v>16</v>
      </c>
      <c r="BH5" s="21">
        <f t="shared" si="37"/>
        <v>0</v>
      </c>
      <c r="BI5" s="22" t="str">
        <f t="shared" si="38"/>
        <v>#DIV/0!</v>
      </c>
      <c r="BJ5" s="20" t="s">
        <v>16</v>
      </c>
      <c r="BK5" s="21">
        <f t="shared" si="39"/>
        <v>0</v>
      </c>
      <c r="BL5" s="22" t="str">
        <f t="shared" si="40"/>
        <v>#DIV/0!</v>
      </c>
      <c r="BM5" s="20" t="s">
        <v>16</v>
      </c>
      <c r="BN5" s="21">
        <f t="shared" si="41"/>
        <v>0</v>
      </c>
      <c r="BO5" s="22" t="str">
        <f t="shared" si="42"/>
        <v>#DIV/0!</v>
      </c>
      <c r="BP5" s="20" t="s">
        <v>16</v>
      </c>
      <c r="BQ5" s="21">
        <f t="shared" si="43"/>
        <v>0</v>
      </c>
      <c r="BR5" s="22" t="str">
        <f t="shared" si="44"/>
        <v>#DIV/0!</v>
      </c>
      <c r="BS5" s="20" t="s">
        <v>16</v>
      </c>
      <c r="BT5" s="21">
        <f t="shared" si="45"/>
        <v>0</v>
      </c>
      <c r="BU5" s="22" t="str">
        <f t="shared" si="46"/>
        <v>#DIV/0!</v>
      </c>
      <c r="BV5" s="20" t="s">
        <v>16</v>
      </c>
      <c r="BW5" s="21">
        <f t="shared" si="47"/>
        <v>0</v>
      </c>
      <c r="BX5" s="22" t="str">
        <f t="shared" si="48"/>
        <v>#DIV/0!</v>
      </c>
      <c r="BY5" s="20" t="s">
        <v>16</v>
      </c>
      <c r="BZ5" s="21">
        <f t="shared" si="49"/>
        <v>0</v>
      </c>
      <c r="CA5" s="22" t="str">
        <f t="shared" si="50"/>
        <v>#DIV/0!</v>
      </c>
      <c r="CB5" s="20" t="s">
        <v>16</v>
      </c>
      <c r="CC5" s="21">
        <f t="shared" si="51"/>
        <v>0</v>
      </c>
      <c r="CD5" s="22" t="str">
        <f t="shared" si="52"/>
        <v>#DIV/0!</v>
      </c>
      <c r="CE5" s="20" t="s">
        <v>16</v>
      </c>
      <c r="CF5" s="21">
        <f t="shared" si="53"/>
        <v>0</v>
      </c>
      <c r="CG5" s="22" t="str">
        <f t="shared" si="54"/>
        <v>#DIV/0!</v>
      </c>
      <c r="CH5" s="20" t="s">
        <v>16</v>
      </c>
      <c r="CI5" s="21">
        <f t="shared" si="55"/>
        <v>0</v>
      </c>
      <c r="CJ5" s="22" t="str">
        <f t="shared" si="56"/>
        <v>#DIV/0!</v>
      </c>
      <c r="CK5" s="20" t="s">
        <v>16</v>
      </c>
      <c r="CL5" s="21">
        <f t="shared" si="57"/>
        <v>0</v>
      </c>
      <c r="CM5" s="22" t="str">
        <f t="shared" si="58"/>
        <v>#DIV/0!</v>
      </c>
      <c r="CN5" s="20" t="s">
        <v>16</v>
      </c>
      <c r="CO5" s="21">
        <f t="shared" si="59"/>
        <v>0</v>
      </c>
      <c r="CP5" s="22" t="str">
        <f t="shared" si="60"/>
        <v>#DIV/0!</v>
      </c>
      <c r="CQ5" s="20" t="s">
        <v>16</v>
      </c>
      <c r="CR5" s="21">
        <f t="shared" si="61"/>
        <v>0</v>
      </c>
      <c r="CS5" s="22" t="str">
        <f t="shared" si="62"/>
        <v>#DIV/0!</v>
      </c>
      <c r="CT5" s="6"/>
      <c r="CU5" s="6"/>
      <c r="CV5" s="6"/>
      <c r="CW5" s="6"/>
      <c r="CX5" s="6"/>
      <c r="CY5" s="6"/>
      <c r="CZ5" s="6"/>
      <c r="DA5" s="6"/>
      <c r="DB5" s="6"/>
      <c r="DC5" s="6"/>
      <c r="DD5" s="6"/>
      <c r="DE5" s="6"/>
      <c r="DF5" s="6"/>
    </row>
    <row r="6">
      <c r="A6" s="14"/>
      <c r="B6" s="19"/>
      <c r="C6" s="14"/>
      <c r="D6" s="14"/>
      <c r="E6" s="20" t="s">
        <v>17</v>
      </c>
      <c r="F6" s="21">
        <f t="shared" si="1"/>
        <v>0</v>
      </c>
      <c r="G6" s="22" t="str">
        <f t="shared" si="2"/>
        <v>#DIV/0!</v>
      </c>
      <c r="H6" s="20" t="s">
        <v>17</v>
      </c>
      <c r="I6" s="21">
        <f t="shared" si="3"/>
        <v>0</v>
      </c>
      <c r="J6" s="22" t="str">
        <f t="shared" si="4"/>
        <v>#DIV/0!</v>
      </c>
      <c r="K6" s="20" t="s">
        <v>17</v>
      </c>
      <c r="L6" s="21">
        <f t="shared" si="5"/>
        <v>0</v>
      </c>
      <c r="M6" s="22" t="str">
        <f t="shared" si="6"/>
        <v>#DIV/0!</v>
      </c>
      <c r="N6" s="20" t="s">
        <v>17</v>
      </c>
      <c r="O6" s="21">
        <f t="shared" si="7"/>
        <v>0</v>
      </c>
      <c r="P6" s="22" t="str">
        <f t="shared" si="8"/>
        <v>#DIV/0!</v>
      </c>
      <c r="Q6" s="20" t="s">
        <v>17</v>
      </c>
      <c r="R6" s="21">
        <f t="shared" si="9"/>
        <v>0</v>
      </c>
      <c r="S6" s="22" t="str">
        <f t="shared" si="10"/>
        <v>#DIV/0!</v>
      </c>
      <c r="T6" s="20" t="s">
        <v>17</v>
      </c>
      <c r="U6" s="21">
        <f t="shared" si="11"/>
        <v>0</v>
      </c>
      <c r="V6" s="22" t="str">
        <f t="shared" si="12"/>
        <v>#DIV/0!</v>
      </c>
      <c r="W6" s="20" t="s">
        <v>17</v>
      </c>
      <c r="X6" s="21">
        <f t="shared" si="13"/>
        <v>0</v>
      </c>
      <c r="Y6" s="22" t="str">
        <f t="shared" si="14"/>
        <v>#DIV/0!</v>
      </c>
      <c r="Z6" s="20" t="s">
        <v>17</v>
      </c>
      <c r="AA6" s="21">
        <f t="shared" si="15"/>
        <v>0</v>
      </c>
      <c r="AB6" s="22" t="str">
        <f t="shared" si="16"/>
        <v>#DIV/0!</v>
      </c>
      <c r="AC6" s="20" t="s">
        <v>17</v>
      </c>
      <c r="AD6" s="21">
        <f t="shared" si="17"/>
        <v>0</v>
      </c>
      <c r="AE6" s="22" t="str">
        <f t="shared" si="18"/>
        <v>#DIV/0!</v>
      </c>
      <c r="AF6" s="20" t="s">
        <v>17</v>
      </c>
      <c r="AG6" s="21">
        <f t="shared" si="19"/>
        <v>0</v>
      </c>
      <c r="AH6" s="22" t="str">
        <f t="shared" si="20"/>
        <v>#DIV/0!</v>
      </c>
      <c r="AI6" s="20" t="s">
        <v>17</v>
      </c>
      <c r="AJ6" s="21">
        <f t="shared" si="21"/>
        <v>0</v>
      </c>
      <c r="AK6" s="22" t="str">
        <f t="shared" si="22"/>
        <v>#DIV/0!</v>
      </c>
      <c r="AL6" s="20" t="s">
        <v>17</v>
      </c>
      <c r="AM6" s="21">
        <f t="shared" si="23"/>
        <v>0</v>
      </c>
      <c r="AN6" s="22" t="str">
        <f t="shared" si="24"/>
        <v>#DIV/0!</v>
      </c>
      <c r="AO6" s="20" t="s">
        <v>17</v>
      </c>
      <c r="AP6" s="21">
        <f t="shared" si="25"/>
        <v>0</v>
      </c>
      <c r="AQ6" s="22" t="str">
        <f t="shared" si="26"/>
        <v>#DIV/0!</v>
      </c>
      <c r="AR6" s="20" t="s">
        <v>17</v>
      </c>
      <c r="AS6" s="21">
        <f t="shared" si="27"/>
        <v>0</v>
      </c>
      <c r="AT6" s="22" t="str">
        <f t="shared" si="28"/>
        <v>#DIV/0!</v>
      </c>
      <c r="AU6" s="20" t="s">
        <v>17</v>
      </c>
      <c r="AV6" s="21">
        <f t="shared" si="29"/>
        <v>0</v>
      </c>
      <c r="AW6" s="22" t="str">
        <f t="shared" si="30"/>
        <v>#DIV/0!</v>
      </c>
      <c r="AX6" s="20" t="s">
        <v>17</v>
      </c>
      <c r="AY6" s="21">
        <f t="shared" si="31"/>
        <v>0</v>
      </c>
      <c r="AZ6" s="22" t="str">
        <f t="shared" si="32"/>
        <v>#DIV/0!</v>
      </c>
      <c r="BA6" s="20" t="s">
        <v>17</v>
      </c>
      <c r="BB6" s="21">
        <f t="shared" si="33"/>
        <v>0</v>
      </c>
      <c r="BC6" s="22" t="str">
        <f t="shared" si="34"/>
        <v>#DIV/0!</v>
      </c>
      <c r="BD6" s="20" t="s">
        <v>17</v>
      </c>
      <c r="BE6" s="21">
        <f t="shared" si="35"/>
        <v>0</v>
      </c>
      <c r="BF6" s="22" t="str">
        <f t="shared" si="36"/>
        <v>#DIV/0!</v>
      </c>
      <c r="BG6" s="20" t="s">
        <v>17</v>
      </c>
      <c r="BH6" s="21">
        <f t="shared" si="37"/>
        <v>0</v>
      </c>
      <c r="BI6" s="22" t="str">
        <f t="shared" si="38"/>
        <v>#DIV/0!</v>
      </c>
      <c r="BJ6" s="20" t="s">
        <v>17</v>
      </c>
      <c r="BK6" s="21">
        <f t="shared" si="39"/>
        <v>0</v>
      </c>
      <c r="BL6" s="22" t="str">
        <f t="shared" si="40"/>
        <v>#DIV/0!</v>
      </c>
      <c r="BM6" s="20" t="s">
        <v>17</v>
      </c>
      <c r="BN6" s="21">
        <f t="shared" si="41"/>
        <v>0</v>
      </c>
      <c r="BO6" s="22" t="str">
        <f t="shared" si="42"/>
        <v>#DIV/0!</v>
      </c>
      <c r="BP6" s="20" t="s">
        <v>17</v>
      </c>
      <c r="BQ6" s="21">
        <f t="shared" si="43"/>
        <v>0</v>
      </c>
      <c r="BR6" s="22" t="str">
        <f t="shared" si="44"/>
        <v>#DIV/0!</v>
      </c>
      <c r="BS6" s="20" t="s">
        <v>17</v>
      </c>
      <c r="BT6" s="21">
        <f t="shared" si="45"/>
        <v>0</v>
      </c>
      <c r="BU6" s="22" t="str">
        <f t="shared" si="46"/>
        <v>#DIV/0!</v>
      </c>
      <c r="BV6" s="20" t="s">
        <v>17</v>
      </c>
      <c r="BW6" s="21">
        <f t="shared" si="47"/>
        <v>0</v>
      </c>
      <c r="BX6" s="22" t="str">
        <f t="shared" si="48"/>
        <v>#DIV/0!</v>
      </c>
      <c r="BY6" s="20" t="s">
        <v>17</v>
      </c>
      <c r="BZ6" s="21">
        <f t="shared" si="49"/>
        <v>0</v>
      </c>
      <c r="CA6" s="22" t="str">
        <f t="shared" si="50"/>
        <v>#DIV/0!</v>
      </c>
      <c r="CB6" s="20" t="s">
        <v>17</v>
      </c>
      <c r="CC6" s="21">
        <f t="shared" si="51"/>
        <v>0</v>
      </c>
      <c r="CD6" s="22" t="str">
        <f t="shared" si="52"/>
        <v>#DIV/0!</v>
      </c>
      <c r="CE6" s="20" t="s">
        <v>17</v>
      </c>
      <c r="CF6" s="21">
        <f t="shared" si="53"/>
        <v>0</v>
      </c>
      <c r="CG6" s="22" t="str">
        <f t="shared" si="54"/>
        <v>#DIV/0!</v>
      </c>
      <c r="CH6" s="20" t="s">
        <v>17</v>
      </c>
      <c r="CI6" s="21">
        <f t="shared" si="55"/>
        <v>0</v>
      </c>
      <c r="CJ6" s="22" t="str">
        <f t="shared" si="56"/>
        <v>#DIV/0!</v>
      </c>
      <c r="CK6" s="20" t="s">
        <v>17</v>
      </c>
      <c r="CL6" s="21">
        <f t="shared" si="57"/>
        <v>0</v>
      </c>
      <c r="CM6" s="22" t="str">
        <f t="shared" si="58"/>
        <v>#DIV/0!</v>
      </c>
      <c r="CN6" s="20" t="s">
        <v>17</v>
      </c>
      <c r="CO6" s="21">
        <f t="shared" si="59"/>
        <v>0</v>
      </c>
      <c r="CP6" s="22" t="str">
        <f t="shared" si="60"/>
        <v>#DIV/0!</v>
      </c>
      <c r="CQ6" s="20" t="s">
        <v>17</v>
      </c>
      <c r="CR6" s="21">
        <f t="shared" si="61"/>
        <v>0</v>
      </c>
      <c r="CS6" s="22" t="str">
        <f t="shared" si="62"/>
        <v>#DIV/0!</v>
      </c>
      <c r="CT6" s="6"/>
      <c r="CU6" s="6"/>
      <c r="CV6" s="6"/>
      <c r="CW6" s="6"/>
      <c r="CX6" s="6"/>
      <c r="CY6" s="6"/>
      <c r="CZ6" s="6"/>
      <c r="DA6" s="6"/>
      <c r="DB6" s="6"/>
      <c r="DC6" s="6"/>
      <c r="DD6" s="6"/>
      <c r="DE6" s="6"/>
      <c r="DF6" s="6"/>
    </row>
    <row r="7">
      <c r="A7" s="14"/>
      <c r="B7" s="19"/>
      <c r="C7" s="14"/>
      <c r="D7" s="14"/>
      <c r="E7" s="20" t="s">
        <v>18</v>
      </c>
      <c r="F7" s="21">
        <f t="shared" si="1"/>
        <v>0</v>
      </c>
      <c r="G7" s="22" t="str">
        <f t="shared" si="2"/>
        <v>#DIV/0!</v>
      </c>
      <c r="H7" s="20" t="s">
        <v>18</v>
      </c>
      <c r="I7" s="21">
        <f t="shared" si="3"/>
        <v>0</v>
      </c>
      <c r="J7" s="22" t="str">
        <f t="shared" si="4"/>
        <v>#DIV/0!</v>
      </c>
      <c r="K7" s="20" t="s">
        <v>18</v>
      </c>
      <c r="L7" s="21">
        <f t="shared" si="5"/>
        <v>0</v>
      </c>
      <c r="M7" s="22" t="str">
        <f t="shared" si="6"/>
        <v>#DIV/0!</v>
      </c>
      <c r="N7" s="20" t="s">
        <v>18</v>
      </c>
      <c r="O7" s="21">
        <f t="shared" si="7"/>
        <v>0</v>
      </c>
      <c r="P7" s="22" t="str">
        <f t="shared" si="8"/>
        <v>#DIV/0!</v>
      </c>
      <c r="Q7" s="20" t="s">
        <v>18</v>
      </c>
      <c r="R7" s="21">
        <f t="shared" si="9"/>
        <v>0</v>
      </c>
      <c r="S7" s="22" t="str">
        <f t="shared" si="10"/>
        <v>#DIV/0!</v>
      </c>
      <c r="T7" s="20" t="s">
        <v>18</v>
      </c>
      <c r="U7" s="21">
        <f t="shared" si="11"/>
        <v>0</v>
      </c>
      <c r="V7" s="22" t="str">
        <f t="shared" si="12"/>
        <v>#DIV/0!</v>
      </c>
      <c r="W7" s="20" t="s">
        <v>18</v>
      </c>
      <c r="X7" s="21">
        <f t="shared" si="13"/>
        <v>0</v>
      </c>
      <c r="Y7" s="22" t="str">
        <f t="shared" si="14"/>
        <v>#DIV/0!</v>
      </c>
      <c r="Z7" s="20" t="s">
        <v>18</v>
      </c>
      <c r="AA7" s="21">
        <f t="shared" si="15"/>
        <v>0</v>
      </c>
      <c r="AB7" s="22" t="str">
        <f t="shared" si="16"/>
        <v>#DIV/0!</v>
      </c>
      <c r="AC7" s="20" t="s">
        <v>18</v>
      </c>
      <c r="AD7" s="21">
        <f t="shared" si="17"/>
        <v>0</v>
      </c>
      <c r="AE7" s="22" t="str">
        <f t="shared" si="18"/>
        <v>#DIV/0!</v>
      </c>
      <c r="AF7" s="20" t="s">
        <v>18</v>
      </c>
      <c r="AG7" s="21">
        <f t="shared" si="19"/>
        <v>0</v>
      </c>
      <c r="AH7" s="22" t="str">
        <f t="shared" si="20"/>
        <v>#DIV/0!</v>
      </c>
      <c r="AI7" s="20" t="s">
        <v>18</v>
      </c>
      <c r="AJ7" s="21">
        <f t="shared" si="21"/>
        <v>0</v>
      </c>
      <c r="AK7" s="22" t="str">
        <f t="shared" si="22"/>
        <v>#DIV/0!</v>
      </c>
      <c r="AL7" s="20" t="s">
        <v>18</v>
      </c>
      <c r="AM7" s="21">
        <f t="shared" si="23"/>
        <v>0</v>
      </c>
      <c r="AN7" s="22" t="str">
        <f t="shared" si="24"/>
        <v>#DIV/0!</v>
      </c>
      <c r="AO7" s="20" t="s">
        <v>18</v>
      </c>
      <c r="AP7" s="21">
        <f t="shared" si="25"/>
        <v>0</v>
      </c>
      <c r="AQ7" s="22" t="str">
        <f t="shared" si="26"/>
        <v>#DIV/0!</v>
      </c>
      <c r="AR7" s="20" t="s">
        <v>18</v>
      </c>
      <c r="AS7" s="21">
        <f t="shared" si="27"/>
        <v>0</v>
      </c>
      <c r="AT7" s="22" t="str">
        <f t="shared" si="28"/>
        <v>#DIV/0!</v>
      </c>
      <c r="AU7" s="20" t="s">
        <v>18</v>
      </c>
      <c r="AV7" s="21">
        <f t="shared" si="29"/>
        <v>0</v>
      </c>
      <c r="AW7" s="22" t="str">
        <f t="shared" si="30"/>
        <v>#DIV/0!</v>
      </c>
      <c r="AX7" s="20" t="s">
        <v>18</v>
      </c>
      <c r="AY7" s="21">
        <f t="shared" si="31"/>
        <v>0</v>
      </c>
      <c r="AZ7" s="22" t="str">
        <f t="shared" si="32"/>
        <v>#DIV/0!</v>
      </c>
      <c r="BA7" s="20" t="s">
        <v>18</v>
      </c>
      <c r="BB7" s="21">
        <f t="shared" si="33"/>
        <v>0</v>
      </c>
      <c r="BC7" s="22" t="str">
        <f t="shared" si="34"/>
        <v>#DIV/0!</v>
      </c>
      <c r="BD7" s="20" t="s">
        <v>18</v>
      </c>
      <c r="BE7" s="21">
        <f t="shared" si="35"/>
        <v>0</v>
      </c>
      <c r="BF7" s="22" t="str">
        <f t="shared" si="36"/>
        <v>#DIV/0!</v>
      </c>
      <c r="BG7" s="20" t="s">
        <v>18</v>
      </c>
      <c r="BH7" s="21">
        <f t="shared" si="37"/>
        <v>0</v>
      </c>
      <c r="BI7" s="22" t="str">
        <f t="shared" si="38"/>
        <v>#DIV/0!</v>
      </c>
      <c r="BJ7" s="20" t="s">
        <v>18</v>
      </c>
      <c r="BK7" s="21">
        <f t="shared" si="39"/>
        <v>0</v>
      </c>
      <c r="BL7" s="22" t="str">
        <f t="shared" si="40"/>
        <v>#DIV/0!</v>
      </c>
      <c r="BM7" s="20" t="s">
        <v>18</v>
      </c>
      <c r="BN7" s="21">
        <f t="shared" si="41"/>
        <v>0</v>
      </c>
      <c r="BO7" s="22" t="str">
        <f t="shared" si="42"/>
        <v>#DIV/0!</v>
      </c>
      <c r="BP7" s="20" t="s">
        <v>18</v>
      </c>
      <c r="BQ7" s="21">
        <f t="shared" si="43"/>
        <v>0</v>
      </c>
      <c r="BR7" s="22" t="str">
        <f t="shared" si="44"/>
        <v>#DIV/0!</v>
      </c>
      <c r="BS7" s="20" t="s">
        <v>18</v>
      </c>
      <c r="BT7" s="21">
        <f t="shared" si="45"/>
        <v>0</v>
      </c>
      <c r="BU7" s="22" t="str">
        <f t="shared" si="46"/>
        <v>#DIV/0!</v>
      </c>
      <c r="BV7" s="20" t="s">
        <v>18</v>
      </c>
      <c r="BW7" s="21">
        <f t="shared" si="47"/>
        <v>0</v>
      </c>
      <c r="BX7" s="22" t="str">
        <f t="shared" si="48"/>
        <v>#DIV/0!</v>
      </c>
      <c r="BY7" s="20" t="s">
        <v>18</v>
      </c>
      <c r="BZ7" s="21">
        <f t="shared" si="49"/>
        <v>0</v>
      </c>
      <c r="CA7" s="22" t="str">
        <f t="shared" si="50"/>
        <v>#DIV/0!</v>
      </c>
      <c r="CB7" s="20" t="s">
        <v>18</v>
      </c>
      <c r="CC7" s="21">
        <f t="shared" si="51"/>
        <v>0</v>
      </c>
      <c r="CD7" s="22" t="str">
        <f t="shared" si="52"/>
        <v>#DIV/0!</v>
      </c>
      <c r="CE7" s="20" t="s">
        <v>18</v>
      </c>
      <c r="CF7" s="21">
        <f t="shared" si="53"/>
        <v>0</v>
      </c>
      <c r="CG7" s="22" t="str">
        <f t="shared" si="54"/>
        <v>#DIV/0!</v>
      </c>
      <c r="CH7" s="20" t="s">
        <v>18</v>
      </c>
      <c r="CI7" s="21">
        <f t="shared" si="55"/>
        <v>0</v>
      </c>
      <c r="CJ7" s="22" t="str">
        <f t="shared" si="56"/>
        <v>#DIV/0!</v>
      </c>
      <c r="CK7" s="20" t="s">
        <v>18</v>
      </c>
      <c r="CL7" s="21">
        <f t="shared" si="57"/>
        <v>0</v>
      </c>
      <c r="CM7" s="22" t="str">
        <f t="shared" si="58"/>
        <v>#DIV/0!</v>
      </c>
      <c r="CN7" s="20" t="s">
        <v>18</v>
      </c>
      <c r="CO7" s="21">
        <f t="shared" si="59"/>
        <v>0</v>
      </c>
      <c r="CP7" s="22" t="str">
        <f t="shared" si="60"/>
        <v>#DIV/0!</v>
      </c>
      <c r="CQ7" s="20" t="s">
        <v>18</v>
      </c>
      <c r="CR7" s="21">
        <f t="shared" si="61"/>
        <v>0</v>
      </c>
      <c r="CS7" s="22" t="str">
        <f t="shared" si="62"/>
        <v>#DIV/0!</v>
      </c>
      <c r="CT7" s="6"/>
      <c r="CU7" s="6"/>
      <c r="CV7" s="6"/>
      <c r="CW7" s="6"/>
      <c r="CX7" s="6"/>
      <c r="CY7" s="6"/>
      <c r="CZ7" s="6"/>
      <c r="DA7" s="6"/>
      <c r="DB7" s="6"/>
      <c r="DC7" s="6"/>
      <c r="DD7" s="6"/>
      <c r="DE7" s="6"/>
      <c r="DF7" s="6"/>
    </row>
    <row r="8">
      <c r="A8" s="14"/>
      <c r="B8" s="19"/>
      <c r="C8" s="14"/>
      <c r="D8" s="14"/>
      <c r="E8" s="24" t="s">
        <v>13</v>
      </c>
      <c r="F8" s="5">
        <f>SUM(F3:F7)</f>
        <v>0</v>
      </c>
      <c r="G8" s="25" t="str">
        <f>SUM(G6:G7)</f>
        <v>#DIV/0!</v>
      </c>
      <c r="H8" s="24" t="s">
        <v>13</v>
      </c>
      <c r="I8" s="5">
        <f>SUM(I3:I7)</f>
        <v>0</v>
      </c>
      <c r="J8" s="25" t="str">
        <f>SUM(J6:J7)</f>
        <v>#DIV/0!</v>
      </c>
      <c r="K8" s="24" t="s">
        <v>13</v>
      </c>
      <c r="L8" s="5">
        <f>SUM(L3:L7)</f>
        <v>0</v>
      </c>
      <c r="M8" s="25" t="str">
        <f>SUM(M6:M7)</f>
        <v>#DIV/0!</v>
      </c>
      <c r="N8" s="24" t="s">
        <v>13</v>
      </c>
      <c r="O8" s="5">
        <f>SUM(O3:O7)</f>
        <v>0</v>
      </c>
      <c r="P8" s="25" t="str">
        <f>SUM(P6:P7)</f>
        <v>#DIV/0!</v>
      </c>
      <c r="Q8" s="24" t="s">
        <v>13</v>
      </c>
      <c r="R8" s="5">
        <f>SUM(R3:R7)</f>
        <v>0</v>
      </c>
      <c r="S8" s="25" t="str">
        <f>SUM(S6:S7)</f>
        <v>#DIV/0!</v>
      </c>
      <c r="T8" s="24" t="s">
        <v>13</v>
      </c>
      <c r="U8" s="5">
        <f>SUM(U3:U7)</f>
        <v>0</v>
      </c>
      <c r="V8" s="25" t="str">
        <f>SUM(V6:V7)</f>
        <v>#DIV/0!</v>
      </c>
      <c r="W8" s="24" t="s">
        <v>13</v>
      </c>
      <c r="X8" s="5">
        <f>SUM(X3:X7)</f>
        <v>0</v>
      </c>
      <c r="Y8" s="25" t="str">
        <f>SUM(Y6:Y7)</f>
        <v>#DIV/0!</v>
      </c>
      <c r="Z8" s="24" t="s">
        <v>13</v>
      </c>
      <c r="AA8" s="5">
        <f>SUM(AA3:AA7)</f>
        <v>0</v>
      </c>
      <c r="AB8" s="25" t="str">
        <f>SUM(AB6:AB7)</f>
        <v>#DIV/0!</v>
      </c>
      <c r="AC8" s="24" t="s">
        <v>13</v>
      </c>
      <c r="AD8" s="5">
        <f>SUM(AD3:AD7)</f>
        <v>0</v>
      </c>
      <c r="AE8" s="25" t="str">
        <f>SUM(AE6:AE7)</f>
        <v>#DIV/0!</v>
      </c>
      <c r="AF8" s="24" t="s">
        <v>13</v>
      </c>
      <c r="AG8" s="5">
        <f>SUM(AG3:AG7)</f>
        <v>0</v>
      </c>
      <c r="AH8" s="25" t="str">
        <f>SUM(AH6:AH7)</f>
        <v>#DIV/0!</v>
      </c>
      <c r="AI8" s="24" t="s">
        <v>13</v>
      </c>
      <c r="AJ8" s="5">
        <f>SUM(AJ3:AJ7)</f>
        <v>0</v>
      </c>
      <c r="AK8" s="25" t="str">
        <f>SUM(AK6:AK7)</f>
        <v>#DIV/0!</v>
      </c>
      <c r="AL8" s="24" t="s">
        <v>13</v>
      </c>
      <c r="AM8" s="5">
        <f>SUM(AM3:AM7)</f>
        <v>0</v>
      </c>
      <c r="AN8" s="25" t="str">
        <f>SUM(AN6:AN7)</f>
        <v>#DIV/0!</v>
      </c>
      <c r="AO8" s="24" t="s">
        <v>13</v>
      </c>
      <c r="AP8" s="5">
        <f>SUM(AP3:AP7)</f>
        <v>0</v>
      </c>
      <c r="AQ8" s="25" t="str">
        <f>SUM(AQ6:AQ7)</f>
        <v>#DIV/0!</v>
      </c>
      <c r="AR8" s="24" t="s">
        <v>13</v>
      </c>
      <c r="AS8" s="5">
        <f>SUM(AS3:AS7)</f>
        <v>0</v>
      </c>
      <c r="AT8" s="25" t="str">
        <f>SUM(AT6:AT7)</f>
        <v>#DIV/0!</v>
      </c>
      <c r="AU8" s="24" t="s">
        <v>13</v>
      </c>
      <c r="AV8" s="5">
        <f>SUM(AV3:AV7)</f>
        <v>0</v>
      </c>
      <c r="AW8" s="25" t="str">
        <f>SUM(AW6:AW7)</f>
        <v>#DIV/0!</v>
      </c>
      <c r="AX8" s="24" t="s">
        <v>13</v>
      </c>
      <c r="AY8" s="5">
        <f>SUM(AY3:AY7)</f>
        <v>0</v>
      </c>
      <c r="AZ8" s="25" t="str">
        <f>SUM(AZ6:AZ7)</f>
        <v>#DIV/0!</v>
      </c>
      <c r="BA8" s="24" t="s">
        <v>13</v>
      </c>
      <c r="BB8" s="5">
        <f>SUM(BB3:BB7)</f>
        <v>0</v>
      </c>
      <c r="BC8" s="25" t="str">
        <f>SUM(BC6:BC7)</f>
        <v>#DIV/0!</v>
      </c>
      <c r="BD8" s="24" t="s">
        <v>13</v>
      </c>
      <c r="BE8" s="5">
        <f>SUM(BE3:BE7)</f>
        <v>0</v>
      </c>
      <c r="BF8" s="25" t="str">
        <f>SUM(BF6:BF7)</f>
        <v>#DIV/0!</v>
      </c>
      <c r="BG8" s="24" t="s">
        <v>13</v>
      </c>
      <c r="BH8" s="5">
        <f>SUM(BH3:BH7)</f>
        <v>0</v>
      </c>
      <c r="BI8" s="25" t="str">
        <f>SUM(BI6:BI7)</f>
        <v>#DIV/0!</v>
      </c>
      <c r="BJ8" s="24" t="s">
        <v>13</v>
      </c>
      <c r="BK8" s="5">
        <f>SUM(BK3:BK7)</f>
        <v>0</v>
      </c>
      <c r="BL8" s="25" t="str">
        <f>SUM(BL6:BL7)</f>
        <v>#DIV/0!</v>
      </c>
      <c r="BM8" s="24" t="s">
        <v>13</v>
      </c>
      <c r="BN8" s="5">
        <f>SUM(BN3:BN7)</f>
        <v>0</v>
      </c>
      <c r="BO8" s="25" t="str">
        <f>SUM(BO6:BO7)</f>
        <v>#DIV/0!</v>
      </c>
      <c r="BP8" s="24" t="s">
        <v>13</v>
      </c>
      <c r="BQ8" s="5">
        <f>SUM(BQ3:BQ7)</f>
        <v>0</v>
      </c>
      <c r="BR8" s="25" t="str">
        <f>SUM(BR6:BR7)</f>
        <v>#DIV/0!</v>
      </c>
      <c r="BS8" s="24" t="s">
        <v>13</v>
      </c>
      <c r="BT8" s="5">
        <f>SUM(BT3:BT7)</f>
        <v>0</v>
      </c>
      <c r="BU8" s="25" t="str">
        <f>SUM(BU6:BU7)</f>
        <v>#DIV/0!</v>
      </c>
      <c r="BV8" s="24" t="s">
        <v>13</v>
      </c>
      <c r="BW8" s="5">
        <f>SUM(BW3:BW7)</f>
        <v>0</v>
      </c>
      <c r="BX8" s="25" t="str">
        <f>SUM(BX6:BX7)</f>
        <v>#DIV/0!</v>
      </c>
      <c r="BY8" s="24" t="s">
        <v>13</v>
      </c>
      <c r="BZ8" s="5">
        <f>SUM(BZ3:BZ7)</f>
        <v>0</v>
      </c>
      <c r="CA8" s="25" t="str">
        <f>SUM(CA6:CA7)</f>
        <v>#DIV/0!</v>
      </c>
      <c r="CB8" s="24" t="s">
        <v>13</v>
      </c>
      <c r="CC8" s="5">
        <f>SUM(CC3:CC7)</f>
        <v>0</v>
      </c>
      <c r="CD8" s="25" t="str">
        <f>SUM(CD6:CD7)</f>
        <v>#DIV/0!</v>
      </c>
      <c r="CE8" s="24" t="s">
        <v>13</v>
      </c>
      <c r="CF8" s="5">
        <f>SUM(CF3:CF7)</f>
        <v>0</v>
      </c>
      <c r="CG8" s="25" t="str">
        <f>SUM(CG6:CG7)</f>
        <v>#DIV/0!</v>
      </c>
      <c r="CH8" s="24" t="s">
        <v>13</v>
      </c>
      <c r="CI8" s="5">
        <f>SUM(CI3:CI7)</f>
        <v>0</v>
      </c>
      <c r="CJ8" s="25" t="str">
        <f>SUM(CJ6:CJ7)</f>
        <v>#DIV/0!</v>
      </c>
      <c r="CK8" s="24" t="s">
        <v>13</v>
      </c>
      <c r="CL8" s="5">
        <f>SUM(CL3:CL7)</f>
        <v>0</v>
      </c>
      <c r="CM8" s="25" t="str">
        <f>SUM(CM6:CM7)</f>
        <v>#DIV/0!</v>
      </c>
      <c r="CN8" s="24" t="s">
        <v>13</v>
      </c>
      <c r="CO8" s="5">
        <f>SUM(CO3:CO7)</f>
        <v>0</v>
      </c>
      <c r="CP8" s="25" t="str">
        <f>SUM(CP6:CP7)</f>
        <v>#DIV/0!</v>
      </c>
      <c r="CQ8" s="24" t="s">
        <v>13</v>
      </c>
      <c r="CR8" s="5">
        <f>SUM(CR3:CR7)</f>
        <v>0</v>
      </c>
      <c r="CS8" s="25" t="str">
        <f>SUM(CS6:CS7)</f>
        <v>#DIV/0!</v>
      </c>
      <c r="CT8" s="26"/>
      <c r="CU8" s="26"/>
      <c r="CV8" s="26"/>
      <c r="CW8" s="26"/>
      <c r="CX8" s="26"/>
      <c r="CY8" s="26"/>
      <c r="CZ8" s="26"/>
      <c r="DA8" s="26"/>
      <c r="DB8" s="26"/>
      <c r="DC8" s="26"/>
      <c r="DD8" s="26"/>
      <c r="DE8" s="26"/>
      <c r="DF8" s="26"/>
    </row>
    <row r="9">
      <c r="A9" s="14" t="s">
        <v>33</v>
      </c>
      <c r="B9" s="19"/>
      <c r="C9" s="14" t="s">
        <v>34</v>
      </c>
      <c r="D9" s="14" t="s">
        <v>35</v>
      </c>
      <c r="E9" s="27" t="str">
        <f>IF((COLUMN(E9) - 2)/3 = INT((COLUMN(E9) - 2)/3), INDIRECT("R1C"&amp;CEILING(4 + COLUMN(E9)/3,1), FALSE), "")</f>
        <v>#REF!</v>
      </c>
      <c r="F9" s="28"/>
      <c r="G9" s="29"/>
      <c r="H9" s="27" t="str">
        <f>IF((COLUMN(H9) - 2)/3 = INT((COLUMN(H9) - 2)/3), INDIRECT("R1C"&amp;CEILING(4 + COLUMN(H9)/3,1), FALSE), "")</f>
        <v/>
      </c>
      <c r="I9" s="28"/>
      <c r="J9" s="29"/>
      <c r="K9" s="27" t="str">
        <f>IF((COLUMN(K9) - 2)/3 = INT((COLUMN(K9) - 2)/3), INDIRECT("R1C"&amp;CEILING(4 + COLUMN(K9)/3,1), FALSE), "")</f>
        <v/>
      </c>
      <c r="L9" s="28"/>
      <c r="M9" s="29"/>
      <c r="N9" s="27" t="str">
        <f>IF((COLUMN(N9) - 2)/3 = INT((COLUMN(N9) - 2)/3), INDIRECT("R1C"&amp;CEILING(4 + COLUMN(N9)/3,1), FALSE), "")</f>
        <v/>
      </c>
      <c r="O9" s="28"/>
      <c r="P9" s="29"/>
      <c r="Q9" s="27" t="str">
        <f>IF((COLUMN(Q9) - 2)/3 = INT((COLUMN(Q9) - 2)/3), INDIRECT("R1C"&amp;CEILING(4 + COLUMN(Q9)/3,1), FALSE), "")</f>
        <v/>
      </c>
      <c r="R9" s="28"/>
      <c r="S9" s="29"/>
      <c r="T9" s="27" t="str">
        <f>IF((COLUMN(T9) - 2)/3 = INT((COLUMN(T9) - 2)/3), INDIRECT("R1C"&amp;CEILING(4 + COLUMN(T9)/3,1), FALSE), "")</f>
        <v/>
      </c>
      <c r="U9" s="28"/>
      <c r="V9" s="29"/>
      <c r="W9" s="27" t="str">
        <f>IF((COLUMN(W9) - 2)/3 = INT((COLUMN(W9) - 2)/3), INDIRECT("R1C"&amp;CEILING(4 + COLUMN(W9)/3,1), FALSE), "")</f>
        <v/>
      </c>
      <c r="X9" s="28"/>
      <c r="Y9" s="29"/>
      <c r="Z9" s="27" t="str">
        <f>IF((COLUMN(Z9) - 2)/3 = INT((COLUMN(Z9) - 2)/3), INDIRECT("R1C"&amp;CEILING(4 + COLUMN(Z9)/3,1), FALSE), "")</f>
        <v/>
      </c>
      <c r="AA9" s="28"/>
      <c r="AB9" s="29"/>
      <c r="AC9" s="27" t="str">
        <f>IF((COLUMN(AC9) - 2)/3 = INT((COLUMN(AC9) - 2)/3), INDIRECT("R1C"&amp;CEILING(4 + COLUMN(AC9)/3,1), FALSE), "")</f>
        <v/>
      </c>
      <c r="AD9" s="28"/>
      <c r="AE9" s="29"/>
      <c r="AF9" s="27" t="str">
        <f>IF((COLUMN(AF9) - 2)/3 = INT((COLUMN(AF9) - 2)/3), INDIRECT("R1C"&amp;CEILING(4 + COLUMN(AF9)/3,1), FALSE), "")</f>
        <v/>
      </c>
      <c r="AG9" s="28"/>
      <c r="AH9" s="29"/>
      <c r="AI9" s="27" t="str">
        <f>IF((COLUMN(AI9) - 2)/3 = INT((COLUMN(AI9) - 2)/3), INDIRECT("R1C"&amp;CEILING(4 + COLUMN(AI9)/3,1), FALSE), "")</f>
        <v/>
      </c>
      <c r="AJ9" s="28"/>
      <c r="AK9" s="29"/>
      <c r="AL9" s="27" t="str">
        <f>IF((COLUMN(AL9) - 2)/3 = INT((COLUMN(AL9) - 2)/3), INDIRECT("R1C"&amp;CEILING(4 + COLUMN(AL9)/3,1), FALSE), "")</f>
        <v/>
      </c>
      <c r="AM9" s="28"/>
      <c r="AN9" s="29"/>
      <c r="AO9" s="27" t="str">
        <f>IF((COLUMN(AO9) - 2)/3 = INT((COLUMN(AO9) - 2)/3), INDIRECT("R1C"&amp;CEILING(4 + COLUMN(AO9)/3,1), FALSE), "")</f>
        <v/>
      </c>
      <c r="AP9" s="28"/>
      <c r="AQ9" s="29"/>
      <c r="AR9" s="27" t="str">
        <f>IF((COLUMN(AR9) - 2)/3 = INT((COLUMN(AR9) - 2)/3), INDIRECT("R1C"&amp;CEILING(4 + COLUMN(AR9)/3,1), FALSE), "")</f>
        <v/>
      </c>
      <c r="AS9" s="28"/>
      <c r="AT9" s="29"/>
      <c r="AU9" s="27" t="str">
        <f>IF((COLUMN(AU9) - 2)/3 = INT((COLUMN(AU9) - 2)/3), INDIRECT("R1C"&amp;CEILING(4 + COLUMN(AU9)/3,1), FALSE), "")</f>
        <v/>
      </c>
      <c r="AV9" s="28"/>
      <c r="AW9" s="29"/>
      <c r="AX9" s="27" t="str">
        <f>IF((COLUMN(AX9) - 2)/3 = INT((COLUMN(AX9) - 2)/3), INDIRECT("R1C"&amp;CEILING(4 + COLUMN(AX9)/3,1), FALSE), "")</f>
        <v/>
      </c>
      <c r="AY9" s="28"/>
      <c r="AZ9" s="29"/>
      <c r="BA9" s="27" t="str">
        <f>IF((COLUMN(BA9) - 2)/3 = INT((COLUMN(BA9) - 2)/3), INDIRECT("R1C"&amp;CEILING(4 + COLUMN(BA9)/3,1), FALSE), "")</f>
        <v/>
      </c>
      <c r="BB9" s="28"/>
      <c r="BC9" s="29"/>
      <c r="BD9" s="27" t="str">
        <f>IF((COLUMN(BD9) - 2)/3 = INT((COLUMN(BD9) - 2)/3), INDIRECT("R1C"&amp;CEILING(4 + COLUMN(BD9)/3,1), FALSE), "")</f>
        <v/>
      </c>
      <c r="BE9" s="28"/>
      <c r="BF9" s="29"/>
      <c r="BG9" s="27" t="str">
        <f>IF((COLUMN(BG9) - 2)/3 = INT((COLUMN(BG9) - 2)/3), INDIRECT("R1C"&amp;CEILING(4 + COLUMN(BG9)/3,1), FALSE), "")</f>
        <v/>
      </c>
      <c r="BH9" s="28"/>
      <c r="BI9" s="29"/>
      <c r="BJ9" s="27" t="str">
        <f>IF((COLUMN(BJ9) - 2)/3 = INT((COLUMN(BJ9) - 2)/3), INDIRECT("R1C"&amp;CEILING(4 + COLUMN(BJ9)/3,1), FALSE), "")</f>
        <v/>
      </c>
      <c r="BK9" s="28"/>
      <c r="BL9" s="29"/>
      <c r="BM9" s="27" t="str">
        <f>IF((COLUMN(BM9) - 2)/3 = INT((COLUMN(BM9) - 2)/3), INDIRECT("R1C"&amp;CEILING(4 + COLUMN(BM9)/3,1), FALSE), "")</f>
        <v/>
      </c>
      <c r="BN9" s="28"/>
      <c r="BO9" s="29"/>
      <c r="BP9" s="27" t="str">
        <f>IF((COLUMN(BP9) - 2)/3 = INT((COLUMN(BP9) - 2)/3), INDIRECT("R1C"&amp;CEILING(4 + COLUMN(BP9)/3,1), FALSE), "")</f>
        <v/>
      </c>
      <c r="BQ9" s="28"/>
      <c r="BR9" s="29"/>
      <c r="BS9" s="27" t="str">
        <f>IF((COLUMN(BS9) - 2)/3 = INT((COLUMN(BS9) - 2)/3), INDIRECT("R1C"&amp;CEILING(4 + COLUMN(BS9)/3,1), FALSE), "")</f>
        <v/>
      </c>
      <c r="BT9" s="28"/>
      <c r="BU9" s="29"/>
      <c r="BV9" s="27" t="str">
        <f>IF((COLUMN(BV9) - 2)/3 = INT((COLUMN(BV9) - 2)/3), INDIRECT("R1C"&amp;CEILING(4 + COLUMN(BV9)/3,1), FALSE), "")</f>
        <v/>
      </c>
      <c r="BW9" s="28"/>
      <c r="BX9" s="29"/>
      <c r="BY9" s="27" t="str">
        <f>IF((COLUMN(BY9) - 2)/3 = INT((COLUMN(BY9) - 2)/3), INDIRECT("R1C"&amp;CEILING(4 + COLUMN(BY9)/3,1), FALSE), "")</f>
        <v/>
      </c>
      <c r="BZ9" s="28"/>
      <c r="CA9" s="29"/>
      <c r="CB9" s="27" t="str">
        <f>IF((COLUMN(CB9) - 2)/3 = INT((COLUMN(CB9) - 2)/3), INDIRECT("R1C"&amp;CEILING(4 + COLUMN(CB9)/3,1), FALSE), "")</f>
        <v/>
      </c>
      <c r="CC9" s="28"/>
      <c r="CD9" s="29"/>
      <c r="CE9" s="27" t="str">
        <f>IF((COLUMN(CE9) - 2)/3 = INT((COLUMN(CE9) - 2)/3), INDIRECT("R1C"&amp;CEILING(4 + COLUMN(CE9)/3,1), FALSE), "")</f>
        <v/>
      </c>
      <c r="CF9" s="28"/>
      <c r="CG9" s="29"/>
      <c r="CH9" s="27" t="str">
        <f>IF((COLUMN(CH9) - 2)/3 = INT((COLUMN(CH9) - 2)/3), INDIRECT("R1C"&amp;CEILING(4 + COLUMN(CH9)/3,1), FALSE), "")</f>
        <v/>
      </c>
      <c r="CI9" s="28"/>
      <c r="CJ9" s="29"/>
      <c r="CK9" s="27" t="str">
        <f>IF((COLUMN(CK9) - 2)/3 = INT((COLUMN(CK9) - 2)/3), INDIRECT("R1C"&amp;CEILING(4 + COLUMN(CK9)/3,1), FALSE), "")</f>
        <v/>
      </c>
      <c r="CL9" s="28"/>
      <c r="CM9" s="29"/>
      <c r="CN9" s="27" t="str">
        <f>IF((COLUMN(CN9) - 2)/3 = INT((COLUMN(CN9) - 2)/3), INDIRECT("R1C"&amp;CEILING(4 + COLUMN(CN9)/3,1), FALSE), "")</f>
        <v/>
      </c>
      <c r="CO9" s="28"/>
      <c r="CP9" s="29"/>
      <c r="CQ9" s="27" t="str">
        <f>IF((COLUMN(CQ9) - 2)/3 = INT((COLUMN(CQ9) - 2)/3), INDIRECT("R1C"&amp;CEILING(4 + COLUMN(CQ9)/3,1), FALSE), "")</f>
        <v/>
      </c>
      <c r="CR9" s="28"/>
      <c r="CS9" s="29"/>
    </row>
    <row r="10">
      <c r="A10" s="19" t="s">
        <v>14</v>
      </c>
      <c r="B10" s="19" t="s">
        <v>36</v>
      </c>
      <c r="C10" s="30">
        <f>IFERROR(__xludf.DUMMYFUNCTION("SUM(FILTER($E3:DF3, (COLUMN($E3:DF3)) / 3 = ROUND((COLUMN($E3:DF3)) / 3), NOT(ISERROR($E3:DF3))))"),0.0)</f>
        <v>0</v>
      </c>
      <c r="D10" s="26" t="str">
        <f t="shared" ref="D10:D14" si="63">$C10/$C$15</f>
        <v>#DIV/0!</v>
      </c>
      <c r="E10" s="5" t="str">
        <f>IFERROR(__xludf.DUMMYFUNCTION("QUERY(INDIRECT($B$2&amp;""!$A$1:$F""), ""SELECT C, F WHERE D = """""" &amp; E9 &amp; """""""")"),"#REF!")</f>
        <v>#REF!</v>
      </c>
      <c r="H10" s="5" t="str">
        <f>IFERROR(__xludf.DUMMYFUNCTION("QUERY(INDIRECT($B$2&amp;""!$A$1:$F""), ""SELECT C, F WHERE D = """""" &amp; H9 &amp; """""""")"),"#REF!")</f>
        <v>#REF!</v>
      </c>
      <c r="K10" s="5" t="str">
        <f>IFERROR(__xludf.DUMMYFUNCTION("QUERY(INDIRECT($B$2&amp;""!$A$1:$F""), ""SELECT C, F WHERE D = """""" &amp; K9 &amp; """""""")"),"#REF!")</f>
        <v>#REF!</v>
      </c>
      <c r="N10" s="5" t="str">
        <f>IFERROR(__xludf.DUMMYFUNCTION("QUERY(INDIRECT($B$2&amp;""!$A$1:$F""), ""SELECT C, F WHERE D = """""" &amp; N9 &amp; """""""")"),"#REF!")</f>
        <v>#REF!</v>
      </c>
      <c r="Q10" s="5" t="str">
        <f>IFERROR(__xludf.DUMMYFUNCTION("QUERY(INDIRECT($B$2&amp;""!$A$1:$F""), ""SELECT C, F WHERE D = """""" &amp; Q9 &amp; """""""")"),"#REF!")</f>
        <v>#REF!</v>
      </c>
      <c r="T10" s="5" t="str">
        <f>IFERROR(__xludf.DUMMYFUNCTION("QUERY(INDIRECT($B$2&amp;""!$A$1:$F""), ""SELECT C, F WHERE D = """""" &amp; T9 &amp; """""""")"),"#REF!")</f>
        <v>#REF!</v>
      </c>
      <c r="W10" s="5" t="str">
        <f>IFERROR(__xludf.DUMMYFUNCTION("QUERY(INDIRECT($B$2&amp;""!$A$1:$F""), ""SELECT C, F WHERE D = """""" &amp; W9 &amp; """""""")"),"#REF!")</f>
        <v>#REF!</v>
      </c>
      <c r="Z10" s="5" t="str">
        <f>IFERROR(__xludf.DUMMYFUNCTION("QUERY(INDIRECT($B$2&amp;""!$A$1:$F""), ""SELECT C, F WHERE D = """""" &amp; Z9 &amp; """""""")"),"#REF!")</f>
        <v>#REF!</v>
      </c>
      <c r="AC10" s="5" t="str">
        <f>IFERROR(__xludf.DUMMYFUNCTION("QUERY(INDIRECT($B$2&amp;""!$A$1:$F""), ""SELECT C, F WHERE D = """""" &amp; AC9 &amp; """""""")"),"#REF!")</f>
        <v>#REF!</v>
      </c>
      <c r="AF10" s="5" t="str">
        <f>IFERROR(__xludf.DUMMYFUNCTION("QUERY(INDIRECT($B$2&amp;""!$A$1:$F""), ""SELECT C, F WHERE D = """""" &amp; AF9 &amp; """""""")"),"#REF!")</f>
        <v>#REF!</v>
      </c>
      <c r="AI10" s="5" t="str">
        <f>IFERROR(__xludf.DUMMYFUNCTION("QUERY(INDIRECT($B$2&amp;""!$A$1:$F""), ""SELECT C, F WHERE D = """""" &amp; AI9 &amp; """""""")"),"#REF!")</f>
        <v>#REF!</v>
      </c>
      <c r="AL10" s="5" t="str">
        <f>IFERROR(__xludf.DUMMYFUNCTION("QUERY(INDIRECT($B$2&amp;""!$A$1:$F""), ""SELECT C, F WHERE D = """""" &amp; AL9 &amp; """""""")"),"#REF!")</f>
        <v>#REF!</v>
      </c>
      <c r="AO10" s="5" t="str">
        <f>IFERROR(__xludf.DUMMYFUNCTION("QUERY(INDIRECT($B$2&amp;""!$A$1:$F""), ""SELECT C, F WHERE D = """""" &amp; AO9 &amp; """""""")"),"#REF!")</f>
        <v>#REF!</v>
      </c>
      <c r="AR10" s="5" t="str">
        <f>IFERROR(__xludf.DUMMYFUNCTION("QUERY(INDIRECT($B$2&amp;""!$A$1:$F""), ""SELECT C, F WHERE D = """""" &amp; AR9 &amp; """""""")"),"#REF!")</f>
        <v>#REF!</v>
      </c>
      <c r="AU10" s="5" t="str">
        <f>IFERROR(__xludf.DUMMYFUNCTION("QUERY(INDIRECT($B$2&amp;""!$A$1:$F""), ""SELECT C, F WHERE D = """""" &amp; AU9 &amp; """""""")"),"#REF!")</f>
        <v>#REF!</v>
      </c>
      <c r="AX10" s="5" t="str">
        <f>IFERROR(__xludf.DUMMYFUNCTION("QUERY(INDIRECT($B$2&amp;""!$A$1:$F""), ""SELECT C, F WHERE D = """""" &amp; AX9 &amp; """""""")"),"#REF!")</f>
        <v>#REF!</v>
      </c>
      <c r="BA10" s="5" t="str">
        <f>IFERROR(__xludf.DUMMYFUNCTION("QUERY(INDIRECT($B$2&amp;""!$A$1:$F""), ""SELECT C, F WHERE D = """""" &amp; BA9 &amp; """""""")"),"#REF!")</f>
        <v>#REF!</v>
      </c>
      <c r="BD10" s="5" t="str">
        <f>IFERROR(__xludf.DUMMYFUNCTION("QUERY(INDIRECT($B$2&amp;""!$A$1:$F""), ""SELECT C, F WHERE D = """""" &amp; BD9 &amp; """""""")"),"#REF!")</f>
        <v>#REF!</v>
      </c>
      <c r="BG10" s="5" t="str">
        <f>IFERROR(__xludf.DUMMYFUNCTION("QUERY(INDIRECT($B$2&amp;""!$A$1:$F""), ""SELECT C, F WHERE D = """""" &amp; BG9 &amp; """""""")"),"#REF!")</f>
        <v>#REF!</v>
      </c>
      <c r="BJ10" s="5" t="str">
        <f>IFERROR(__xludf.DUMMYFUNCTION("QUERY(INDIRECT($B$2&amp;""!$A$1:$F""), ""SELECT C, F WHERE D = """""" &amp; BJ9 &amp; """""""")"),"#REF!")</f>
        <v>#REF!</v>
      </c>
      <c r="BM10" s="5" t="str">
        <f>IFERROR(__xludf.DUMMYFUNCTION("QUERY(INDIRECT($B$2&amp;""!$A$1:$F""), ""SELECT C, F WHERE D = """""" &amp; BM9 &amp; """""""")"),"#REF!")</f>
        <v>#REF!</v>
      </c>
      <c r="BP10" s="5" t="str">
        <f>IFERROR(__xludf.DUMMYFUNCTION("QUERY(INDIRECT($B$2&amp;""!$A$1:$F""), ""SELECT C, F WHERE D = """""" &amp; BP9 &amp; """""""")"),"#REF!")</f>
        <v>#REF!</v>
      </c>
      <c r="BS10" s="5" t="str">
        <f>IFERROR(__xludf.DUMMYFUNCTION("QUERY(INDIRECT($B$2&amp;""!$A$1:$F""), ""SELECT C, F WHERE D = """""" &amp; BS9 &amp; """""""")"),"#REF!")</f>
        <v>#REF!</v>
      </c>
      <c r="BV10" s="5" t="str">
        <f>IFERROR(__xludf.DUMMYFUNCTION("QUERY(INDIRECT($B$2&amp;""!$A$1:$F""), ""SELECT C, F WHERE D = """""" &amp; BV9 &amp; """""""")"),"#REF!")</f>
        <v>#REF!</v>
      </c>
      <c r="BY10" s="5" t="str">
        <f>IFERROR(__xludf.DUMMYFUNCTION("QUERY(INDIRECT($B$2&amp;""!$A$1:$F""), ""SELECT C, F WHERE D = """""" &amp; BY9 &amp; """""""")"),"#REF!")</f>
        <v>#REF!</v>
      </c>
      <c r="CB10" s="5" t="str">
        <f>IFERROR(__xludf.DUMMYFUNCTION("QUERY(INDIRECT($B$2&amp;""!$A$1:$F""), ""SELECT C, F WHERE D = """""" &amp; CB9 &amp; """""""")"),"#REF!")</f>
        <v>#REF!</v>
      </c>
      <c r="CE10" s="5" t="str">
        <f>IFERROR(__xludf.DUMMYFUNCTION("QUERY(INDIRECT($B$2&amp;""!$A$1:$F""), ""SELECT C, F WHERE D = """""" &amp; CE9 &amp; """""""")"),"#REF!")</f>
        <v>#REF!</v>
      </c>
      <c r="CH10" s="5" t="str">
        <f>IFERROR(__xludf.DUMMYFUNCTION("QUERY(INDIRECT($B$2&amp;""!$A$1:$F""), ""SELECT C, F WHERE D = """""" &amp; CH9 &amp; """""""")"),"#REF!")</f>
        <v>#REF!</v>
      </c>
      <c r="CK10" s="5" t="str">
        <f>IFERROR(__xludf.DUMMYFUNCTION("QUERY(INDIRECT($B$2&amp;""!$A$1:$F""), ""SELECT C, F WHERE D = """""" &amp; CK9 &amp; """""""")"),"#REF!")</f>
        <v>#REF!</v>
      </c>
      <c r="CN10" s="5" t="str">
        <f>IFERROR(__xludf.DUMMYFUNCTION("QUERY(INDIRECT($B$2&amp;""!$A$1:$F""), ""SELECT C, F WHERE D = """""" &amp; CN9 &amp; """""""")"),"#REF!")</f>
        <v>#REF!</v>
      </c>
      <c r="CQ10" s="5" t="str">
        <f>IFERROR(__xludf.DUMMYFUNCTION("QUERY(INDIRECT($B$2&amp;""!$A$1:$F""), ""SELECT C, F WHERE D = """""" &amp; CQ9 &amp; """""""")"),"#REF!")</f>
        <v>#REF!</v>
      </c>
    </row>
    <row r="11">
      <c r="A11" s="19" t="s">
        <v>15</v>
      </c>
      <c r="B11" s="19" t="s">
        <v>37</v>
      </c>
      <c r="C11" s="30">
        <f>IFERROR(__xludf.DUMMYFUNCTION("SUM(FILTER($E4:DF4, (COLUMN($E4:DF4)) / 3 = ROUND((COLUMN($E4:DF4)) / 3), NOT(ISERROR($E4:DF4))))"),0.0)</f>
        <v>0</v>
      </c>
      <c r="D11" s="26" t="str">
        <f t="shared" si="63"/>
        <v>#DIV/0!</v>
      </c>
      <c r="G11" s="5"/>
      <c r="J11" s="5"/>
      <c r="M11" s="5"/>
      <c r="P11" s="5"/>
      <c r="S11" s="5"/>
      <c r="V11" s="5"/>
      <c r="Y11" s="5"/>
      <c r="AB11" s="5"/>
      <c r="AE11" s="5"/>
      <c r="AH11" s="5"/>
      <c r="AK11" s="5"/>
      <c r="AN11" s="5"/>
      <c r="AQ11" s="5"/>
      <c r="AT11" s="5"/>
      <c r="AW11" s="5"/>
      <c r="AZ11" s="5"/>
      <c r="BC11" s="5"/>
      <c r="BF11" s="5"/>
      <c r="BI11" s="5"/>
      <c r="BL11" s="5"/>
      <c r="BO11" s="5"/>
      <c r="BR11" s="5"/>
      <c r="BU11" s="5"/>
      <c r="BX11" s="5"/>
      <c r="CA11" s="5"/>
      <c r="CD11" s="5"/>
      <c r="CG11" s="5"/>
      <c r="CJ11" s="5"/>
      <c r="CM11" s="5"/>
      <c r="CP11" s="5"/>
      <c r="CS11" s="5"/>
      <c r="CT11" s="5"/>
      <c r="CU11" s="5"/>
      <c r="CV11" s="5"/>
      <c r="CW11" s="5"/>
      <c r="CX11" s="5"/>
      <c r="CY11" s="5"/>
      <c r="CZ11" s="5"/>
      <c r="DA11" s="5"/>
      <c r="DB11" s="5"/>
      <c r="DC11" s="5"/>
      <c r="DD11" s="5"/>
      <c r="DE11" s="5"/>
      <c r="DF11" s="5"/>
    </row>
    <row r="12">
      <c r="A12" s="19" t="s">
        <v>16</v>
      </c>
      <c r="B12" s="19" t="s">
        <v>38</v>
      </c>
      <c r="C12" s="30">
        <f>IFERROR(__xludf.DUMMYFUNCTION("SUM(FILTER($E5:DF5, (COLUMN($E5:DF5)) / 3 = ROUND((COLUMN($E5:DF5)) / 3), NOT(ISERROR($E5:DF5))))"),0.0)</f>
        <v>0</v>
      </c>
      <c r="D12" s="26" t="str">
        <f t="shared" si="63"/>
        <v>#DIV/0!</v>
      </c>
      <c r="G12" s="5"/>
      <c r="J12" s="5"/>
      <c r="M12" s="5"/>
      <c r="P12" s="5"/>
      <c r="S12" s="5"/>
      <c r="V12" s="5"/>
      <c r="Y12" s="5"/>
      <c r="AB12" s="5"/>
      <c r="AE12" s="5"/>
      <c r="AH12" s="5"/>
      <c r="AK12" s="5"/>
      <c r="AN12" s="5"/>
      <c r="AQ12" s="5"/>
      <c r="AT12" s="5"/>
      <c r="AW12" s="5"/>
      <c r="AZ12" s="5"/>
      <c r="BC12" s="5"/>
      <c r="BF12" s="5"/>
      <c r="BI12" s="5"/>
      <c r="BL12" s="5"/>
      <c r="BO12" s="5"/>
      <c r="BR12" s="5"/>
      <c r="BU12" s="5"/>
      <c r="BX12" s="5"/>
      <c r="CA12" s="5"/>
      <c r="CD12" s="5"/>
      <c r="CG12" s="5"/>
      <c r="CJ12" s="5"/>
      <c r="CM12" s="5"/>
      <c r="CP12" s="5"/>
      <c r="CS12" s="5"/>
      <c r="CT12" s="5"/>
      <c r="CU12" s="5"/>
      <c r="CV12" s="5"/>
      <c r="CW12" s="5"/>
      <c r="CX12" s="5"/>
      <c r="CY12" s="5"/>
      <c r="CZ12" s="5"/>
      <c r="DA12" s="5"/>
      <c r="DB12" s="5"/>
      <c r="DC12" s="5"/>
      <c r="DD12" s="5"/>
      <c r="DE12" s="5"/>
      <c r="DF12" s="5"/>
    </row>
    <row r="13">
      <c r="A13" s="19" t="s">
        <v>17</v>
      </c>
      <c r="B13" s="19" t="s">
        <v>39</v>
      </c>
      <c r="C13" s="30">
        <f>IFERROR(__xludf.DUMMYFUNCTION("SUM(FILTER($E6:DF6, (COLUMN($E6:DF6)) / 3 = ROUND((COLUMN($E6:DF6)) / 3), NOT(ISERROR($E6:DF6))))"),0.0)</f>
        <v>0</v>
      </c>
      <c r="D13" s="26" t="str">
        <f t="shared" si="63"/>
        <v>#DIV/0!</v>
      </c>
      <c r="G13" s="5"/>
      <c r="J13" s="5"/>
      <c r="M13" s="5"/>
      <c r="P13" s="5"/>
      <c r="S13" s="5"/>
      <c r="V13" s="5"/>
      <c r="Y13" s="5"/>
      <c r="AB13" s="5"/>
      <c r="AE13" s="5"/>
      <c r="AH13" s="5"/>
      <c r="AK13" s="5"/>
      <c r="AN13" s="5"/>
      <c r="AQ13" s="5"/>
      <c r="AT13" s="5"/>
      <c r="AW13" s="5"/>
      <c r="AZ13" s="5"/>
      <c r="BC13" s="5"/>
      <c r="BF13" s="5"/>
      <c r="BI13" s="5"/>
      <c r="BL13" s="5"/>
      <c r="BO13" s="5"/>
      <c r="BR13" s="5"/>
      <c r="BU13" s="5"/>
      <c r="BX13" s="5"/>
      <c r="CA13" s="5"/>
      <c r="CD13" s="5"/>
      <c r="CG13" s="5"/>
      <c r="CJ13" s="5"/>
      <c r="CM13" s="5"/>
      <c r="CP13" s="5"/>
      <c r="CS13" s="5"/>
      <c r="CT13" s="5"/>
      <c r="CU13" s="5"/>
      <c r="CV13" s="5"/>
      <c r="CW13" s="5"/>
      <c r="CX13" s="5"/>
      <c r="CY13" s="5"/>
      <c r="CZ13" s="5"/>
      <c r="DA13" s="5"/>
      <c r="DB13" s="5"/>
      <c r="DC13" s="5"/>
      <c r="DD13" s="5"/>
      <c r="DE13" s="5"/>
      <c r="DF13" s="5"/>
    </row>
    <row r="14">
      <c r="A14" s="19" t="s">
        <v>18</v>
      </c>
      <c r="B14" s="19" t="s">
        <v>40</v>
      </c>
      <c r="C14" s="30">
        <f>IFERROR(__xludf.DUMMYFUNCTION("SUM(FILTER($E7:DF7, (COLUMN($E7:DF7)) / 3 = ROUND((COLUMN($E7:DF7)) / 3), NOT(ISERROR($E7:DF7))))"),0.0)</f>
        <v>0</v>
      </c>
      <c r="D14" s="26" t="str">
        <f t="shared" si="63"/>
        <v>#DIV/0!</v>
      </c>
      <c r="G14" s="5"/>
      <c r="J14" s="5"/>
      <c r="M14" s="5"/>
      <c r="P14" s="5"/>
      <c r="S14" s="5"/>
      <c r="V14" s="5"/>
      <c r="Y14" s="5"/>
      <c r="AB14" s="5"/>
      <c r="AE14" s="5"/>
      <c r="AH14" s="5"/>
      <c r="AK14" s="5"/>
      <c r="AN14" s="5"/>
      <c r="AQ14" s="5"/>
      <c r="AT14" s="5"/>
      <c r="AW14" s="5"/>
      <c r="AZ14" s="5"/>
      <c r="BC14" s="5"/>
      <c r="BF14" s="5"/>
      <c r="BI14" s="5"/>
      <c r="BL14" s="5"/>
      <c r="BO14" s="5"/>
      <c r="BR14" s="5"/>
      <c r="BU14" s="5"/>
      <c r="BX14" s="5"/>
      <c r="CA14" s="5"/>
      <c r="CD14" s="5"/>
      <c r="CG14" s="5"/>
      <c r="CJ14" s="5"/>
      <c r="CM14" s="5"/>
      <c r="CP14" s="5"/>
      <c r="CS14" s="5"/>
      <c r="CT14" s="5"/>
      <c r="CU14" s="5"/>
      <c r="CV14" s="5"/>
      <c r="CW14" s="5"/>
      <c r="CX14" s="5"/>
      <c r="CY14" s="5"/>
      <c r="CZ14" s="5"/>
      <c r="DA14" s="5"/>
      <c r="DB14" s="5"/>
      <c r="DC14" s="5"/>
      <c r="DD14" s="5"/>
      <c r="DE14" s="5"/>
      <c r="DF14" s="5"/>
    </row>
    <row r="15">
      <c r="A15" s="19"/>
      <c r="B15" s="14" t="s">
        <v>41</v>
      </c>
      <c r="C15" s="31">
        <f t="shared" ref="C15:D15" si="64">SUM(C10:C14)</f>
        <v>0</v>
      </c>
      <c r="D15" s="21" t="str">
        <f t="shared" si="64"/>
        <v>#DIV/0!</v>
      </c>
      <c r="G15" s="5"/>
      <c r="J15" s="5"/>
      <c r="M15" s="5"/>
      <c r="P15" s="5"/>
      <c r="S15" s="5"/>
      <c r="V15" s="5"/>
      <c r="Y15" s="5"/>
      <c r="AB15" s="5"/>
      <c r="AE15" s="5"/>
      <c r="AH15" s="5"/>
      <c r="AK15" s="5"/>
      <c r="AN15" s="5"/>
      <c r="AQ15" s="5"/>
      <c r="AT15" s="5"/>
      <c r="AW15" s="5"/>
      <c r="AZ15" s="5"/>
      <c r="BC15" s="5"/>
      <c r="BF15" s="5"/>
      <c r="BI15" s="5"/>
      <c r="BL15" s="5"/>
      <c r="BO15" s="5"/>
      <c r="BR15" s="5"/>
      <c r="BU15" s="5"/>
      <c r="BX15" s="5"/>
      <c r="CA15" s="5"/>
      <c r="CD15" s="5"/>
      <c r="CG15" s="5"/>
      <c r="CJ15" s="5"/>
      <c r="CM15" s="5"/>
      <c r="CP15" s="5"/>
      <c r="CS15" s="5"/>
      <c r="CT15" s="5"/>
      <c r="CU15" s="5"/>
      <c r="CV15" s="5"/>
      <c r="CW15" s="5"/>
      <c r="CX15" s="5"/>
      <c r="CY15" s="5"/>
      <c r="CZ15" s="5"/>
      <c r="DA15" s="5"/>
      <c r="DB15" s="5"/>
      <c r="DC15" s="5"/>
      <c r="DD15" s="5"/>
      <c r="DE15" s="5"/>
      <c r="DF15" s="5"/>
    </row>
    <row r="16">
      <c r="A16" s="19"/>
      <c r="B16" s="32" t="s">
        <v>42</v>
      </c>
      <c r="D16" s="26" t="str">
        <f>IFERROR(__xludf.DUMMYFUNCTION("AVERAGE(FILTER($E8:DF8, (COLUMN($E8:DF8) - 1) / 3 = ROUND((COLUMN($E8:DF8) - 1) / 3), NOT(ISERROR($E8:DF8))))"),"#DIV/0!")</f>
        <v>#DIV/0!</v>
      </c>
      <c r="G16" s="5"/>
      <c r="J16" s="5"/>
      <c r="M16" s="5"/>
      <c r="P16" s="5"/>
      <c r="S16" s="5"/>
      <c r="V16" s="5"/>
      <c r="Y16" s="5"/>
      <c r="AB16" s="5"/>
      <c r="AE16" s="5"/>
      <c r="AH16" s="5"/>
      <c r="AK16" s="5"/>
      <c r="AN16" s="5"/>
      <c r="AQ16" s="5"/>
      <c r="AT16" s="5"/>
      <c r="AW16" s="5"/>
      <c r="AZ16" s="5"/>
      <c r="BC16" s="5"/>
      <c r="BF16" s="5"/>
      <c r="BI16" s="5"/>
      <c r="BL16" s="5"/>
      <c r="BO16" s="5"/>
      <c r="BR16" s="5"/>
      <c r="BU16" s="5"/>
      <c r="BX16" s="5"/>
      <c r="CA16" s="5"/>
      <c r="CD16" s="5"/>
      <c r="CG16" s="5"/>
      <c r="CJ16" s="5"/>
      <c r="CM16" s="5"/>
      <c r="CP16" s="5"/>
      <c r="CS16" s="5"/>
      <c r="CT16" s="5"/>
      <c r="CU16" s="5"/>
      <c r="CV16" s="5"/>
      <c r="CW16" s="5"/>
      <c r="CX16" s="5"/>
      <c r="CY16" s="5"/>
      <c r="CZ16" s="5"/>
      <c r="DA16" s="5"/>
      <c r="DB16" s="5"/>
      <c r="DC16" s="5"/>
      <c r="DD16" s="5"/>
      <c r="DE16" s="5"/>
      <c r="DF16" s="5"/>
    </row>
    <row r="17">
      <c r="B17" s="1" t="s">
        <v>43</v>
      </c>
      <c r="D17" s="5" t="str">
        <f>SUM(D13:D14)</f>
        <v>#DIV/0!</v>
      </c>
      <c r="G17" s="5"/>
      <c r="J17" s="5"/>
      <c r="M17" s="5"/>
      <c r="P17" s="5"/>
      <c r="S17" s="5"/>
      <c r="V17" s="5"/>
      <c r="Y17" s="5"/>
      <c r="AB17" s="5"/>
      <c r="AE17" s="5"/>
      <c r="AH17" s="5"/>
      <c r="AK17" s="5"/>
      <c r="AN17" s="5"/>
      <c r="AQ17" s="5"/>
      <c r="AT17" s="5"/>
      <c r="AW17" s="5"/>
      <c r="AZ17" s="5"/>
      <c r="BC17" s="5"/>
      <c r="BF17" s="5"/>
      <c r="BI17" s="5"/>
      <c r="BL17" s="5"/>
      <c r="BO17" s="5"/>
      <c r="BR17" s="5"/>
      <c r="BU17" s="5"/>
      <c r="BX17" s="5"/>
      <c r="CA17" s="5"/>
      <c r="CD17" s="5"/>
      <c r="CG17" s="5"/>
      <c r="CJ17" s="5"/>
      <c r="CM17" s="5"/>
      <c r="CP17" s="5"/>
      <c r="CS17" s="5"/>
      <c r="CT17" s="5"/>
      <c r="CU17" s="5"/>
      <c r="CV17" s="5"/>
      <c r="CW17" s="5"/>
      <c r="CX17" s="5"/>
      <c r="CY17" s="5"/>
      <c r="CZ17" s="5"/>
      <c r="DA17" s="5"/>
      <c r="DB17" s="5"/>
      <c r="DC17" s="5"/>
      <c r="DD17" s="5"/>
      <c r="DE17" s="5"/>
      <c r="DF17" s="5"/>
    </row>
    <row r="18">
      <c r="A18" s="14" t="s">
        <v>44</v>
      </c>
      <c r="B18" s="33" t="s">
        <v>45</v>
      </c>
      <c r="G18" s="5"/>
      <c r="J18" s="5"/>
      <c r="M18" s="5"/>
      <c r="P18" s="5"/>
      <c r="S18" s="5"/>
      <c r="V18" s="5"/>
      <c r="Y18" s="5"/>
      <c r="AB18" s="5"/>
      <c r="AE18" s="5"/>
      <c r="AH18" s="5"/>
      <c r="AK18" s="5"/>
      <c r="AN18" s="5"/>
      <c r="AQ18" s="5"/>
      <c r="AT18" s="5"/>
      <c r="AW18" s="5"/>
      <c r="AZ18" s="5"/>
      <c r="BC18" s="5"/>
      <c r="BF18" s="5"/>
      <c r="BI18" s="5"/>
      <c r="BL18" s="5"/>
      <c r="BO18" s="5"/>
      <c r="BR18" s="5"/>
      <c r="BU18" s="5"/>
      <c r="BX18" s="5"/>
      <c r="CA18" s="5"/>
      <c r="CD18" s="5"/>
      <c r="CG18" s="5"/>
      <c r="CJ18" s="5"/>
      <c r="CM18" s="5"/>
      <c r="CP18" s="5"/>
      <c r="CS18" s="5"/>
      <c r="CT18" s="5"/>
      <c r="CU18" s="5"/>
      <c r="CV18" s="5"/>
      <c r="CW18" s="5"/>
      <c r="CX18" s="5"/>
      <c r="CY18" s="5"/>
      <c r="CZ18" s="5"/>
      <c r="DA18" s="5"/>
      <c r="DB18" s="5"/>
      <c r="DC18" s="5"/>
      <c r="DD18" s="5"/>
      <c r="DE18" s="5"/>
      <c r="DF18" s="5"/>
    </row>
    <row r="19">
      <c r="A19" s="14" t="s">
        <v>46</v>
      </c>
      <c r="C19" s="14" t="s">
        <v>34</v>
      </c>
      <c r="D19" s="14" t="s">
        <v>35</v>
      </c>
      <c r="G19" s="5"/>
      <c r="J19" s="5"/>
      <c r="M19" s="5"/>
      <c r="P19" s="5"/>
      <c r="S19" s="5"/>
      <c r="V19" s="5"/>
      <c r="Y19" s="5"/>
      <c r="AB19" s="5"/>
      <c r="AE19" s="5"/>
      <c r="AH19" s="5"/>
      <c r="AK19" s="5"/>
      <c r="AN19" s="5"/>
      <c r="AQ19" s="5"/>
      <c r="AT19" s="5"/>
      <c r="AW19" s="5"/>
      <c r="AZ19" s="5"/>
      <c r="BC19" s="5"/>
      <c r="BF19" s="5"/>
      <c r="BI19" s="5"/>
      <c r="BL19" s="5"/>
      <c r="BO19" s="5"/>
      <c r="BR19" s="5"/>
      <c r="BU19" s="5"/>
      <c r="BX19" s="5"/>
      <c r="CA19" s="5"/>
      <c r="CD19" s="5"/>
      <c r="CG19" s="5"/>
      <c r="CJ19" s="5"/>
      <c r="CM19" s="5"/>
      <c r="CP19" s="5"/>
      <c r="CS19" s="5"/>
      <c r="CT19" s="5"/>
      <c r="CU19" s="5"/>
      <c r="CV19" s="5"/>
      <c r="CW19" s="5"/>
      <c r="CX19" s="5"/>
      <c r="CY19" s="5"/>
      <c r="CZ19" s="5"/>
      <c r="DA19" s="5"/>
      <c r="DB19" s="5"/>
      <c r="DC19" s="5"/>
      <c r="DD19" s="5"/>
      <c r="DE19" s="5"/>
      <c r="DF19" s="5"/>
    </row>
    <row r="20">
      <c r="A20" s="19" t="s">
        <v>47</v>
      </c>
      <c r="B20" s="19" t="s">
        <v>48</v>
      </c>
      <c r="C20" s="21">
        <f t="shared" ref="C20:C23" si="65">COUNTIF($A$26:$A1007, A20)</f>
        <v>2</v>
      </c>
      <c r="D20" s="26">
        <f>IFERROR(__xludf.DUMMYFUNCTION("IF(C20, COUNTIF(FILTER($D$26:$D1007, $A$26:$A1007=A20), TRUE)/C20, 0)"),0.0)</f>
        <v>0</v>
      </c>
      <c r="G20" s="5"/>
      <c r="J20" s="5"/>
      <c r="M20" s="5"/>
      <c r="P20" s="5"/>
      <c r="S20" s="5"/>
      <c r="V20" s="5"/>
      <c r="Y20" s="5"/>
      <c r="AB20" s="5"/>
      <c r="AE20" s="5"/>
      <c r="AH20" s="5"/>
      <c r="AK20" s="5"/>
      <c r="AN20" s="5"/>
      <c r="AQ20" s="5"/>
      <c r="AT20" s="5"/>
      <c r="AW20" s="5"/>
      <c r="AZ20" s="5"/>
      <c r="BC20" s="5"/>
      <c r="BF20" s="5"/>
      <c r="BI20" s="5"/>
      <c r="BL20" s="5"/>
      <c r="BO20" s="5"/>
      <c r="BR20" s="5"/>
      <c r="BU20" s="5"/>
      <c r="BX20" s="5"/>
      <c r="CA20" s="5"/>
      <c r="CD20" s="5"/>
      <c r="CG20" s="5"/>
      <c r="CJ20" s="5"/>
      <c r="CM20" s="5"/>
      <c r="CP20" s="5"/>
      <c r="CS20" s="5"/>
      <c r="CT20" s="5"/>
      <c r="CU20" s="5"/>
      <c r="CV20" s="5"/>
      <c r="CW20" s="5"/>
      <c r="CX20" s="5"/>
      <c r="CY20" s="5"/>
      <c r="CZ20" s="5"/>
      <c r="DA20" s="5"/>
      <c r="DB20" s="5"/>
      <c r="DC20" s="5"/>
      <c r="DD20" s="5"/>
      <c r="DE20" s="5"/>
      <c r="DF20" s="5"/>
    </row>
    <row r="21">
      <c r="A21" s="19" t="s">
        <v>49</v>
      </c>
      <c r="B21" s="19" t="s">
        <v>50</v>
      </c>
      <c r="C21" s="21">
        <f t="shared" si="65"/>
        <v>2</v>
      </c>
      <c r="D21" s="26">
        <f>IFERROR(__xludf.DUMMYFUNCTION("IF(C21, COUNTIF(FILTER($D$26:$D1007, $A$26:$A1007=A21), TRUE)/C21, 0)"),0.0)</f>
        <v>0</v>
      </c>
      <c r="G21" s="5"/>
      <c r="J21" s="5"/>
      <c r="M21" s="5"/>
      <c r="P21" s="5"/>
      <c r="S21" s="5"/>
      <c r="V21" s="5"/>
      <c r="Y21" s="5"/>
      <c r="AB21" s="5"/>
      <c r="AE21" s="5"/>
      <c r="AH21" s="5"/>
      <c r="AK21" s="5"/>
      <c r="AN21" s="5"/>
      <c r="AQ21" s="5"/>
      <c r="AT21" s="5"/>
      <c r="AW21" s="5"/>
      <c r="AZ21" s="5"/>
      <c r="BC21" s="5"/>
      <c r="BF21" s="5"/>
      <c r="BI21" s="5"/>
      <c r="BL21" s="5"/>
      <c r="BO21" s="5"/>
      <c r="BR21" s="5"/>
      <c r="BU21" s="5"/>
      <c r="BX21" s="5"/>
      <c r="CA21" s="5"/>
      <c r="CD21" s="5"/>
      <c r="CG21" s="5"/>
      <c r="CJ21" s="5"/>
      <c r="CM21" s="5"/>
      <c r="CP21" s="5"/>
      <c r="CS21" s="5"/>
      <c r="CT21" s="5"/>
      <c r="CU21" s="5"/>
      <c r="CV21" s="5"/>
      <c r="CW21" s="5"/>
      <c r="CX21" s="5"/>
      <c r="CY21" s="5"/>
      <c r="CZ21" s="5"/>
      <c r="DA21" s="5"/>
      <c r="DB21" s="5"/>
      <c r="DC21" s="5"/>
      <c r="DD21" s="5"/>
      <c r="DE21" s="5"/>
      <c r="DF21" s="5"/>
    </row>
    <row r="22">
      <c r="A22" s="19" t="s">
        <v>51</v>
      </c>
      <c r="B22" s="19" t="s">
        <v>52</v>
      </c>
      <c r="C22" s="21">
        <f t="shared" si="65"/>
        <v>4</v>
      </c>
      <c r="D22" s="26">
        <f>IFERROR(__xludf.DUMMYFUNCTION("IF(C22, COUNTIF(FILTER($D$26:$D1007, $A$26:$A1007=A22), TRUE)/C22, 0)"),0.0)</f>
        <v>0</v>
      </c>
      <c r="G22" s="5"/>
      <c r="J22" s="5"/>
      <c r="M22" s="5"/>
      <c r="P22" s="5"/>
      <c r="S22" s="5"/>
      <c r="V22" s="5"/>
      <c r="Y22" s="5"/>
      <c r="AB22" s="5"/>
      <c r="AE22" s="5"/>
      <c r="AH22" s="5"/>
      <c r="AK22" s="5"/>
      <c r="AN22" s="5"/>
      <c r="AQ22" s="5"/>
      <c r="AT22" s="5"/>
      <c r="AW22" s="5"/>
      <c r="AZ22" s="5"/>
      <c r="BC22" s="5"/>
      <c r="BF22" s="5"/>
      <c r="BI22" s="5"/>
      <c r="BL22" s="5"/>
      <c r="BO22" s="5"/>
      <c r="BR22" s="5"/>
      <c r="BU22" s="5"/>
      <c r="BX22" s="5"/>
      <c r="CA22" s="5"/>
      <c r="CD22" s="5"/>
      <c r="CG22" s="5"/>
      <c r="CJ22" s="5"/>
      <c r="CM22" s="5"/>
      <c r="CP22" s="5"/>
      <c r="CS22" s="5"/>
      <c r="CT22" s="5"/>
      <c r="CU22" s="5"/>
      <c r="CV22" s="5"/>
      <c r="CW22" s="5"/>
      <c r="CX22" s="5"/>
      <c r="CY22" s="5"/>
      <c r="CZ22" s="5"/>
      <c r="DA22" s="5"/>
      <c r="DB22" s="5"/>
      <c r="DC22" s="5"/>
      <c r="DD22" s="5"/>
      <c r="DE22" s="5"/>
      <c r="DF22" s="5"/>
    </row>
    <row r="23">
      <c r="A23" s="19" t="s">
        <v>53</v>
      </c>
      <c r="B23" s="19" t="s">
        <v>54</v>
      </c>
      <c r="C23" s="21">
        <f t="shared" si="65"/>
        <v>7</v>
      </c>
      <c r="D23" s="26">
        <f>IFERROR(__xludf.DUMMYFUNCTION("IF(C23, COUNTIF(FILTER($D$26:$D1007, $A$26:$A1007=A23), TRUE)/C23, 0)"),0.0)</f>
        <v>0</v>
      </c>
      <c r="G23" s="5"/>
      <c r="J23" s="5"/>
      <c r="M23" s="5"/>
      <c r="P23" s="5"/>
      <c r="S23" s="5"/>
      <c r="V23" s="5"/>
      <c r="Y23" s="5"/>
      <c r="AB23" s="5"/>
      <c r="AE23" s="5"/>
      <c r="AH23" s="5"/>
      <c r="AK23" s="5"/>
      <c r="AN23" s="5"/>
      <c r="AQ23" s="5"/>
      <c r="AT23" s="5"/>
      <c r="AW23" s="5"/>
      <c r="AZ23" s="5"/>
      <c r="BC23" s="5"/>
      <c r="BF23" s="5"/>
      <c r="BI23" s="5"/>
      <c r="BL23" s="5"/>
      <c r="BO23" s="5"/>
      <c r="BR23" s="5"/>
      <c r="BU23" s="5"/>
      <c r="BX23" s="5"/>
      <c r="CA23" s="5"/>
      <c r="CD23" s="5"/>
      <c r="CG23" s="5"/>
      <c r="CJ23" s="5"/>
      <c r="CM23" s="5"/>
      <c r="CP23" s="5"/>
      <c r="CS23" s="5"/>
      <c r="CT23" s="5"/>
      <c r="CU23" s="5"/>
      <c r="CV23" s="5"/>
      <c r="CW23" s="5"/>
      <c r="CX23" s="5"/>
      <c r="CY23" s="5"/>
      <c r="CZ23" s="5"/>
      <c r="DA23" s="5"/>
      <c r="DB23" s="5"/>
      <c r="DC23" s="5"/>
      <c r="DD23" s="5"/>
      <c r="DE23" s="5"/>
      <c r="DF23" s="5"/>
    </row>
    <row r="24">
      <c r="A24" s="19"/>
      <c r="B24" s="14" t="s">
        <v>55</v>
      </c>
      <c r="C24" s="34">
        <f>SUM(C20:C23)</f>
        <v>15</v>
      </c>
      <c r="D24" s="26">
        <f>COUNTIF($D$26:$D1007, TRUE)/C24</f>
        <v>0</v>
      </c>
      <c r="G24" s="5"/>
      <c r="J24" s="5"/>
      <c r="M24" s="5"/>
      <c r="P24" s="5"/>
      <c r="S24" s="5"/>
      <c r="V24" s="5"/>
      <c r="Y24" s="5"/>
      <c r="AB24" s="5"/>
      <c r="AE24" s="5"/>
      <c r="AH24" s="5"/>
      <c r="AK24" s="5"/>
      <c r="AN24" s="5"/>
      <c r="AQ24" s="5"/>
      <c r="AT24" s="5"/>
      <c r="AW24" s="5"/>
      <c r="AZ24" s="5"/>
      <c r="BC24" s="5"/>
      <c r="BF24" s="5"/>
      <c r="BI24" s="5"/>
      <c r="BL24" s="5"/>
      <c r="BO24" s="5"/>
      <c r="BR24" s="5"/>
      <c r="BU24" s="5"/>
      <c r="BX24" s="5"/>
      <c r="CA24" s="5"/>
      <c r="CD24" s="5"/>
      <c r="CG24" s="5"/>
      <c r="CJ24" s="5"/>
      <c r="CM24" s="5"/>
      <c r="CP24" s="5"/>
      <c r="CS24" s="5"/>
      <c r="CT24" s="5"/>
      <c r="CU24" s="5"/>
      <c r="CV24" s="5"/>
      <c r="CW24" s="5"/>
      <c r="CX24" s="5"/>
      <c r="CY24" s="5"/>
      <c r="CZ24" s="5"/>
      <c r="DA24" s="5"/>
      <c r="DB24" s="5"/>
      <c r="DC24" s="5"/>
      <c r="DD24" s="5"/>
      <c r="DE24" s="5"/>
      <c r="DF24" s="5"/>
    </row>
    <row r="25">
      <c r="A25" s="14" t="s">
        <v>56</v>
      </c>
      <c r="B25" s="14" t="s">
        <v>57</v>
      </c>
      <c r="C25" s="14" t="s">
        <v>58</v>
      </c>
      <c r="D25" s="32" t="s">
        <v>59</v>
      </c>
      <c r="G25" s="5"/>
      <c r="J25" s="5"/>
      <c r="M25" s="5"/>
      <c r="P25" s="5"/>
      <c r="S25" s="5"/>
      <c r="V25" s="5"/>
      <c r="Y25" s="5"/>
      <c r="AB25" s="5"/>
      <c r="AE25" s="5"/>
      <c r="AH25" s="5"/>
      <c r="AK25" s="5"/>
      <c r="AN25" s="5"/>
      <c r="AQ25" s="5"/>
      <c r="AT25" s="5"/>
      <c r="AW25" s="5"/>
      <c r="AZ25" s="5"/>
      <c r="BC25" s="5"/>
      <c r="BF25" s="5"/>
      <c r="BI25" s="5"/>
      <c r="BL25" s="5"/>
      <c r="BO25" s="5"/>
      <c r="BR25" s="5"/>
      <c r="BU25" s="5"/>
      <c r="BX25" s="5"/>
      <c r="CA25" s="5"/>
      <c r="CD25" s="5"/>
      <c r="CG25" s="5"/>
      <c r="CJ25" s="5"/>
      <c r="CM25" s="5"/>
      <c r="CP25" s="5"/>
      <c r="CS25" s="5"/>
      <c r="CT25" s="5"/>
      <c r="CU25" s="5"/>
      <c r="CV25" s="5"/>
      <c r="CW25" s="5"/>
      <c r="CX25" s="5"/>
      <c r="CY25" s="5"/>
      <c r="CZ25" s="5"/>
      <c r="DA25" s="5"/>
      <c r="DB25" s="5"/>
      <c r="DC25" s="5"/>
      <c r="DD25" s="5"/>
      <c r="DE25" s="5"/>
      <c r="DF25" s="5"/>
    </row>
    <row r="26">
      <c r="A26" s="19" t="s">
        <v>51</v>
      </c>
      <c r="B26" s="19" t="s">
        <v>60</v>
      </c>
      <c r="C26" s="21">
        <v>1.0</v>
      </c>
      <c r="D26" s="35" t="b">
        <v>0</v>
      </c>
      <c r="G26" s="5"/>
      <c r="J26" s="5"/>
      <c r="M26" s="5"/>
      <c r="P26" s="5"/>
      <c r="S26" s="5"/>
      <c r="V26" s="5"/>
      <c r="Y26" s="5"/>
      <c r="AB26" s="5"/>
      <c r="AE26" s="5"/>
      <c r="AH26" s="5"/>
      <c r="AK26" s="5"/>
      <c r="AN26" s="5"/>
      <c r="AQ26" s="5"/>
      <c r="AT26" s="5"/>
      <c r="AW26" s="5"/>
      <c r="AZ26" s="5"/>
      <c r="BC26" s="5"/>
      <c r="BF26" s="5"/>
      <c r="BI26" s="5"/>
      <c r="BL26" s="5"/>
      <c r="BO26" s="5"/>
      <c r="BR26" s="5"/>
      <c r="BU26" s="5"/>
      <c r="BX26" s="5"/>
      <c r="CA26" s="5"/>
      <c r="CD26" s="5"/>
      <c r="CG26" s="5"/>
      <c r="CJ26" s="5"/>
      <c r="CM26" s="5"/>
      <c r="CP26" s="5"/>
      <c r="CS26" s="5"/>
      <c r="CT26" s="5"/>
      <c r="CU26" s="5"/>
      <c r="CV26" s="5"/>
      <c r="CW26" s="5"/>
      <c r="CX26" s="5"/>
      <c r="CY26" s="5"/>
      <c r="CZ26" s="5"/>
      <c r="DA26" s="5"/>
      <c r="DB26" s="5"/>
      <c r="DC26" s="5"/>
      <c r="DD26" s="5"/>
      <c r="DE26" s="5"/>
      <c r="DF26" s="5"/>
    </row>
    <row r="27">
      <c r="A27" s="19" t="s">
        <v>49</v>
      </c>
      <c r="B27" s="19" t="s">
        <v>61</v>
      </c>
      <c r="C27" s="21">
        <v>10.0</v>
      </c>
      <c r="D27" s="35" t="b">
        <v>0</v>
      </c>
      <c r="G27" s="5"/>
      <c r="J27" s="5"/>
      <c r="M27" s="5"/>
      <c r="P27" s="5"/>
      <c r="S27" s="5"/>
      <c r="V27" s="5"/>
      <c r="Y27" s="5"/>
      <c r="AB27" s="5"/>
      <c r="AE27" s="5"/>
      <c r="AH27" s="5"/>
      <c r="AK27" s="5"/>
      <c r="AN27" s="5"/>
      <c r="AQ27" s="5"/>
      <c r="AT27" s="5"/>
      <c r="AW27" s="5"/>
      <c r="AZ27" s="5"/>
      <c r="BC27" s="5"/>
      <c r="BF27" s="5"/>
      <c r="BI27" s="5"/>
      <c r="BL27" s="5"/>
      <c r="BO27" s="5"/>
      <c r="BR27" s="5"/>
      <c r="BU27" s="5"/>
      <c r="BX27" s="5"/>
      <c r="CA27" s="5"/>
      <c r="CD27" s="5"/>
      <c r="CG27" s="5"/>
      <c r="CJ27" s="5"/>
      <c r="CM27" s="5"/>
      <c r="CP27" s="5"/>
      <c r="CS27" s="5"/>
      <c r="CT27" s="5"/>
      <c r="CU27" s="5"/>
      <c r="CV27" s="5"/>
      <c r="CW27" s="5"/>
      <c r="CX27" s="5"/>
      <c r="CY27" s="5"/>
      <c r="CZ27" s="5"/>
      <c r="DA27" s="5"/>
      <c r="DB27" s="5"/>
      <c r="DC27" s="5"/>
      <c r="DD27" s="5"/>
      <c r="DE27" s="5"/>
      <c r="DF27" s="5"/>
    </row>
    <row r="28">
      <c r="A28" s="19" t="s">
        <v>53</v>
      </c>
      <c r="B28" s="19" t="s">
        <v>62</v>
      </c>
      <c r="C28" s="21">
        <v>26.0</v>
      </c>
      <c r="D28" s="35" t="b">
        <v>0</v>
      </c>
      <c r="G28" s="5"/>
      <c r="J28" s="5"/>
      <c r="M28" s="5"/>
      <c r="P28" s="5"/>
      <c r="S28" s="5"/>
      <c r="V28" s="5"/>
      <c r="Y28" s="5"/>
      <c r="AB28" s="5"/>
      <c r="AE28" s="5"/>
      <c r="AH28" s="5"/>
      <c r="AK28" s="5"/>
      <c r="AN28" s="5"/>
      <c r="AQ28" s="5"/>
      <c r="AT28" s="5"/>
      <c r="AW28" s="5"/>
      <c r="AZ28" s="5"/>
      <c r="BC28" s="5"/>
      <c r="BF28" s="5"/>
      <c r="BI28" s="5"/>
      <c r="BL28" s="5"/>
      <c r="BO28" s="5"/>
      <c r="BR28" s="5"/>
      <c r="BU28" s="5"/>
      <c r="BX28" s="5"/>
      <c r="CA28" s="5"/>
      <c r="CD28" s="5"/>
      <c r="CG28" s="5"/>
      <c r="CJ28" s="5"/>
      <c r="CM28" s="5"/>
      <c r="CP28" s="5"/>
      <c r="CS28" s="5"/>
      <c r="CT28" s="5"/>
      <c r="CU28" s="5"/>
      <c r="CV28" s="5"/>
      <c r="CW28" s="5"/>
      <c r="CX28" s="5"/>
      <c r="CY28" s="5"/>
      <c r="CZ28" s="5"/>
      <c r="DA28" s="5"/>
      <c r="DB28" s="5"/>
      <c r="DC28" s="5"/>
      <c r="DD28" s="5"/>
      <c r="DE28" s="5"/>
      <c r="DF28" s="5"/>
    </row>
    <row r="29">
      <c r="A29" s="19" t="s">
        <v>47</v>
      </c>
      <c r="B29" s="19" t="s">
        <v>63</v>
      </c>
      <c r="C29" s="21">
        <v>45.0</v>
      </c>
      <c r="D29" s="35" t="b">
        <v>0</v>
      </c>
      <c r="G29" s="5"/>
      <c r="J29" s="5"/>
      <c r="M29" s="5"/>
      <c r="P29" s="5"/>
      <c r="S29" s="5"/>
      <c r="V29" s="5"/>
      <c r="Y29" s="5"/>
      <c r="AB29" s="5"/>
      <c r="AE29" s="5"/>
      <c r="AH29" s="5"/>
      <c r="AK29" s="5"/>
      <c r="AN29" s="5"/>
      <c r="AQ29" s="5"/>
      <c r="AT29" s="5"/>
      <c r="AW29" s="5"/>
      <c r="AZ29" s="5"/>
      <c r="BC29" s="5"/>
      <c r="BF29" s="5"/>
      <c r="BI29" s="5"/>
      <c r="BL29" s="5"/>
      <c r="BO29" s="5"/>
      <c r="BR29" s="5"/>
      <c r="BU29" s="5"/>
      <c r="BX29" s="5"/>
      <c r="CA29" s="5"/>
      <c r="CD29" s="5"/>
      <c r="CG29" s="5"/>
      <c r="CJ29" s="5"/>
      <c r="CM29" s="5"/>
      <c r="CP29" s="5"/>
      <c r="CS29" s="5"/>
      <c r="CT29" s="5"/>
      <c r="CU29" s="5"/>
      <c r="CV29" s="5"/>
      <c r="CW29" s="5"/>
      <c r="CX29" s="5"/>
      <c r="CY29" s="5"/>
      <c r="CZ29" s="5"/>
      <c r="DA29" s="5"/>
      <c r="DB29" s="5"/>
      <c r="DC29" s="5"/>
      <c r="DD29" s="5"/>
      <c r="DE29" s="5"/>
      <c r="DF29" s="5"/>
    </row>
    <row r="30">
      <c r="A30" s="19" t="s">
        <v>51</v>
      </c>
      <c r="B30" s="19" t="s">
        <v>64</v>
      </c>
      <c r="C30" s="21">
        <v>45.0</v>
      </c>
      <c r="D30" s="35" t="b">
        <v>0</v>
      </c>
      <c r="G30" s="5"/>
      <c r="J30" s="5"/>
      <c r="M30" s="5"/>
      <c r="P30" s="5"/>
      <c r="S30" s="5"/>
      <c r="V30" s="5"/>
      <c r="Y30" s="5"/>
      <c r="AB30" s="5"/>
      <c r="AE30" s="5"/>
      <c r="AH30" s="5"/>
      <c r="AK30" s="5"/>
      <c r="AN30" s="5"/>
      <c r="AQ30" s="5"/>
      <c r="AT30" s="5"/>
      <c r="AW30" s="5"/>
      <c r="AZ30" s="5"/>
      <c r="BC30" s="5"/>
      <c r="BF30" s="5"/>
      <c r="BI30" s="5"/>
      <c r="BL30" s="5"/>
      <c r="BO30" s="5"/>
      <c r="BR30" s="5"/>
      <c r="BU30" s="5"/>
      <c r="BX30" s="5"/>
      <c r="CA30" s="5"/>
      <c r="CD30" s="5"/>
      <c r="CG30" s="5"/>
      <c r="CJ30" s="5"/>
      <c r="CM30" s="5"/>
      <c r="CP30" s="5"/>
      <c r="CS30" s="5"/>
      <c r="CT30" s="5"/>
      <c r="CU30" s="5"/>
      <c r="CV30" s="5"/>
      <c r="CW30" s="5"/>
      <c r="CX30" s="5"/>
      <c r="CY30" s="5"/>
      <c r="CZ30" s="5"/>
      <c r="DA30" s="5"/>
      <c r="DB30" s="5"/>
      <c r="DC30" s="5"/>
      <c r="DD30" s="5"/>
      <c r="DE30" s="5"/>
      <c r="DF30" s="5"/>
    </row>
    <row r="31">
      <c r="A31" s="19" t="s">
        <v>51</v>
      </c>
      <c r="B31" s="19" t="s">
        <v>65</v>
      </c>
      <c r="C31" s="21">
        <v>46.0</v>
      </c>
      <c r="D31" s="35" t="b">
        <v>0</v>
      </c>
      <c r="G31" s="5"/>
      <c r="J31" s="5"/>
      <c r="M31" s="5"/>
      <c r="P31" s="5"/>
      <c r="S31" s="5"/>
      <c r="V31" s="5"/>
      <c r="Y31" s="5"/>
      <c r="AB31" s="5"/>
      <c r="AE31" s="5"/>
      <c r="AH31" s="5"/>
      <c r="AK31" s="5"/>
      <c r="AN31" s="5"/>
      <c r="AQ31" s="5"/>
      <c r="AT31" s="5"/>
      <c r="AW31" s="5"/>
      <c r="AZ31" s="5"/>
      <c r="BC31" s="5"/>
      <c r="BF31" s="5"/>
      <c r="BI31" s="5"/>
      <c r="BL31" s="5"/>
      <c r="BO31" s="5"/>
      <c r="BR31" s="5"/>
      <c r="BU31" s="5"/>
      <c r="BX31" s="5"/>
      <c r="CA31" s="5"/>
      <c r="CD31" s="5"/>
      <c r="CG31" s="5"/>
      <c r="CJ31" s="5"/>
      <c r="CM31" s="5"/>
      <c r="CP31" s="5"/>
      <c r="CS31" s="5"/>
      <c r="CT31" s="5"/>
      <c r="CU31" s="5"/>
      <c r="CV31" s="5"/>
      <c r="CW31" s="5"/>
      <c r="CX31" s="5"/>
      <c r="CY31" s="5"/>
      <c r="CZ31" s="5"/>
      <c r="DA31" s="5"/>
      <c r="DB31" s="5"/>
      <c r="DC31" s="5"/>
      <c r="DD31" s="5"/>
      <c r="DE31" s="5"/>
      <c r="DF31" s="5"/>
    </row>
    <row r="32">
      <c r="A32" s="19" t="s">
        <v>49</v>
      </c>
      <c r="B32" s="19" t="s">
        <v>66</v>
      </c>
      <c r="C32" s="21">
        <v>52.0</v>
      </c>
      <c r="D32" s="35" t="b">
        <v>0</v>
      </c>
      <c r="G32" s="5"/>
      <c r="J32" s="5"/>
      <c r="M32" s="5"/>
      <c r="P32" s="5"/>
      <c r="S32" s="5"/>
      <c r="V32" s="5"/>
      <c r="Y32" s="5"/>
      <c r="AB32" s="5"/>
      <c r="AE32" s="5"/>
      <c r="AH32" s="5"/>
      <c r="AK32" s="5"/>
      <c r="AN32" s="5"/>
      <c r="AQ32" s="5"/>
      <c r="AT32" s="5"/>
      <c r="AW32" s="5"/>
      <c r="AZ32" s="5"/>
      <c r="BC32" s="5"/>
      <c r="BF32" s="5"/>
      <c r="BI32" s="5"/>
      <c r="BL32" s="5"/>
      <c r="BO32" s="5"/>
      <c r="BR32" s="5"/>
      <c r="BU32" s="5"/>
      <c r="BX32" s="5"/>
      <c r="CA32" s="5"/>
      <c r="CD32" s="5"/>
      <c r="CG32" s="5"/>
      <c r="CJ32" s="5"/>
      <c r="CM32" s="5"/>
      <c r="CP32" s="5"/>
      <c r="CS32" s="5"/>
      <c r="CT32" s="5"/>
      <c r="CU32" s="5"/>
      <c r="CV32" s="5"/>
      <c r="CW32" s="5"/>
      <c r="CX32" s="5"/>
      <c r="CY32" s="5"/>
      <c r="CZ32" s="5"/>
      <c r="DA32" s="5"/>
      <c r="DB32" s="5"/>
      <c r="DC32" s="5"/>
      <c r="DD32" s="5"/>
      <c r="DE32" s="5"/>
      <c r="DF32" s="5"/>
    </row>
    <row r="33">
      <c r="A33" s="19" t="s">
        <v>53</v>
      </c>
      <c r="B33" s="19" t="s">
        <v>67</v>
      </c>
      <c r="C33" s="21">
        <v>57.0</v>
      </c>
      <c r="D33" s="35" t="b">
        <v>0</v>
      </c>
      <c r="G33" s="5"/>
      <c r="J33" s="5"/>
      <c r="M33" s="5"/>
      <c r="P33" s="5"/>
      <c r="S33" s="5"/>
      <c r="V33" s="5"/>
      <c r="Y33" s="5"/>
      <c r="AB33" s="5"/>
      <c r="AE33" s="5"/>
      <c r="AH33" s="5"/>
      <c r="AK33" s="5"/>
      <c r="AN33" s="5"/>
      <c r="AQ33" s="5"/>
      <c r="AT33" s="5"/>
      <c r="AW33" s="5"/>
      <c r="AZ33" s="5"/>
      <c r="BC33" s="5"/>
      <c r="BF33" s="5"/>
      <c r="BI33" s="5"/>
      <c r="BL33" s="5"/>
      <c r="BO33" s="5"/>
      <c r="BR33" s="5"/>
      <c r="BU33" s="5"/>
      <c r="BX33" s="5"/>
      <c r="CA33" s="5"/>
      <c r="CD33" s="5"/>
      <c r="CG33" s="5"/>
      <c r="CJ33" s="5"/>
      <c r="CM33" s="5"/>
      <c r="CP33" s="5"/>
      <c r="CS33" s="5"/>
      <c r="CT33" s="5"/>
      <c r="CU33" s="5"/>
      <c r="CV33" s="5"/>
      <c r="CW33" s="5"/>
      <c r="CX33" s="5"/>
      <c r="CY33" s="5"/>
      <c r="CZ33" s="5"/>
      <c r="DA33" s="5"/>
      <c r="DB33" s="5"/>
      <c r="DC33" s="5"/>
      <c r="DD33" s="5"/>
      <c r="DE33" s="5"/>
      <c r="DF33" s="5"/>
    </row>
    <row r="34">
      <c r="A34" s="19" t="s">
        <v>47</v>
      </c>
      <c r="B34" s="19" t="s">
        <v>68</v>
      </c>
      <c r="C34" s="21">
        <v>66.0</v>
      </c>
      <c r="D34" s="35" t="b">
        <v>0</v>
      </c>
      <c r="G34" s="5"/>
      <c r="J34" s="5"/>
      <c r="M34" s="5"/>
      <c r="P34" s="5"/>
      <c r="S34" s="5"/>
      <c r="V34" s="5"/>
      <c r="Y34" s="5"/>
      <c r="AB34" s="5"/>
      <c r="AE34" s="5"/>
      <c r="AH34" s="5"/>
      <c r="AK34" s="5"/>
      <c r="AN34" s="5"/>
      <c r="AQ34" s="5"/>
      <c r="AT34" s="5"/>
      <c r="AW34" s="5"/>
      <c r="AZ34" s="5"/>
      <c r="BC34" s="5"/>
      <c r="BF34" s="5"/>
      <c r="BI34" s="5"/>
      <c r="BL34" s="5"/>
      <c r="BO34" s="5"/>
      <c r="BR34" s="5"/>
      <c r="BU34" s="5"/>
      <c r="BX34" s="5"/>
      <c r="CA34" s="5"/>
      <c r="CD34" s="5"/>
      <c r="CG34" s="5"/>
      <c r="CJ34" s="5"/>
      <c r="CM34" s="5"/>
      <c r="CP34" s="5"/>
      <c r="CS34" s="5"/>
      <c r="CT34" s="5"/>
      <c r="CU34" s="5"/>
      <c r="CV34" s="5"/>
      <c r="CW34" s="5"/>
      <c r="CX34" s="5"/>
      <c r="CY34" s="5"/>
      <c r="CZ34" s="5"/>
      <c r="DA34" s="5"/>
      <c r="DB34" s="5"/>
      <c r="DC34" s="5"/>
      <c r="DD34" s="5"/>
      <c r="DE34" s="5"/>
      <c r="DF34" s="5"/>
    </row>
    <row r="35">
      <c r="A35" s="19" t="s">
        <v>53</v>
      </c>
      <c r="B35" s="19" t="s">
        <v>69</v>
      </c>
      <c r="C35" s="21">
        <v>75.0</v>
      </c>
      <c r="D35" s="35" t="b">
        <v>0</v>
      </c>
      <c r="G35" s="5"/>
      <c r="J35" s="5"/>
      <c r="M35" s="5"/>
      <c r="P35" s="5"/>
      <c r="S35" s="5"/>
      <c r="V35" s="5"/>
      <c r="Y35" s="5"/>
      <c r="AB35" s="5"/>
      <c r="AE35" s="5"/>
      <c r="AH35" s="5"/>
      <c r="AK35" s="5"/>
      <c r="AN35" s="5"/>
      <c r="AQ35" s="5"/>
      <c r="AT35" s="5"/>
      <c r="AW35" s="5"/>
      <c r="AZ35" s="5"/>
      <c r="BC35" s="5"/>
      <c r="BF35" s="5"/>
      <c r="BI35" s="5"/>
      <c r="BL35" s="5"/>
      <c r="BO35" s="5"/>
      <c r="BR35" s="5"/>
      <c r="BU35" s="5"/>
      <c r="BX35" s="5"/>
      <c r="CA35" s="5"/>
      <c r="CD35" s="5"/>
      <c r="CG35" s="5"/>
      <c r="CJ35" s="5"/>
      <c r="CM35" s="5"/>
      <c r="CP35" s="5"/>
      <c r="CS35" s="5"/>
      <c r="CT35" s="5"/>
      <c r="CU35" s="5"/>
      <c r="CV35" s="5"/>
      <c r="CW35" s="5"/>
      <c r="CX35" s="5"/>
      <c r="CY35" s="5"/>
      <c r="CZ35" s="5"/>
      <c r="DA35" s="5"/>
      <c r="DB35" s="5"/>
      <c r="DC35" s="5"/>
      <c r="DD35" s="5"/>
      <c r="DE35" s="5"/>
      <c r="DF35" s="5"/>
    </row>
    <row r="36">
      <c r="A36" s="19" t="s">
        <v>53</v>
      </c>
      <c r="B36" s="19" t="s">
        <v>70</v>
      </c>
      <c r="C36" s="21">
        <v>76.0</v>
      </c>
      <c r="D36" s="35" t="b">
        <v>0</v>
      </c>
      <c r="G36" s="5"/>
      <c r="J36" s="5"/>
      <c r="M36" s="5"/>
      <c r="P36" s="5"/>
      <c r="S36" s="5"/>
      <c r="V36" s="5"/>
      <c r="Y36" s="5"/>
      <c r="AB36" s="5"/>
      <c r="AE36" s="5"/>
      <c r="AH36" s="5"/>
      <c r="AK36" s="5"/>
      <c r="AN36" s="5"/>
      <c r="AQ36" s="5"/>
      <c r="AT36" s="5"/>
      <c r="AW36" s="5"/>
      <c r="AZ36" s="5"/>
      <c r="BC36" s="5"/>
      <c r="BF36" s="5"/>
      <c r="BI36" s="5"/>
      <c r="BL36" s="5"/>
      <c r="BO36" s="5"/>
      <c r="BR36" s="5"/>
      <c r="BU36" s="5"/>
      <c r="BX36" s="5"/>
      <c r="CA36" s="5"/>
      <c r="CD36" s="5"/>
      <c r="CG36" s="5"/>
      <c r="CJ36" s="5"/>
      <c r="CM36" s="5"/>
      <c r="CP36" s="5"/>
      <c r="CS36" s="5"/>
      <c r="CT36" s="5"/>
      <c r="CU36" s="5"/>
      <c r="CV36" s="5"/>
      <c r="CW36" s="5"/>
      <c r="CX36" s="5"/>
      <c r="CY36" s="5"/>
      <c r="CZ36" s="5"/>
      <c r="DA36" s="5"/>
      <c r="DB36" s="5"/>
      <c r="DC36" s="5"/>
      <c r="DD36" s="5"/>
      <c r="DE36" s="5"/>
      <c r="DF36" s="5"/>
    </row>
    <row r="37">
      <c r="A37" s="19" t="s">
        <v>53</v>
      </c>
      <c r="B37" s="19" t="s">
        <v>71</v>
      </c>
      <c r="C37" s="21">
        <v>76.0</v>
      </c>
      <c r="D37" s="35" t="b">
        <v>0</v>
      </c>
      <c r="G37" s="5"/>
      <c r="J37" s="5"/>
      <c r="M37" s="5"/>
      <c r="P37" s="5"/>
      <c r="S37" s="5"/>
      <c r="V37" s="5"/>
      <c r="Y37" s="5"/>
      <c r="AB37" s="5"/>
      <c r="AE37" s="5"/>
      <c r="AH37" s="5"/>
      <c r="AK37" s="5"/>
      <c r="AN37" s="5"/>
      <c r="AQ37" s="5"/>
      <c r="AT37" s="5"/>
      <c r="AW37" s="5"/>
      <c r="AZ37" s="5"/>
      <c r="BC37" s="5"/>
      <c r="BF37" s="5"/>
      <c r="BI37" s="5"/>
      <c r="BL37" s="5"/>
      <c r="BO37" s="5"/>
      <c r="BR37" s="5"/>
      <c r="BU37" s="5"/>
      <c r="BX37" s="5"/>
      <c r="CA37" s="5"/>
      <c r="CD37" s="5"/>
      <c r="CG37" s="5"/>
      <c r="CJ37" s="5"/>
      <c r="CM37" s="5"/>
      <c r="CP37" s="5"/>
      <c r="CS37" s="5"/>
      <c r="CT37" s="5"/>
      <c r="CU37" s="5"/>
      <c r="CV37" s="5"/>
      <c r="CW37" s="5"/>
      <c r="CX37" s="5"/>
      <c r="CY37" s="5"/>
      <c r="CZ37" s="5"/>
      <c r="DA37" s="5"/>
      <c r="DB37" s="5"/>
      <c r="DC37" s="5"/>
      <c r="DD37" s="5"/>
      <c r="DE37" s="5"/>
      <c r="DF37" s="5"/>
    </row>
    <row r="38">
      <c r="A38" s="19" t="s">
        <v>53</v>
      </c>
      <c r="B38" s="19" t="s">
        <v>72</v>
      </c>
      <c r="C38" s="21">
        <v>84.0</v>
      </c>
      <c r="D38" s="35" t="b">
        <v>0</v>
      </c>
      <c r="G38" s="5"/>
      <c r="J38" s="5"/>
      <c r="M38" s="5"/>
      <c r="P38" s="5"/>
      <c r="S38" s="5"/>
      <c r="V38" s="5"/>
      <c r="Y38" s="5"/>
      <c r="AB38" s="5"/>
      <c r="AE38" s="5"/>
      <c r="AH38" s="5"/>
      <c r="AK38" s="5"/>
      <c r="AN38" s="5"/>
      <c r="AQ38" s="5"/>
      <c r="AT38" s="5"/>
      <c r="AW38" s="5"/>
      <c r="AZ38" s="5"/>
      <c r="BC38" s="5"/>
      <c r="BF38" s="5"/>
      <c r="BI38" s="5"/>
      <c r="BL38" s="5"/>
      <c r="BO38" s="5"/>
      <c r="BR38" s="5"/>
      <c r="BU38" s="5"/>
      <c r="BX38" s="5"/>
      <c r="CA38" s="5"/>
      <c r="CD38" s="5"/>
      <c r="CG38" s="5"/>
      <c r="CJ38" s="5"/>
      <c r="CM38" s="5"/>
      <c r="CP38" s="5"/>
      <c r="CS38" s="5"/>
      <c r="CT38" s="5"/>
      <c r="CU38" s="5"/>
      <c r="CV38" s="5"/>
      <c r="CW38" s="5"/>
      <c r="CX38" s="5"/>
      <c r="CY38" s="5"/>
      <c r="CZ38" s="5"/>
      <c r="DA38" s="5"/>
      <c r="DB38" s="5"/>
      <c r="DC38" s="5"/>
      <c r="DD38" s="5"/>
      <c r="DE38" s="5"/>
      <c r="DF38" s="5"/>
    </row>
    <row r="39">
      <c r="A39" s="19" t="s">
        <v>53</v>
      </c>
      <c r="B39" s="19" t="s">
        <v>73</v>
      </c>
      <c r="C39" s="21">
        <v>87.0</v>
      </c>
      <c r="D39" s="35" t="b">
        <v>0</v>
      </c>
      <c r="G39" s="5"/>
      <c r="J39" s="5"/>
      <c r="M39" s="5"/>
      <c r="P39" s="5"/>
      <c r="S39" s="5"/>
      <c r="V39" s="5"/>
      <c r="Y39" s="5"/>
      <c r="AB39" s="5"/>
      <c r="AE39" s="5"/>
      <c r="AH39" s="5"/>
      <c r="AK39" s="5"/>
      <c r="AN39" s="5"/>
      <c r="AQ39" s="5"/>
      <c r="AT39" s="5"/>
      <c r="AW39" s="5"/>
      <c r="AZ39" s="5"/>
      <c r="BC39" s="5"/>
      <c r="BF39" s="5"/>
      <c r="BI39" s="5"/>
      <c r="BL39" s="5"/>
      <c r="BO39" s="5"/>
      <c r="BR39" s="5"/>
      <c r="BU39" s="5"/>
      <c r="BX39" s="5"/>
      <c r="CA39" s="5"/>
      <c r="CD39" s="5"/>
      <c r="CG39" s="5"/>
      <c r="CJ39" s="5"/>
      <c r="CM39" s="5"/>
      <c r="CP39" s="5"/>
      <c r="CS39" s="5"/>
      <c r="CT39" s="5"/>
      <c r="CU39" s="5"/>
      <c r="CV39" s="5"/>
      <c r="CW39" s="5"/>
      <c r="CX39" s="5"/>
      <c r="CY39" s="5"/>
      <c r="CZ39" s="5"/>
      <c r="DA39" s="5"/>
      <c r="DB39" s="5"/>
      <c r="DC39" s="5"/>
      <c r="DD39" s="5"/>
      <c r="DE39" s="5"/>
      <c r="DF39" s="5"/>
    </row>
    <row r="40">
      <c r="A40" s="19" t="s">
        <v>51</v>
      </c>
      <c r="B40" s="19" t="s">
        <v>74</v>
      </c>
      <c r="C40" s="21">
        <v>90.0</v>
      </c>
      <c r="D40" s="35" t="b">
        <v>0</v>
      </c>
      <c r="G40" s="5"/>
      <c r="J40" s="5"/>
      <c r="M40" s="5"/>
      <c r="P40" s="5"/>
      <c r="S40" s="5"/>
      <c r="V40" s="5"/>
      <c r="Y40" s="5"/>
      <c r="AB40" s="5"/>
      <c r="AE40" s="5"/>
      <c r="AH40" s="5"/>
      <c r="AK40" s="5"/>
      <c r="AN40" s="5"/>
      <c r="AQ40" s="5"/>
      <c r="AT40" s="5"/>
      <c r="AW40" s="5"/>
      <c r="AZ40" s="5"/>
      <c r="BC40" s="5"/>
      <c r="BF40" s="5"/>
      <c r="BI40" s="5"/>
      <c r="BL40" s="5"/>
      <c r="BO40" s="5"/>
      <c r="BR40" s="5"/>
      <c r="BU40" s="5"/>
      <c r="BX40" s="5"/>
      <c r="CA40" s="5"/>
      <c r="CD40" s="5"/>
      <c r="CG40" s="5"/>
      <c r="CJ40" s="5"/>
      <c r="CM40" s="5"/>
      <c r="CP40" s="5"/>
      <c r="CS40" s="5"/>
      <c r="CT40" s="5"/>
      <c r="CU40" s="5"/>
      <c r="CV40" s="5"/>
      <c r="CW40" s="5"/>
      <c r="CX40" s="5"/>
      <c r="CY40" s="5"/>
      <c r="CZ40" s="5"/>
      <c r="DA40" s="5"/>
      <c r="DB40" s="5"/>
      <c r="DC40" s="5"/>
      <c r="DD40" s="5"/>
      <c r="DE40" s="5"/>
      <c r="DF40" s="5"/>
    </row>
    <row r="41">
      <c r="G41" s="5"/>
      <c r="J41" s="5"/>
      <c r="M41" s="5"/>
      <c r="P41" s="5"/>
      <c r="S41" s="5"/>
      <c r="V41" s="5"/>
      <c r="Y41" s="5"/>
      <c r="AB41" s="5"/>
      <c r="AE41" s="5"/>
      <c r="AH41" s="5"/>
      <c r="AK41" s="5"/>
      <c r="AN41" s="5"/>
      <c r="AQ41" s="5"/>
      <c r="AT41" s="5"/>
      <c r="AW41" s="5"/>
      <c r="AZ41" s="5"/>
      <c r="BC41" s="5"/>
      <c r="BF41" s="5"/>
      <c r="BI41" s="5"/>
      <c r="BL41" s="5"/>
      <c r="BO41" s="5"/>
      <c r="BR41" s="5"/>
      <c r="BU41" s="5"/>
      <c r="BX41" s="5"/>
      <c r="CA41" s="5"/>
      <c r="CD41" s="5"/>
      <c r="CG41" s="5"/>
      <c r="CJ41" s="5"/>
      <c r="CM41" s="5"/>
      <c r="CP41" s="5"/>
      <c r="CS41" s="5"/>
      <c r="CT41" s="5"/>
      <c r="CU41" s="5"/>
      <c r="CV41" s="5"/>
      <c r="CW41" s="5"/>
      <c r="CX41" s="5"/>
      <c r="CY41" s="5"/>
      <c r="CZ41" s="5"/>
      <c r="DA41" s="5"/>
      <c r="DB41" s="5"/>
      <c r="DC41" s="5"/>
      <c r="DD41" s="5"/>
      <c r="DE41" s="5"/>
      <c r="DF41" s="5"/>
    </row>
    <row r="42">
      <c r="G42" s="5"/>
      <c r="J42" s="5"/>
      <c r="M42" s="5"/>
      <c r="P42" s="5"/>
      <c r="S42" s="5"/>
      <c r="V42" s="5"/>
      <c r="Y42" s="5"/>
      <c r="AB42" s="5"/>
      <c r="AE42" s="5"/>
      <c r="AH42" s="5"/>
      <c r="AK42" s="5"/>
      <c r="AN42" s="5"/>
      <c r="AQ42" s="5"/>
      <c r="AT42" s="5"/>
      <c r="AW42" s="5"/>
      <c r="AZ42" s="5"/>
      <c r="BC42" s="5"/>
      <c r="BF42" s="5"/>
      <c r="BI42" s="5"/>
      <c r="BL42" s="5"/>
      <c r="BO42" s="5"/>
      <c r="BR42" s="5"/>
      <c r="BU42" s="5"/>
      <c r="BX42" s="5"/>
      <c r="CA42" s="5"/>
      <c r="CD42" s="5"/>
      <c r="CG42" s="5"/>
      <c r="CJ42" s="5"/>
      <c r="CM42" s="5"/>
      <c r="CP42" s="5"/>
      <c r="CS42" s="5"/>
      <c r="CT42" s="5"/>
      <c r="CU42" s="5"/>
      <c r="CV42" s="5"/>
      <c r="CW42" s="5"/>
      <c r="CX42" s="5"/>
      <c r="CY42" s="5"/>
      <c r="CZ42" s="5"/>
      <c r="DA42" s="5"/>
      <c r="DB42" s="5"/>
      <c r="DC42" s="5"/>
      <c r="DD42" s="5"/>
      <c r="DE42" s="5"/>
      <c r="DF42" s="5"/>
    </row>
    <row r="43">
      <c r="G43" s="5"/>
      <c r="J43" s="5"/>
      <c r="M43" s="5"/>
      <c r="P43" s="5"/>
      <c r="S43" s="5"/>
      <c r="V43" s="5"/>
      <c r="Y43" s="5"/>
      <c r="AB43" s="5"/>
      <c r="AE43" s="5"/>
      <c r="AH43" s="5"/>
      <c r="AK43" s="5"/>
      <c r="AN43" s="5"/>
      <c r="AQ43" s="5"/>
      <c r="AT43" s="5"/>
      <c r="AW43" s="5"/>
      <c r="AZ43" s="5"/>
      <c r="BC43" s="5"/>
      <c r="BF43" s="5"/>
      <c r="BI43" s="5"/>
      <c r="BL43" s="5"/>
      <c r="BO43" s="5"/>
      <c r="BR43" s="5"/>
      <c r="BU43" s="5"/>
      <c r="BX43" s="5"/>
      <c r="CA43" s="5"/>
      <c r="CD43" s="5"/>
      <c r="CG43" s="5"/>
      <c r="CJ43" s="5"/>
      <c r="CM43" s="5"/>
      <c r="CP43" s="5"/>
      <c r="CS43" s="5"/>
      <c r="CT43" s="5"/>
      <c r="CU43" s="5"/>
      <c r="CV43" s="5"/>
      <c r="CW43" s="5"/>
      <c r="CX43" s="5"/>
      <c r="CY43" s="5"/>
      <c r="CZ43" s="5"/>
      <c r="DA43" s="5"/>
      <c r="DB43" s="5"/>
      <c r="DC43" s="5"/>
      <c r="DD43" s="5"/>
      <c r="DE43" s="5"/>
      <c r="DF43" s="5"/>
    </row>
    <row r="44">
      <c r="G44" s="5"/>
      <c r="J44" s="5"/>
      <c r="M44" s="5"/>
      <c r="P44" s="5"/>
      <c r="S44" s="5"/>
      <c r="V44" s="5"/>
      <c r="Y44" s="5"/>
      <c r="AB44" s="5"/>
      <c r="AE44" s="5"/>
      <c r="AH44" s="5"/>
      <c r="AK44" s="5"/>
      <c r="AN44" s="5"/>
      <c r="AQ44" s="5"/>
      <c r="AT44" s="5"/>
      <c r="AW44" s="5"/>
      <c r="AZ44" s="5"/>
      <c r="BC44" s="5"/>
      <c r="BF44" s="5"/>
      <c r="BI44" s="5"/>
      <c r="BL44" s="5"/>
      <c r="BO44" s="5"/>
      <c r="BR44" s="5"/>
      <c r="BU44" s="5"/>
      <c r="BX44" s="5"/>
      <c r="CA44" s="5"/>
      <c r="CD44" s="5"/>
      <c r="CG44" s="5"/>
      <c r="CJ44" s="5"/>
      <c r="CM44" s="5"/>
      <c r="CP44" s="5"/>
      <c r="CS44" s="5"/>
      <c r="CT44" s="5"/>
      <c r="CU44" s="5"/>
      <c r="CV44" s="5"/>
      <c r="CW44" s="5"/>
      <c r="CX44" s="5"/>
      <c r="CY44" s="5"/>
      <c r="CZ44" s="5"/>
      <c r="DA44" s="5"/>
      <c r="DB44" s="5"/>
      <c r="DC44" s="5"/>
      <c r="DD44" s="5"/>
      <c r="DE44" s="5"/>
      <c r="DF44" s="5"/>
    </row>
    <row r="45">
      <c r="A45" s="36"/>
      <c r="D45" s="19"/>
      <c r="G45" s="5"/>
      <c r="J45" s="5"/>
      <c r="M45" s="5"/>
      <c r="P45" s="5"/>
      <c r="S45" s="5"/>
      <c r="V45" s="5"/>
      <c r="Y45" s="5"/>
      <c r="AB45" s="5"/>
      <c r="AE45" s="5"/>
      <c r="AH45" s="5"/>
      <c r="AK45" s="5"/>
      <c r="AN45" s="5"/>
      <c r="AQ45" s="5"/>
      <c r="AT45" s="5"/>
      <c r="AW45" s="5"/>
      <c r="AZ45" s="5"/>
      <c r="BC45" s="5"/>
      <c r="BF45" s="5"/>
      <c r="BI45" s="5"/>
      <c r="BL45" s="5"/>
      <c r="BO45" s="5"/>
      <c r="BR45" s="5"/>
      <c r="BU45" s="5"/>
      <c r="BX45" s="5"/>
      <c r="CA45" s="5"/>
      <c r="CD45" s="5"/>
      <c r="CG45" s="5"/>
      <c r="CJ45" s="5"/>
      <c r="CM45" s="5"/>
      <c r="CP45" s="5"/>
      <c r="CS45" s="5"/>
      <c r="CT45" s="5"/>
      <c r="CU45" s="5"/>
      <c r="CV45" s="5"/>
      <c r="CW45" s="5"/>
      <c r="CX45" s="5"/>
      <c r="CY45" s="5"/>
      <c r="CZ45" s="5"/>
      <c r="DA45" s="5"/>
      <c r="DB45" s="5"/>
      <c r="DC45" s="5"/>
      <c r="DD45" s="5"/>
      <c r="DE45" s="5"/>
      <c r="DF45" s="5"/>
    </row>
    <row r="46">
      <c r="B46" s="36"/>
      <c r="C46" s="26"/>
      <c r="D46" s="19"/>
      <c r="G46" s="5"/>
      <c r="J46" s="5"/>
      <c r="M46" s="5"/>
      <c r="P46" s="5"/>
      <c r="S46" s="5"/>
      <c r="V46" s="5"/>
      <c r="Y46" s="5"/>
      <c r="AB46" s="5"/>
      <c r="AE46" s="5"/>
      <c r="AH46" s="5"/>
      <c r="AK46" s="5"/>
      <c r="AN46" s="5"/>
      <c r="AQ46" s="5"/>
      <c r="AT46" s="5"/>
      <c r="AW46" s="5"/>
      <c r="AZ46" s="5"/>
      <c r="BC46" s="5"/>
      <c r="BF46" s="5"/>
      <c r="BI46" s="5"/>
      <c r="BL46" s="5"/>
      <c r="BO46" s="5"/>
      <c r="BR46" s="5"/>
      <c r="BU46" s="5"/>
      <c r="BX46" s="5"/>
      <c r="CA46" s="5"/>
      <c r="CD46" s="5"/>
      <c r="CG46" s="5"/>
      <c r="CJ46" s="5"/>
      <c r="CM46" s="5"/>
      <c r="CP46" s="5"/>
      <c r="CS46" s="5"/>
      <c r="CT46" s="5"/>
      <c r="CU46" s="5"/>
      <c r="CV46" s="5"/>
      <c r="CW46" s="5"/>
      <c r="CX46" s="5"/>
      <c r="CY46" s="5"/>
      <c r="CZ46" s="5"/>
      <c r="DA46" s="5"/>
      <c r="DB46" s="5"/>
      <c r="DC46" s="5"/>
      <c r="DD46" s="5"/>
      <c r="DE46" s="5"/>
      <c r="DF46" s="5"/>
    </row>
    <row r="47">
      <c r="A47" s="37"/>
      <c r="B47" s="36"/>
      <c r="C47" s="36"/>
      <c r="D47" s="19"/>
      <c r="G47" s="5"/>
      <c r="J47" s="5"/>
      <c r="M47" s="5"/>
      <c r="P47" s="5"/>
      <c r="S47" s="5"/>
      <c r="V47" s="5"/>
      <c r="Y47" s="5"/>
      <c r="AB47" s="5"/>
      <c r="AE47" s="5"/>
      <c r="AH47" s="5"/>
      <c r="AK47" s="5"/>
      <c r="AN47" s="5"/>
      <c r="AQ47" s="5"/>
      <c r="AT47" s="5"/>
      <c r="AW47" s="5"/>
      <c r="AZ47" s="5"/>
      <c r="BC47" s="5"/>
      <c r="BF47" s="5"/>
      <c r="BI47" s="5"/>
      <c r="BL47" s="5"/>
      <c r="BO47" s="5"/>
      <c r="BR47" s="5"/>
      <c r="BU47" s="5"/>
      <c r="BX47" s="5"/>
      <c r="CA47" s="5"/>
      <c r="CD47" s="5"/>
      <c r="CG47" s="5"/>
      <c r="CJ47" s="5"/>
      <c r="CM47" s="5"/>
      <c r="CP47" s="5"/>
      <c r="CS47" s="5"/>
      <c r="CT47" s="5"/>
      <c r="CU47" s="5"/>
      <c r="CV47" s="5"/>
      <c r="CW47" s="5"/>
      <c r="CX47" s="5"/>
      <c r="CY47" s="5"/>
      <c r="CZ47" s="5"/>
      <c r="DA47" s="5"/>
      <c r="DB47" s="5"/>
      <c r="DC47" s="5"/>
      <c r="DD47" s="5"/>
      <c r="DE47" s="5"/>
      <c r="DF47" s="5"/>
    </row>
    <row r="48">
      <c r="A48" s="19"/>
      <c r="B48" s="26"/>
      <c r="C48" s="21"/>
      <c r="D48" s="19"/>
      <c r="G48" s="5"/>
      <c r="J48" s="5"/>
      <c r="M48" s="5"/>
      <c r="P48" s="5"/>
      <c r="S48" s="5"/>
      <c r="V48" s="5"/>
      <c r="Y48" s="5"/>
      <c r="AB48" s="5"/>
      <c r="AE48" s="5"/>
      <c r="AH48" s="5"/>
      <c r="AK48" s="5"/>
      <c r="AN48" s="5"/>
      <c r="AQ48" s="5"/>
      <c r="AT48" s="5"/>
      <c r="AW48" s="5"/>
      <c r="AZ48" s="5"/>
      <c r="BC48" s="5"/>
      <c r="BF48" s="5"/>
      <c r="BI48" s="5"/>
      <c r="BL48" s="5"/>
      <c r="BO48" s="5"/>
      <c r="BR48" s="5"/>
      <c r="BU48" s="5"/>
      <c r="BX48" s="5"/>
      <c r="CA48" s="5"/>
      <c r="CD48" s="5"/>
      <c r="CG48" s="5"/>
      <c r="CJ48" s="5"/>
      <c r="CM48" s="5"/>
      <c r="CP48" s="5"/>
      <c r="CS48" s="5"/>
      <c r="CT48" s="5"/>
      <c r="CU48" s="5"/>
      <c r="CV48" s="5"/>
      <c r="CW48" s="5"/>
      <c r="CX48" s="5"/>
      <c r="CY48" s="5"/>
      <c r="CZ48" s="5"/>
      <c r="DA48" s="5"/>
      <c r="DB48" s="5"/>
      <c r="DC48" s="5"/>
      <c r="DD48" s="5"/>
      <c r="DE48" s="5"/>
      <c r="DF48" s="5"/>
    </row>
    <row r="49">
      <c r="A49" s="19"/>
      <c r="B49" s="26"/>
      <c r="C49" s="21"/>
      <c r="D49" s="19"/>
      <c r="G49" s="5"/>
      <c r="J49" s="5"/>
      <c r="M49" s="5"/>
      <c r="P49" s="5"/>
      <c r="S49" s="5"/>
      <c r="V49" s="5"/>
      <c r="Y49" s="5"/>
      <c r="AB49" s="5"/>
      <c r="AE49" s="5"/>
      <c r="AH49" s="5"/>
      <c r="AK49" s="5"/>
      <c r="AN49" s="5"/>
      <c r="AQ49" s="5"/>
      <c r="AT49" s="5"/>
      <c r="AW49" s="5"/>
      <c r="AZ49" s="5"/>
      <c r="BC49" s="5"/>
      <c r="BF49" s="5"/>
      <c r="BI49" s="5"/>
      <c r="BL49" s="5"/>
      <c r="BO49" s="5"/>
      <c r="BR49" s="5"/>
      <c r="BU49" s="5"/>
      <c r="BX49" s="5"/>
      <c r="CA49" s="5"/>
      <c r="CD49" s="5"/>
      <c r="CG49" s="5"/>
      <c r="CJ49" s="5"/>
      <c r="CM49" s="5"/>
      <c r="CP49" s="5"/>
      <c r="CS49" s="5"/>
      <c r="CT49" s="5"/>
      <c r="CU49" s="5"/>
      <c r="CV49" s="5"/>
      <c r="CW49" s="5"/>
      <c r="CX49" s="5"/>
      <c r="CY49" s="5"/>
      <c r="CZ49" s="5"/>
      <c r="DA49" s="5"/>
      <c r="DB49" s="5"/>
      <c r="DC49" s="5"/>
      <c r="DD49" s="5"/>
      <c r="DE49" s="5"/>
      <c r="DF49" s="5"/>
    </row>
    <row r="50">
      <c r="A50" s="19"/>
      <c r="B50" s="26"/>
      <c r="C50" s="21"/>
      <c r="D50" s="19"/>
      <c r="G50" s="5"/>
      <c r="J50" s="5"/>
      <c r="M50" s="5"/>
      <c r="P50" s="5"/>
      <c r="S50" s="5"/>
      <c r="V50" s="5"/>
      <c r="Y50" s="5"/>
      <c r="AB50" s="5"/>
      <c r="AE50" s="5"/>
      <c r="AH50" s="5"/>
      <c r="AK50" s="5"/>
      <c r="AN50" s="5"/>
      <c r="AQ50" s="5"/>
      <c r="AT50" s="5"/>
      <c r="AW50" s="5"/>
      <c r="AZ50" s="5"/>
      <c r="BC50" s="5"/>
      <c r="BF50" s="5"/>
      <c r="BI50" s="5"/>
      <c r="BL50" s="5"/>
      <c r="BO50" s="5"/>
      <c r="BR50" s="5"/>
      <c r="BU50" s="5"/>
      <c r="BX50" s="5"/>
      <c r="CA50" s="5"/>
      <c r="CD50" s="5"/>
      <c r="CG50" s="5"/>
      <c r="CJ50" s="5"/>
      <c r="CM50" s="5"/>
      <c r="CP50" s="5"/>
      <c r="CS50" s="5"/>
      <c r="CT50" s="5"/>
      <c r="CU50" s="5"/>
      <c r="CV50" s="5"/>
      <c r="CW50" s="5"/>
      <c r="CX50" s="5"/>
      <c r="CY50" s="5"/>
      <c r="CZ50" s="5"/>
      <c r="DA50" s="5"/>
      <c r="DB50" s="5"/>
      <c r="DC50" s="5"/>
      <c r="DD50" s="5"/>
      <c r="DE50" s="5"/>
      <c r="DF50" s="5"/>
    </row>
    <row r="51">
      <c r="A51" s="19"/>
      <c r="B51" s="26"/>
      <c r="C51" s="21"/>
      <c r="D51" s="19"/>
      <c r="G51" s="5"/>
      <c r="J51" s="5"/>
      <c r="M51" s="5"/>
      <c r="P51" s="5"/>
      <c r="S51" s="5"/>
      <c r="V51" s="5"/>
      <c r="Y51" s="5"/>
      <c r="AB51" s="5"/>
      <c r="AE51" s="5"/>
      <c r="AH51" s="5"/>
      <c r="AK51" s="5"/>
      <c r="AN51" s="5"/>
      <c r="AQ51" s="5"/>
      <c r="AT51" s="5"/>
      <c r="AW51" s="5"/>
      <c r="AZ51" s="5"/>
      <c r="BC51" s="5"/>
      <c r="BF51" s="5"/>
      <c r="BI51" s="5"/>
      <c r="BL51" s="5"/>
      <c r="BO51" s="5"/>
      <c r="BR51" s="5"/>
      <c r="BU51" s="5"/>
      <c r="BX51" s="5"/>
      <c r="CA51" s="5"/>
      <c r="CD51" s="5"/>
      <c r="CG51" s="5"/>
      <c r="CJ51" s="5"/>
      <c r="CM51" s="5"/>
      <c r="CP51" s="5"/>
      <c r="CS51" s="5"/>
      <c r="CT51" s="5"/>
      <c r="CU51" s="5"/>
      <c r="CV51" s="5"/>
      <c r="CW51" s="5"/>
      <c r="CX51" s="5"/>
      <c r="CY51" s="5"/>
      <c r="CZ51" s="5"/>
      <c r="DA51" s="5"/>
      <c r="DB51" s="5"/>
      <c r="DC51" s="5"/>
      <c r="DD51" s="5"/>
      <c r="DE51" s="5"/>
      <c r="DF51" s="5"/>
    </row>
    <row r="52">
      <c r="A52" s="19"/>
      <c r="B52" s="26"/>
      <c r="C52" s="21"/>
      <c r="D52" s="19"/>
      <c r="G52" s="5"/>
      <c r="J52" s="5"/>
      <c r="M52" s="5"/>
      <c r="P52" s="5"/>
      <c r="S52" s="5"/>
      <c r="V52" s="5"/>
      <c r="Y52" s="5"/>
      <c r="AB52" s="5"/>
      <c r="AE52" s="5"/>
      <c r="AH52" s="5"/>
      <c r="AK52" s="5"/>
      <c r="AN52" s="5"/>
      <c r="AQ52" s="5"/>
      <c r="AT52" s="5"/>
      <c r="AW52" s="5"/>
      <c r="AZ52" s="5"/>
      <c r="BC52" s="5"/>
      <c r="BF52" s="5"/>
      <c r="BI52" s="5"/>
      <c r="BL52" s="5"/>
      <c r="BO52" s="5"/>
      <c r="BR52" s="5"/>
      <c r="BU52" s="5"/>
      <c r="BX52" s="5"/>
      <c r="CA52" s="5"/>
      <c r="CD52" s="5"/>
      <c r="CG52" s="5"/>
      <c r="CJ52" s="5"/>
      <c r="CM52" s="5"/>
      <c r="CP52" s="5"/>
      <c r="CS52" s="5"/>
      <c r="CT52" s="5"/>
      <c r="CU52" s="5"/>
      <c r="CV52" s="5"/>
      <c r="CW52" s="5"/>
      <c r="CX52" s="5"/>
      <c r="CY52" s="5"/>
      <c r="CZ52" s="5"/>
      <c r="DA52" s="5"/>
      <c r="DB52" s="5"/>
      <c r="DC52" s="5"/>
      <c r="DD52" s="5"/>
      <c r="DE52" s="5"/>
      <c r="DF52" s="5"/>
    </row>
    <row r="53">
      <c r="A53" s="19"/>
      <c r="B53" s="26"/>
      <c r="C53" s="21"/>
      <c r="D53" s="19"/>
      <c r="G53" s="5"/>
      <c r="J53" s="5"/>
      <c r="M53" s="5"/>
      <c r="P53" s="5"/>
      <c r="S53" s="5"/>
      <c r="V53" s="5"/>
      <c r="Y53" s="5"/>
      <c r="AB53" s="5"/>
      <c r="AE53" s="5"/>
      <c r="AH53" s="5"/>
      <c r="AK53" s="5"/>
      <c r="AN53" s="5"/>
      <c r="AQ53" s="5"/>
      <c r="AT53" s="5"/>
      <c r="AW53" s="5"/>
      <c r="AZ53" s="5"/>
      <c r="BC53" s="5"/>
      <c r="BF53" s="5"/>
      <c r="BI53" s="5"/>
      <c r="BL53" s="5"/>
      <c r="BO53" s="5"/>
      <c r="BR53" s="5"/>
      <c r="BU53" s="5"/>
      <c r="BX53" s="5"/>
      <c r="CA53" s="5"/>
      <c r="CD53" s="5"/>
      <c r="CG53" s="5"/>
      <c r="CJ53" s="5"/>
      <c r="CM53" s="5"/>
      <c r="CP53" s="5"/>
      <c r="CS53" s="5"/>
      <c r="CT53" s="5"/>
      <c r="CU53" s="5"/>
      <c r="CV53" s="5"/>
      <c r="CW53" s="5"/>
      <c r="CX53" s="5"/>
      <c r="CY53" s="5"/>
      <c r="CZ53" s="5"/>
      <c r="DA53" s="5"/>
      <c r="DB53" s="5"/>
      <c r="DC53" s="5"/>
      <c r="DD53" s="5"/>
      <c r="DE53" s="5"/>
      <c r="DF53" s="5"/>
    </row>
    <row r="54">
      <c r="A54" s="19"/>
      <c r="B54" s="26"/>
      <c r="C54" s="21"/>
      <c r="D54" s="19"/>
      <c r="G54" s="5"/>
      <c r="J54" s="5"/>
      <c r="M54" s="5"/>
      <c r="P54" s="5"/>
      <c r="S54" s="5"/>
      <c r="V54" s="5"/>
      <c r="Y54" s="5"/>
      <c r="AB54" s="5"/>
      <c r="AE54" s="5"/>
      <c r="AH54" s="5"/>
      <c r="AK54" s="5"/>
      <c r="AN54" s="5"/>
      <c r="AQ54" s="5"/>
      <c r="AT54" s="5"/>
      <c r="AW54" s="5"/>
      <c r="AZ54" s="5"/>
      <c r="BC54" s="5"/>
      <c r="BF54" s="5"/>
      <c r="BI54" s="5"/>
      <c r="BL54" s="5"/>
      <c r="BO54" s="5"/>
      <c r="BR54" s="5"/>
      <c r="BU54" s="5"/>
      <c r="BX54" s="5"/>
      <c r="CA54" s="5"/>
      <c r="CD54" s="5"/>
      <c r="CG54" s="5"/>
      <c r="CJ54" s="5"/>
      <c r="CM54" s="5"/>
      <c r="CP54" s="5"/>
      <c r="CS54" s="5"/>
      <c r="CT54" s="5"/>
      <c r="CU54" s="5"/>
      <c r="CV54" s="5"/>
      <c r="CW54" s="5"/>
      <c r="CX54" s="5"/>
      <c r="CY54" s="5"/>
      <c r="CZ54" s="5"/>
      <c r="DA54" s="5"/>
      <c r="DB54" s="5"/>
      <c r="DC54" s="5"/>
      <c r="DD54" s="5"/>
      <c r="DE54" s="5"/>
      <c r="DF54" s="5"/>
    </row>
    <row r="55">
      <c r="A55" s="19"/>
      <c r="B55" s="26"/>
      <c r="C55" s="21"/>
      <c r="D55" s="19"/>
      <c r="G55" s="5"/>
      <c r="J55" s="5"/>
      <c r="M55" s="5"/>
      <c r="P55" s="5"/>
      <c r="S55" s="5"/>
      <c r="V55" s="5"/>
      <c r="Y55" s="5"/>
      <c r="AB55" s="5"/>
      <c r="AE55" s="5"/>
      <c r="AH55" s="5"/>
      <c r="AK55" s="5"/>
      <c r="AN55" s="5"/>
      <c r="AQ55" s="5"/>
      <c r="AT55" s="5"/>
      <c r="AW55" s="5"/>
      <c r="AZ55" s="5"/>
      <c r="BC55" s="5"/>
      <c r="BF55" s="5"/>
      <c r="BI55" s="5"/>
      <c r="BL55" s="5"/>
      <c r="BO55" s="5"/>
      <c r="BR55" s="5"/>
      <c r="BU55" s="5"/>
      <c r="BX55" s="5"/>
      <c r="CA55" s="5"/>
      <c r="CD55" s="5"/>
      <c r="CG55" s="5"/>
      <c r="CJ55" s="5"/>
      <c r="CM55" s="5"/>
      <c r="CP55" s="5"/>
      <c r="CS55" s="5"/>
      <c r="CT55" s="5"/>
      <c r="CU55" s="5"/>
      <c r="CV55" s="5"/>
      <c r="CW55" s="5"/>
      <c r="CX55" s="5"/>
      <c r="CY55" s="5"/>
      <c r="CZ55" s="5"/>
      <c r="DA55" s="5"/>
      <c r="DB55" s="5"/>
      <c r="DC55" s="5"/>
      <c r="DD55" s="5"/>
      <c r="DE55" s="5"/>
      <c r="DF55" s="5"/>
    </row>
    <row r="56">
      <c r="A56" s="19"/>
      <c r="B56" s="26"/>
      <c r="C56" s="21"/>
      <c r="D56" s="19"/>
      <c r="G56" s="5"/>
      <c r="J56" s="5"/>
      <c r="M56" s="5"/>
      <c r="P56" s="5"/>
      <c r="S56" s="5"/>
      <c r="V56" s="5"/>
      <c r="Y56" s="5"/>
      <c r="AB56" s="5"/>
      <c r="AE56" s="5"/>
      <c r="AH56" s="5"/>
      <c r="AK56" s="5"/>
      <c r="AN56" s="5"/>
      <c r="AQ56" s="5"/>
      <c r="AT56" s="5"/>
      <c r="AW56" s="5"/>
      <c r="AZ56" s="5"/>
      <c r="BC56" s="5"/>
      <c r="BF56" s="5"/>
      <c r="BI56" s="5"/>
      <c r="BL56" s="5"/>
      <c r="BO56" s="5"/>
      <c r="BR56" s="5"/>
      <c r="BU56" s="5"/>
      <c r="BX56" s="5"/>
      <c r="CA56" s="5"/>
      <c r="CD56" s="5"/>
      <c r="CG56" s="5"/>
      <c r="CJ56" s="5"/>
      <c r="CM56" s="5"/>
      <c r="CP56" s="5"/>
      <c r="CS56" s="5"/>
      <c r="CT56" s="5"/>
      <c r="CU56" s="5"/>
      <c r="CV56" s="5"/>
      <c r="CW56" s="5"/>
      <c r="CX56" s="5"/>
      <c r="CY56" s="5"/>
      <c r="CZ56" s="5"/>
      <c r="DA56" s="5"/>
      <c r="DB56" s="5"/>
      <c r="DC56" s="5"/>
      <c r="DD56" s="5"/>
      <c r="DE56" s="5"/>
      <c r="DF56" s="5"/>
    </row>
    <row r="57">
      <c r="A57" s="19"/>
      <c r="B57" s="26"/>
      <c r="C57" s="21"/>
      <c r="D57" s="19"/>
      <c r="G57" s="5"/>
      <c r="J57" s="5"/>
      <c r="M57" s="5"/>
      <c r="P57" s="5"/>
      <c r="S57" s="5"/>
      <c r="V57" s="5"/>
      <c r="Y57" s="5"/>
      <c r="AB57" s="5"/>
      <c r="AE57" s="5"/>
      <c r="AH57" s="5"/>
      <c r="AK57" s="5"/>
      <c r="AN57" s="5"/>
      <c r="AQ57" s="5"/>
      <c r="AT57" s="5"/>
      <c r="AW57" s="5"/>
      <c r="AZ57" s="5"/>
      <c r="BC57" s="5"/>
      <c r="BF57" s="5"/>
      <c r="BI57" s="5"/>
      <c r="BL57" s="5"/>
      <c r="BO57" s="5"/>
      <c r="BR57" s="5"/>
      <c r="BU57" s="5"/>
      <c r="BX57" s="5"/>
      <c r="CA57" s="5"/>
      <c r="CD57" s="5"/>
      <c r="CG57" s="5"/>
      <c r="CJ57" s="5"/>
      <c r="CM57" s="5"/>
      <c r="CP57" s="5"/>
      <c r="CS57" s="5"/>
      <c r="CT57" s="5"/>
      <c r="CU57" s="5"/>
      <c r="CV57" s="5"/>
      <c r="CW57" s="5"/>
      <c r="CX57" s="5"/>
      <c r="CY57" s="5"/>
      <c r="CZ57" s="5"/>
      <c r="DA57" s="5"/>
      <c r="DB57" s="5"/>
      <c r="DC57" s="5"/>
      <c r="DD57" s="5"/>
      <c r="DE57" s="5"/>
      <c r="DF57" s="5"/>
    </row>
    <row r="58">
      <c r="A58" s="19"/>
      <c r="B58" s="26"/>
      <c r="C58" s="21"/>
      <c r="D58" s="19"/>
      <c r="G58" s="5"/>
      <c r="J58" s="5"/>
      <c r="M58" s="5"/>
      <c r="P58" s="5"/>
      <c r="S58" s="5"/>
      <c r="V58" s="5"/>
      <c r="Y58" s="5"/>
      <c r="AB58" s="5"/>
      <c r="AE58" s="5"/>
      <c r="AH58" s="5"/>
      <c r="AK58" s="5"/>
      <c r="AN58" s="5"/>
      <c r="AQ58" s="5"/>
      <c r="AT58" s="5"/>
      <c r="AW58" s="5"/>
      <c r="AZ58" s="5"/>
      <c r="BC58" s="5"/>
      <c r="BF58" s="5"/>
      <c r="BI58" s="5"/>
      <c r="BL58" s="5"/>
      <c r="BO58" s="5"/>
      <c r="BR58" s="5"/>
      <c r="BU58" s="5"/>
      <c r="BX58" s="5"/>
      <c r="CA58" s="5"/>
      <c r="CD58" s="5"/>
      <c r="CG58" s="5"/>
      <c r="CJ58" s="5"/>
      <c r="CM58" s="5"/>
      <c r="CP58" s="5"/>
      <c r="CS58" s="5"/>
      <c r="CT58" s="5"/>
      <c r="CU58" s="5"/>
      <c r="CV58" s="5"/>
      <c r="CW58" s="5"/>
      <c r="CX58" s="5"/>
      <c r="CY58" s="5"/>
      <c r="CZ58" s="5"/>
      <c r="DA58" s="5"/>
      <c r="DB58" s="5"/>
      <c r="DC58" s="5"/>
      <c r="DD58" s="5"/>
      <c r="DE58" s="5"/>
      <c r="DF58" s="5"/>
    </row>
    <row r="59">
      <c r="A59" s="19"/>
      <c r="B59" s="26"/>
      <c r="C59" s="21"/>
      <c r="D59" s="19"/>
      <c r="G59" s="5"/>
      <c r="J59" s="5"/>
      <c r="M59" s="5"/>
      <c r="P59" s="5"/>
      <c r="S59" s="5"/>
      <c r="V59" s="5"/>
      <c r="Y59" s="5"/>
      <c r="AB59" s="5"/>
      <c r="AE59" s="5"/>
      <c r="AH59" s="5"/>
      <c r="AK59" s="5"/>
      <c r="AN59" s="5"/>
      <c r="AQ59" s="5"/>
      <c r="AT59" s="5"/>
      <c r="AW59" s="5"/>
      <c r="AZ59" s="5"/>
      <c r="BC59" s="5"/>
      <c r="BF59" s="5"/>
      <c r="BI59" s="5"/>
      <c r="BL59" s="5"/>
      <c r="BO59" s="5"/>
      <c r="BR59" s="5"/>
      <c r="BU59" s="5"/>
      <c r="BX59" s="5"/>
      <c r="CA59" s="5"/>
      <c r="CD59" s="5"/>
      <c r="CG59" s="5"/>
      <c r="CJ59" s="5"/>
      <c r="CM59" s="5"/>
      <c r="CP59" s="5"/>
      <c r="CS59" s="5"/>
      <c r="CT59" s="5"/>
      <c r="CU59" s="5"/>
      <c r="CV59" s="5"/>
      <c r="CW59" s="5"/>
      <c r="CX59" s="5"/>
      <c r="CY59" s="5"/>
      <c r="CZ59" s="5"/>
      <c r="DA59" s="5"/>
      <c r="DB59" s="5"/>
      <c r="DC59" s="5"/>
      <c r="DD59" s="5"/>
      <c r="DE59" s="5"/>
      <c r="DF59" s="5"/>
    </row>
    <row r="60">
      <c r="A60" s="19"/>
      <c r="B60" s="26"/>
      <c r="C60" s="21"/>
      <c r="D60" s="19"/>
      <c r="G60" s="5"/>
      <c r="J60" s="5"/>
      <c r="M60" s="5"/>
      <c r="P60" s="5"/>
      <c r="S60" s="5"/>
      <c r="V60" s="5"/>
      <c r="Y60" s="5"/>
      <c r="AB60" s="5"/>
      <c r="AE60" s="5"/>
      <c r="AH60" s="5"/>
      <c r="AK60" s="5"/>
      <c r="AN60" s="5"/>
      <c r="AQ60" s="5"/>
      <c r="AT60" s="5"/>
      <c r="AW60" s="5"/>
      <c r="AZ60" s="5"/>
      <c r="BC60" s="5"/>
      <c r="BF60" s="5"/>
      <c r="BI60" s="5"/>
      <c r="BL60" s="5"/>
      <c r="BO60" s="5"/>
      <c r="BR60" s="5"/>
      <c r="BU60" s="5"/>
      <c r="BX60" s="5"/>
      <c r="CA60" s="5"/>
      <c r="CD60" s="5"/>
      <c r="CG60" s="5"/>
      <c r="CJ60" s="5"/>
      <c r="CM60" s="5"/>
      <c r="CP60" s="5"/>
      <c r="CS60" s="5"/>
      <c r="CT60" s="5"/>
      <c r="CU60" s="5"/>
      <c r="CV60" s="5"/>
      <c r="CW60" s="5"/>
      <c r="CX60" s="5"/>
      <c r="CY60" s="5"/>
      <c r="CZ60" s="5"/>
      <c r="DA60" s="5"/>
      <c r="DB60" s="5"/>
      <c r="DC60" s="5"/>
      <c r="DD60" s="5"/>
      <c r="DE60" s="5"/>
      <c r="DF60" s="5"/>
    </row>
    <row r="61">
      <c r="A61" s="19"/>
      <c r="B61" s="26"/>
      <c r="C61" s="21"/>
      <c r="D61" s="19"/>
      <c r="G61" s="5"/>
      <c r="J61" s="5"/>
      <c r="M61" s="5"/>
      <c r="P61" s="5"/>
      <c r="S61" s="5"/>
      <c r="V61" s="5"/>
      <c r="Y61" s="5"/>
      <c r="AB61" s="5"/>
      <c r="AE61" s="5"/>
      <c r="AH61" s="5"/>
      <c r="AK61" s="5"/>
      <c r="AN61" s="5"/>
      <c r="AQ61" s="5"/>
      <c r="AT61" s="5"/>
      <c r="AW61" s="5"/>
      <c r="AZ61" s="5"/>
      <c r="BC61" s="5"/>
      <c r="BF61" s="5"/>
      <c r="BI61" s="5"/>
      <c r="BL61" s="5"/>
      <c r="BO61" s="5"/>
      <c r="BR61" s="5"/>
      <c r="BU61" s="5"/>
      <c r="BX61" s="5"/>
      <c r="CA61" s="5"/>
      <c r="CD61" s="5"/>
      <c r="CG61" s="5"/>
      <c r="CJ61" s="5"/>
      <c r="CM61" s="5"/>
      <c r="CP61" s="5"/>
      <c r="CS61" s="5"/>
      <c r="CT61" s="5"/>
      <c r="CU61" s="5"/>
      <c r="CV61" s="5"/>
      <c r="CW61" s="5"/>
      <c r="CX61" s="5"/>
      <c r="CY61" s="5"/>
      <c r="CZ61" s="5"/>
      <c r="DA61" s="5"/>
      <c r="DB61" s="5"/>
      <c r="DC61" s="5"/>
      <c r="DD61" s="5"/>
      <c r="DE61" s="5"/>
      <c r="DF61" s="5"/>
    </row>
    <row r="62">
      <c r="A62" s="19"/>
      <c r="B62" s="26"/>
      <c r="C62" s="21"/>
      <c r="D62" s="19"/>
    </row>
    <row r="63">
      <c r="A63" s="19"/>
      <c r="B63" s="26"/>
      <c r="C63" s="21"/>
      <c r="D63" s="19"/>
    </row>
    <row r="64">
      <c r="A64" s="19"/>
      <c r="B64" s="26"/>
      <c r="C64" s="21"/>
      <c r="D64" s="19"/>
    </row>
    <row r="65">
      <c r="A65" s="19"/>
      <c r="B65" s="26"/>
      <c r="C65" s="21"/>
      <c r="D65" s="19"/>
    </row>
    <row r="66">
      <c r="A66" s="19"/>
      <c r="B66" s="26"/>
      <c r="C66" s="21"/>
      <c r="D66" s="19"/>
    </row>
    <row r="67">
      <c r="A67" s="19"/>
      <c r="B67" s="38"/>
      <c r="C67" s="19"/>
      <c r="D67" s="19"/>
    </row>
  </sheetData>
  <mergeCells count="36">
    <mergeCell ref="Z9:AB9"/>
    <mergeCell ref="AC9:AE9"/>
    <mergeCell ref="AF9:AH9"/>
    <mergeCell ref="AI9:AK9"/>
    <mergeCell ref="AL9:AN9"/>
    <mergeCell ref="AO9:AQ9"/>
    <mergeCell ref="AR9:AT9"/>
    <mergeCell ref="AU9:AW9"/>
    <mergeCell ref="AX9:AZ9"/>
    <mergeCell ref="BA9:BC9"/>
    <mergeCell ref="BD9:BF9"/>
    <mergeCell ref="BG9:BI9"/>
    <mergeCell ref="BJ9:BL9"/>
    <mergeCell ref="BM9:BO9"/>
    <mergeCell ref="CK9:CM9"/>
    <mergeCell ref="CN9:CP9"/>
    <mergeCell ref="CQ9:CS9"/>
    <mergeCell ref="BP9:BR9"/>
    <mergeCell ref="BS9:BU9"/>
    <mergeCell ref="BV9:BX9"/>
    <mergeCell ref="BY9:CA9"/>
    <mergeCell ref="CB9:CD9"/>
    <mergeCell ref="CE9:CG9"/>
    <mergeCell ref="CH9:CJ9"/>
    <mergeCell ref="B16:C16"/>
    <mergeCell ref="B17:C17"/>
    <mergeCell ref="B18:D18"/>
    <mergeCell ref="A19:B19"/>
    <mergeCell ref="A45:C45"/>
    <mergeCell ref="E9:G9"/>
    <mergeCell ref="H9:J9"/>
    <mergeCell ref="K9:M9"/>
    <mergeCell ref="N9:P9"/>
    <mergeCell ref="Q9:S9"/>
    <mergeCell ref="T9:V9"/>
    <mergeCell ref="W9:Y9"/>
  </mergeCells>
  <conditionalFormatting sqref="A1:DD1000">
    <cfRule type="cellIs" dxfId="0" priority="1" operator="equal">
      <formula>"Topic"</formula>
    </cfRule>
  </conditionalFormatting>
  <conditionalFormatting sqref="F13">
    <cfRule type="colorScale" priority="2">
      <colorScale>
        <cfvo type="min"/>
        <cfvo type="max"/>
        <color rgb="FF57BB8A"/>
        <color rgb="FFFFFFFF"/>
      </colorScale>
    </cfRule>
  </conditionalFormatting>
  <dataValidations>
    <dataValidation type="list" allowBlank="1" sqref="G11:G61 J11:J61 M11:M61 P11:P61 S11:S61 V11:V61 Y11:Y61 AB11:AB61 AE11:AE61 AH11:AH61 AK11:AK61 AN11:AN61 AQ11:AQ61 AT11:AT61 AW11:AW61 AZ11:AZ61 BC11:BC61 BF11:BF61 BI11:BI61 BL11:BL61 BO11:BO61 BR11:BR61 BU11:BU61 BX11:BX61 CA11:CA61 CD11:CD61 CG11:CG61 CJ11:CJ61 CM11:CM61 CP11:CP61 CS11:DF61">
      <formula1>$E$3:$E$7</formula1>
    </dataValidation>
    <dataValidation type="list" allowBlank="1" sqref="A26:A40">
      <formula1>$A$20:$A$23</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6" width="15.38"/>
  </cols>
  <sheetData>
    <row r="1">
      <c r="A1" s="1" t="s">
        <v>75</v>
      </c>
      <c r="B1" s="1" t="s">
        <v>76</v>
      </c>
      <c r="C1" s="1" t="s">
        <v>77</v>
      </c>
      <c r="D1" s="1" t="s">
        <v>78</v>
      </c>
      <c r="E1" s="1" t="s">
        <v>79</v>
      </c>
      <c r="F1" s="1" t="s">
        <v>80</v>
      </c>
      <c r="G1" s="1"/>
      <c r="H1" s="1"/>
      <c r="I1" s="1"/>
    </row>
    <row r="2">
      <c r="A2" s="39">
        <v>0.0</v>
      </c>
      <c r="B2" s="39">
        <v>1.623502279E9</v>
      </c>
      <c r="C2" s="40">
        <f>IFERROR(__xludf.DUMMYFUNCTION("INDEX(SPLIT(B2, char(10)), 0, 1)/86400+date(1970,1,1)"),44359.53563657407)</f>
        <v>44359.53564</v>
      </c>
      <c r="D2" s="39" t="s">
        <v>81</v>
      </c>
      <c r="E2" s="39" t="s">
        <v>82</v>
      </c>
      <c r="F2" s="39" t="s">
        <v>83</v>
      </c>
    </row>
    <row r="3">
      <c r="A3" s="39">
        <v>1.0</v>
      </c>
      <c r="B3" s="39">
        <v>1.623502464E9</v>
      </c>
      <c r="C3" s="40">
        <f>IFERROR(__xludf.DUMMYFUNCTION("INDEX(SPLIT(B3, char(10)), 0, 1)/86400+date(1970,1,1)"),44359.537777777776)</f>
        <v>44359.53778</v>
      </c>
      <c r="D3" s="39" t="s">
        <v>81</v>
      </c>
      <c r="E3" s="39" t="s">
        <v>84</v>
      </c>
      <c r="F3" s="39" t="s">
        <v>85</v>
      </c>
    </row>
    <row r="4">
      <c r="A4" s="39">
        <v>2.0</v>
      </c>
      <c r="B4" s="39">
        <v>1.623502666E9</v>
      </c>
      <c r="C4" s="40">
        <f>IFERROR(__xludf.DUMMYFUNCTION("INDEX(SPLIT(B4, char(10)), 0, 1)/86400+date(1970,1,1)"),44359.54011574074)</f>
        <v>44359.54012</v>
      </c>
      <c r="D4" s="39" t="s">
        <v>81</v>
      </c>
      <c r="E4" s="39" t="s">
        <v>86</v>
      </c>
      <c r="F4" s="39" t="s">
        <v>87</v>
      </c>
    </row>
    <row r="5">
      <c r="A5" s="39">
        <v>3.0</v>
      </c>
      <c r="B5" s="39">
        <v>1.623502762E9</v>
      </c>
      <c r="C5" s="40">
        <f>IFERROR(__xludf.DUMMYFUNCTION("INDEX(SPLIT(B5, char(10)), 0, 1)/86400+date(1970,1,1)"),44359.541226851856)</f>
        <v>44359.54123</v>
      </c>
      <c r="D5" s="39" t="s">
        <v>81</v>
      </c>
      <c r="E5" s="39" t="s">
        <v>88</v>
      </c>
      <c r="F5" s="39" t="s">
        <v>89</v>
      </c>
    </row>
    <row r="6">
      <c r="A6" s="39">
        <v>3.0</v>
      </c>
      <c r="B6" s="39">
        <v>1.623502771E9</v>
      </c>
      <c r="C6" s="40">
        <f>IFERROR(__xludf.DUMMYFUNCTION("INDEX(SPLIT(B6, char(10)), 0, 1)/86400+date(1970,1,1)"),44359.54133101852)</f>
        <v>44359.54133</v>
      </c>
      <c r="D6" s="39" t="s">
        <v>90</v>
      </c>
      <c r="E6" s="39" t="s">
        <v>91</v>
      </c>
      <c r="F6" s="39" t="s">
        <v>92</v>
      </c>
    </row>
    <row r="7">
      <c r="A7" s="39">
        <v>4.0</v>
      </c>
      <c r="B7" s="39">
        <v>1.623502877E9</v>
      </c>
      <c r="C7" s="40">
        <f>IFERROR(__xludf.DUMMYFUNCTION("INDEX(SPLIT(B7, char(10)), 0, 1)/86400+date(1970,1,1)"),44359.54255787037)</f>
        <v>44359.54256</v>
      </c>
      <c r="D7" s="39" t="s">
        <v>93</v>
      </c>
      <c r="E7" s="39" t="s">
        <v>94</v>
      </c>
      <c r="F7" s="39" t="s">
        <v>95</v>
      </c>
    </row>
    <row r="8">
      <c r="A8" s="39">
        <v>4.0</v>
      </c>
      <c r="B8" s="39">
        <v>1.623502889E9</v>
      </c>
      <c r="C8" s="40">
        <f>IFERROR(__xludf.DUMMYFUNCTION("INDEX(SPLIT(B8, char(10)), 0, 1)/86400+date(1970,1,1)"),44359.54269675926)</f>
        <v>44359.5427</v>
      </c>
      <c r="D8" s="39" t="s">
        <v>96</v>
      </c>
      <c r="E8" s="39" t="s">
        <v>97</v>
      </c>
      <c r="F8" s="39" t="s">
        <v>98</v>
      </c>
    </row>
    <row r="9">
      <c r="A9" s="39">
        <v>4.0</v>
      </c>
      <c r="B9" s="39">
        <v>1.623502931E9</v>
      </c>
      <c r="C9" s="40">
        <f>IFERROR(__xludf.DUMMYFUNCTION("INDEX(SPLIT(B9, char(10)), 0, 1)/86400+date(1970,1,1)"),44359.54318287037)</f>
        <v>44359.54318</v>
      </c>
      <c r="D9" s="39" t="s">
        <v>81</v>
      </c>
      <c r="E9" s="39" t="s">
        <v>99</v>
      </c>
      <c r="F9" s="39" t="s">
        <v>100</v>
      </c>
    </row>
    <row r="10">
      <c r="A10" s="39">
        <v>5.0</v>
      </c>
      <c r="B10" s="39">
        <v>1.62350385E9</v>
      </c>
      <c r="C10" s="40">
        <f>IFERROR(__xludf.DUMMYFUNCTION("INDEX(SPLIT(B10, char(10)), 0, 1)/86400+date(1970,1,1)"),44359.553819444445)</f>
        <v>44359.55382</v>
      </c>
      <c r="D10" s="39" t="s">
        <v>93</v>
      </c>
      <c r="E10" s="39" t="s">
        <v>101</v>
      </c>
      <c r="F10" s="39" t="s">
        <v>102</v>
      </c>
    </row>
    <row r="11">
      <c r="A11" s="39">
        <v>5.0</v>
      </c>
      <c r="B11" s="39">
        <v>1.62350387E9</v>
      </c>
      <c r="C11" s="40">
        <f>IFERROR(__xludf.DUMMYFUNCTION("INDEX(SPLIT(B11, char(10)), 0, 1)/86400+date(1970,1,1)"),44359.55405092593)</f>
        <v>44359.55405</v>
      </c>
      <c r="D11" s="39" t="s">
        <v>103</v>
      </c>
      <c r="E11" s="39" t="s">
        <v>104</v>
      </c>
      <c r="F11" s="39" t="s">
        <v>105</v>
      </c>
    </row>
    <row r="12">
      <c r="A12" s="39">
        <v>6.0</v>
      </c>
      <c r="B12" s="39">
        <v>1.623504162E9</v>
      </c>
      <c r="C12" s="40">
        <f>IFERROR(__xludf.DUMMYFUNCTION("INDEX(SPLIT(B12, char(10)), 0, 1)/86400+date(1970,1,1)"),44359.55743055556)</f>
        <v>44359.55743</v>
      </c>
      <c r="D12" s="39" t="s">
        <v>93</v>
      </c>
      <c r="E12" s="39" t="s">
        <v>106</v>
      </c>
      <c r="F12" s="39" t="s">
        <v>107</v>
      </c>
    </row>
    <row r="13">
      <c r="A13" s="39">
        <v>6.0</v>
      </c>
      <c r="B13" s="39">
        <v>1.623504174E9</v>
      </c>
      <c r="C13" s="40">
        <f>IFERROR(__xludf.DUMMYFUNCTION("INDEX(SPLIT(B13, char(10)), 0, 1)/86400+date(1970,1,1)"),44359.55756944444)</f>
        <v>44359.55757</v>
      </c>
      <c r="D13" s="39" t="s">
        <v>81</v>
      </c>
      <c r="E13" s="39" t="s">
        <v>108</v>
      </c>
      <c r="F13" s="39" t="s">
        <v>109</v>
      </c>
    </row>
    <row r="14">
      <c r="A14" s="39">
        <v>7.0</v>
      </c>
      <c r="B14" s="39">
        <v>1.623504254E9</v>
      </c>
      <c r="C14" s="40">
        <f>IFERROR(__xludf.DUMMYFUNCTION("INDEX(SPLIT(B14, char(10)), 0, 1)/86400+date(1970,1,1)"),44359.558495370366)</f>
        <v>44359.5585</v>
      </c>
      <c r="D14" s="39" t="s">
        <v>103</v>
      </c>
      <c r="E14" s="39" t="s">
        <v>110</v>
      </c>
      <c r="F14" s="39" t="s">
        <v>111</v>
      </c>
    </row>
    <row r="15">
      <c r="A15" s="39">
        <v>7.0</v>
      </c>
      <c r="B15" s="39">
        <v>1.623504295E9</v>
      </c>
      <c r="C15" s="40">
        <f>IFERROR(__xludf.DUMMYFUNCTION("INDEX(SPLIT(B15, char(10)), 0, 1)/86400+date(1970,1,1)"),44359.558969907404)</f>
        <v>44359.55897</v>
      </c>
      <c r="D15" s="39" t="s">
        <v>90</v>
      </c>
      <c r="E15" s="39" t="s">
        <v>112</v>
      </c>
      <c r="F15" s="39" t="s">
        <v>113</v>
      </c>
    </row>
    <row r="16">
      <c r="A16" s="39">
        <v>8.0</v>
      </c>
      <c r="B16" s="39">
        <v>1.623504437E9</v>
      </c>
      <c r="C16" s="40">
        <f>IFERROR(__xludf.DUMMYFUNCTION("INDEX(SPLIT(B16, char(10)), 0, 1)/86400+date(1970,1,1)"),44359.56061342593)</f>
        <v>44359.56061</v>
      </c>
      <c r="D16" s="39" t="s">
        <v>93</v>
      </c>
      <c r="E16" s="39" t="s">
        <v>114</v>
      </c>
      <c r="F16" s="39" t="s">
        <v>115</v>
      </c>
    </row>
    <row r="17">
      <c r="A17" s="39">
        <v>9.0</v>
      </c>
      <c r="B17" s="39">
        <v>1.62350457E9</v>
      </c>
      <c r="C17" s="40">
        <f>IFERROR(__xludf.DUMMYFUNCTION("INDEX(SPLIT(B17, char(10)), 0, 1)/86400+date(1970,1,1)"),44359.56215277778)</f>
        <v>44359.56215</v>
      </c>
      <c r="D17" s="39" t="s">
        <v>90</v>
      </c>
      <c r="E17" s="39" t="s">
        <v>116</v>
      </c>
      <c r="F17" s="39" t="s">
        <v>117</v>
      </c>
    </row>
    <row r="18">
      <c r="A18" s="39">
        <v>9.0</v>
      </c>
      <c r="B18" s="39">
        <v>1.623504596E9</v>
      </c>
      <c r="C18" s="40">
        <f>IFERROR(__xludf.DUMMYFUNCTION("INDEX(SPLIT(B18, char(10)), 0, 1)/86400+date(1970,1,1)"),44359.56245370371)</f>
        <v>44359.56245</v>
      </c>
      <c r="D18" s="39" t="s">
        <v>93</v>
      </c>
      <c r="E18" s="39" t="s">
        <v>118</v>
      </c>
      <c r="F18" s="39" t="s">
        <v>119</v>
      </c>
    </row>
    <row r="19">
      <c r="A19" s="39">
        <v>10.0</v>
      </c>
      <c r="B19" s="39">
        <v>1.623504705E9</v>
      </c>
      <c r="C19" s="40">
        <f>IFERROR(__xludf.DUMMYFUNCTION("INDEX(SPLIT(B19, char(10)), 0, 1)/86400+date(1970,1,1)"),44359.56371527778)</f>
        <v>44359.56372</v>
      </c>
      <c r="D19" s="39" t="s">
        <v>103</v>
      </c>
      <c r="E19" s="39" t="s">
        <v>120</v>
      </c>
      <c r="F19" s="39" t="s">
        <v>121</v>
      </c>
    </row>
    <row r="20">
      <c r="A20" s="39">
        <v>10.0</v>
      </c>
      <c r="B20" s="39">
        <v>1.623504738E9</v>
      </c>
      <c r="C20" s="40">
        <f>IFERROR(__xludf.DUMMYFUNCTION("INDEX(SPLIT(B20, char(10)), 0, 1)/86400+date(1970,1,1)"),44359.56409722222)</f>
        <v>44359.5641</v>
      </c>
      <c r="D20" s="39" t="s">
        <v>90</v>
      </c>
      <c r="E20" s="39" t="s">
        <v>122</v>
      </c>
      <c r="F20" s="39" t="s">
        <v>123</v>
      </c>
    </row>
    <row r="21">
      <c r="A21" s="39">
        <v>10.0</v>
      </c>
      <c r="B21" s="39">
        <v>1.623504752E9</v>
      </c>
      <c r="C21" s="40">
        <f>IFERROR(__xludf.DUMMYFUNCTION("INDEX(SPLIT(B21, char(10)), 0, 1)/86400+date(1970,1,1)"),44359.56425925926)</f>
        <v>44359.56426</v>
      </c>
      <c r="D21" s="39" t="s">
        <v>124</v>
      </c>
      <c r="E21" s="39" t="s">
        <v>125</v>
      </c>
      <c r="F21" s="39" t="s">
        <v>126</v>
      </c>
    </row>
    <row r="22">
      <c r="A22" s="39">
        <v>10.0</v>
      </c>
      <c r="B22" s="39">
        <v>1.623504757E9</v>
      </c>
      <c r="C22" s="40">
        <f>IFERROR(__xludf.DUMMYFUNCTION("INDEX(SPLIT(B22, char(10)), 0, 1)/86400+date(1970,1,1)"),44359.564317129625)</f>
        <v>44359.56432</v>
      </c>
      <c r="D22" s="39" t="s">
        <v>81</v>
      </c>
      <c r="E22" s="39" t="s">
        <v>82</v>
      </c>
      <c r="F22" s="39" t="s">
        <v>127</v>
      </c>
    </row>
    <row r="23">
      <c r="A23" s="39">
        <v>10.0</v>
      </c>
      <c r="B23" s="39">
        <v>1.623504773E9</v>
      </c>
      <c r="C23" s="40">
        <f>IFERROR(__xludf.DUMMYFUNCTION("INDEX(SPLIT(B23, char(10)), 0, 1)/86400+date(1970,1,1)"),44359.56450231481)</f>
        <v>44359.5645</v>
      </c>
      <c r="D23" s="39" t="s">
        <v>128</v>
      </c>
      <c r="E23" s="39" t="s">
        <v>129</v>
      </c>
      <c r="F23" s="39" t="s">
        <v>130</v>
      </c>
    </row>
    <row r="24">
      <c r="A24" s="39">
        <v>10.0</v>
      </c>
      <c r="B24" s="39">
        <v>1.623504774E9</v>
      </c>
      <c r="C24" s="40">
        <f>IFERROR(__xludf.DUMMYFUNCTION("INDEX(SPLIT(B24, char(10)), 0, 1)/86400+date(1970,1,1)"),44359.564513888894)</f>
        <v>44359.56451</v>
      </c>
      <c r="D24" s="39" t="s">
        <v>131</v>
      </c>
      <c r="E24" s="39" t="s">
        <v>132</v>
      </c>
      <c r="F24" s="39" t="s">
        <v>133</v>
      </c>
    </row>
    <row r="25">
      <c r="A25" s="39">
        <v>10.0</v>
      </c>
      <c r="B25" s="39">
        <v>1.62350478E9</v>
      </c>
      <c r="C25" s="40">
        <f>IFERROR(__xludf.DUMMYFUNCTION("INDEX(SPLIT(B25, char(10)), 0, 1)/86400+date(1970,1,1)"),44359.56458333333)</f>
        <v>44359.56458</v>
      </c>
      <c r="D25" s="39" t="s">
        <v>93</v>
      </c>
      <c r="E25" s="39" t="s">
        <v>134</v>
      </c>
      <c r="F25" s="39" t="s">
        <v>135</v>
      </c>
    </row>
    <row r="26">
      <c r="A26" s="39">
        <v>10.0</v>
      </c>
      <c r="B26" s="39">
        <v>1.62350478E9</v>
      </c>
      <c r="C26" s="40">
        <f>IFERROR(__xludf.DUMMYFUNCTION("INDEX(SPLIT(B26, char(10)), 0, 1)/86400+date(1970,1,1)"),44359.56458333333)</f>
        <v>44359.56458</v>
      </c>
      <c r="D26" s="39" t="s">
        <v>136</v>
      </c>
      <c r="E26" s="39" t="s">
        <v>137</v>
      </c>
      <c r="F26" s="39" t="s">
        <v>138</v>
      </c>
    </row>
    <row r="27">
      <c r="A27" s="39">
        <v>11.0</v>
      </c>
      <c r="B27" s="39">
        <v>1.623504831E9</v>
      </c>
      <c r="C27" s="40">
        <f>IFERROR(__xludf.DUMMYFUNCTION("INDEX(SPLIT(B27, char(10)), 0, 1)/86400+date(1970,1,1)"),44359.56517361111)</f>
        <v>44359.56517</v>
      </c>
      <c r="D27" s="39" t="s">
        <v>103</v>
      </c>
      <c r="E27" s="39" t="s">
        <v>139</v>
      </c>
      <c r="F27" s="39" t="s">
        <v>140</v>
      </c>
    </row>
    <row r="28">
      <c r="A28" s="39">
        <v>12.0</v>
      </c>
      <c r="B28" s="39">
        <v>1.623505394E9</v>
      </c>
      <c r="C28" s="40">
        <f>IFERROR(__xludf.DUMMYFUNCTION("INDEX(SPLIT(B28, char(10)), 0, 1)/86400+date(1970,1,1)"),44359.57168981481)</f>
        <v>44359.57169</v>
      </c>
      <c r="D28" s="39" t="s">
        <v>81</v>
      </c>
      <c r="E28" s="39" t="s">
        <v>141</v>
      </c>
      <c r="F28" s="39" t="s">
        <v>142</v>
      </c>
    </row>
    <row r="29">
      <c r="A29" s="39">
        <v>13.0</v>
      </c>
      <c r="B29" s="39">
        <v>1.6235055E9</v>
      </c>
      <c r="C29" s="40">
        <f>IFERROR(__xludf.DUMMYFUNCTION("INDEX(SPLIT(B29, char(10)), 0, 1)/86400+date(1970,1,1)"),44359.57291666667)</f>
        <v>44359.57292</v>
      </c>
      <c r="D29" s="39" t="s">
        <v>96</v>
      </c>
      <c r="E29" s="39" t="s">
        <v>143</v>
      </c>
      <c r="F29" s="39" t="s">
        <v>144</v>
      </c>
    </row>
    <row r="30">
      <c r="A30" s="39">
        <v>14.0</v>
      </c>
      <c r="B30" s="39">
        <v>1.623505604E9</v>
      </c>
      <c r="C30" s="40">
        <f>IFERROR(__xludf.DUMMYFUNCTION("INDEX(SPLIT(B30, char(10)), 0, 1)/86400+date(1970,1,1)"),44359.574120370366)</f>
        <v>44359.57412</v>
      </c>
      <c r="D30" s="39" t="s">
        <v>96</v>
      </c>
      <c r="E30" s="39" t="s">
        <v>145</v>
      </c>
      <c r="F30" s="39" t="s">
        <v>146</v>
      </c>
    </row>
    <row r="31">
      <c r="A31" s="39">
        <v>14.0</v>
      </c>
      <c r="B31" s="39">
        <v>1.62350568E9</v>
      </c>
      <c r="C31" s="40">
        <f>IFERROR(__xludf.DUMMYFUNCTION("INDEX(SPLIT(B31, char(10)), 0, 1)/86400+date(1970,1,1)"),44359.575)</f>
        <v>44359.575</v>
      </c>
      <c r="D31" s="39" t="s">
        <v>93</v>
      </c>
      <c r="E31" s="39" t="s">
        <v>147</v>
      </c>
      <c r="F31" s="39" t="s">
        <v>148</v>
      </c>
    </row>
    <row r="32">
      <c r="A32" s="39">
        <v>14.0</v>
      </c>
      <c r="B32" s="39">
        <v>1.623505689E9</v>
      </c>
      <c r="C32" s="40">
        <f>IFERROR(__xludf.DUMMYFUNCTION("INDEX(SPLIT(B32, char(10)), 0, 1)/86400+date(1970,1,1)"),44359.575104166666)</f>
        <v>44359.5751</v>
      </c>
      <c r="D32" s="39" t="s">
        <v>124</v>
      </c>
      <c r="E32" s="39" t="s">
        <v>149</v>
      </c>
      <c r="F32" s="39" t="s">
        <v>150</v>
      </c>
    </row>
    <row r="33">
      <c r="A33" s="39">
        <v>15.0</v>
      </c>
      <c r="B33" s="39">
        <v>1.623505705E9</v>
      </c>
      <c r="C33" s="40">
        <f>IFERROR(__xludf.DUMMYFUNCTION("INDEX(SPLIT(B33, char(10)), 0, 1)/86400+date(1970,1,1)"),44359.57528935185)</f>
        <v>44359.57529</v>
      </c>
      <c r="D33" s="39" t="s">
        <v>151</v>
      </c>
      <c r="E33" s="39" t="s">
        <v>152</v>
      </c>
      <c r="F33" s="39" t="s">
        <v>153</v>
      </c>
    </row>
    <row r="34">
      <c r="A34" s="39">
        <v>15.0</v>
      </c>
      <c r="B34" s="39">
        <v>1.623505717E9</v>
      </c>
      <c r="C34" s="40">
        <f>IFERROR(__xludf.DUMMYFUNCTION("INDEX(SPLIT(B34, char(10)), 0, 1)/86400+date(1970,1,1)"),44359.57542824074)</f>
        <v>44359.57543</v>
      </c>
      <c r="D34" s="39" t="s">
        <v>103</v>
      </c>
      <c r="E34" s="39" t="s">
        <v>154</v>
      </c>
      <c r="F34" s="39" t="s">
        <v>155</v>
      </c>
    </row>
    <row r="35">
      <c r="A35" s="39">
        <v>15.0</v>
      </c>
      <c r="B35" s="39">
        <v>1.623505717E9</v>
      </c>
      <c r="C35" s="40">
        <f>IFERROR(__xludf.DUMMYFUNCTION("INDEX(SPLIT(B35, char(10)), 0, 1)/86400+date(1970,1,1)"),44359.57542824074)</f>
        <v>44359.57543</v>
      </c>
      <c r="D35" s="39" t="s">
        <v>90</v>
      </c>
      <c r="E35" s="39" t="s">
        <v>156</v>
      </c>
      <c r="F35" s="39" t="s">
        <v>157</v>
      </c>
    </row>
    <row r="36">
      <c r="A36" s="39">
        <v>16.0</v>
      </c>
      <c r="B36" s="39">
        <v>1.623505801E9</v>
      </c>
      <c r="C36" s="40">
        <f>IFERROR(__xludf.DUMMYFUNCTION("INDEX(SPLIT(B36, char(10)), 0, 1)/86400+date(1970,1,1)"),44359.57640046296)</f>
        <v>44359.5764</v>
      </c>
      <c r="D36" s="39" t="s">
        <v>81</v>
      </c>
      <c r="E36" s="39" t="s">
        <v>158</v>
      </c>
      <c r="F36" s="39" t="s">
        <v>159</v>
      </c>
    </row>
    <row r="37">
      <c r="A37" s="39">
        <v>16.0</v>
      </c>
      <c r="B37" s="39">
        <v>1.623505847E9</v>
      </c>
      <c r="C37" s="40">
        <f>IFERROR(__xludf.DUMMYFUNCTION("INDEX(SPLIT(B37, char(10)), 0, 1)/86400+date(1970,1,1)"),44359.576932870375)</f>
        <v>44359.57693</v>
      </c>
      <c r="D37" s="39" t="s">
        <v>93</v>
      </c>
      <c r="E37" s="39" t="s">
        <v>160</v>
      </c>
      <c r="F37" s="39" t="s">
        <v>161</v>
      </c>
    </row>
    <row r="38">
      <c r="A38" s="39">
        <v>16.0</v>
      </c>
      <c r="B38" s="39">
        <v>1.623505848E9</v>
      </c>
      <c r="C38" s="40">
        <f>IFERROR(__xludf.DUMMYFUNCTION("INDEX(SPLIT(B38, char(10)), 0, 1)/86400+date(1970,1,1)"),44359.576944444445)</f>
        <v>44359.57694</v>
      </c>
      <c r="D38" s="39" t="s">
        <v>103</v>
      </c>
      <c r="E38" s="39" t="s">
        <v>162</v>
      </c>
      <c r="F38" s="39" t="s">
        <v>163</v>
      </c>
    </row>
    <row r="39">
      <c r="A39" s="39">
        <v>17.0</v>
      </c>
      <c r="B39" s="39">
        <v>1.62350603E9</v>
      </c>
      <c r="C39" s="40">
        <f>IFERROR(__xludf.DUMMYFUNCTION("INDEX(SPLIT(B39, char(10)), 0, 1)/86400+date(1970,1,1)"),44359.579050925924)</f>
        <v>44359.57905</v>
      </c>
      <c r="D39" s="39" t="s">
        <v>103</v>
      </c>
      <c r="E39" s="39" t="s">
        <v>164</v>
      </c>
      <c r="F39" s="39" t="s">
        <v>165</v>
      </c>
    </row>
    <row r="40">
      <c r="A40" s="39">
        <v>17.0</v>
      </c>
      <c r="B40" s="39">
        <v>1.623506053E9</v>
      </c>
      <c r="C40" s="40">
        <f>IFERROR(__xludf.DUMMYFUNCTION("INDEX(SPLIT(B40, char(10)), 0, 1)/86400+date(1970,1,1)"),44359.579317129625)</f>
        <v>44359.57932</v>
      </c>
      <c r="D40" s="39" t="s">
        <v>96</v>
      </c>
      <c r="E40" s="39" t="s">
        <v>166</v>
      </c>
      <c r="F40" s="39" t="s">
        <v>167</v>
      </c>
    </row>
    <row r="41">
      <c r="A41" s="39">
        <v>17.0</v>
      </c>
      <c r="B41" s="39">
        <v>1.623506063E9</v>
      </c>
      <c r="C41" s="40">
        <f>IFERROR(__xludf.DUMMYFUNCTION("INDEX(SPLIT(B41, char(10)), 0, 1)/86400+date(1970,1,1)"),44359.57943287037)</f>
        <v>44359.57943</v>
      </c>
      <c r="D41" s="39" t="s">
        <v>124</v>
      </c>
      <c r="E41" s="39" t="s">
        <v>168</v>
      </c>
      <c r="F41" s="39" t="s">
        <v>169</v>
      </c>
    </row>
    <row r="42">
      <c r="A42" s="39">
        <v>18.0</v>
      </c>
      <c r="B42" s="39">
        <v>1.623506862E9</v>
      </c>
      <c r="C42" s="40">
        <f>IFERROR(__xludf.DUMMYFUNCTION("INDEX(SPLIT(B42, char(10)), 0, 1)/86400+date(1970,1,1)"),44359.58868055556)</f>
        <v>44359.58868</v>
      </c>
      <c r="D42" s="39" t="s">
        <v>128</v>
      </c>
      <c r="E42" s="39" t="s">
        <v>170</v>
      </c>
      <c r="F42" s="39" t="s">
        <v>171</v>
      </c>
    </row>
    <row r="43">
      <c r="A43" s="39">
        <v>18.0</v>
      </c>
      <c r="B43" s="39">
        <v>1.623506897E9</v>
      </c>
      <c r="C43" s="40">
        <f>IFERROR(__xludf.DUMMYFUNCTION("INDEX(SPLIT(B43, char(10)), 0, 1)/86400+date(1970,1,1)"),44359.58908564815)</f>
        <v>44359.58909</v>
      </c>
      <c r="D43" s="39" t="s">
        <v>124</v>
      </c>
      <c r="E43" s="39" t="s">
        <v>172</v>
      </c>
      <c r="F43" s="39" t="s">
        <v>173</v>
      </c>
    </row>
    <row r="44">
      <c r="A44" s="39">
        <v>18.0</v>
      </c>
      <c r="B44" s="39">
        <v>1.62350692E9</v>
      </c>
      <c r="C44" s="40">
        <f>IFERROR(__xludf.DUMMYFUNCTION("INDEX(SPLIT(B44, char(10)), 0, 1)/86400+date(1970,1,1)"),44359.58935185186)</f>
        <v>44359.58935</v>
      </c>
      <c r="D44" s="39" t="s">
        <v>174</v>
      </c>
      <c r="E44" s="39" t="s">
        <v>175</v>
      </c>
      <c r="F44" s="39" t="s">
        <v>176</v>
      </c>
    </row>
    <row r="45">
      <c r="A45" s="39">
        <v>18.0</v>
      </c>
      <c r="B45" s="39">
        <v>1.623506934E9</v>
      </c>
      <c r="C45" s="40">
        <f>IFERROR(__xludf.DUMMYFUNCTION("INDEX(SPLIT(B45, char(10)), 0, 1)/86400+date(1970,1,1)"),44359.58951388889)</f>
        <v>44359.58951</v>
      </c>
      <c r="D45" s="39" t="s">
        <v>131</v>
      </c>
      <c r="E45" s="39" t="s">
        <v>177</v>
      </c>
      <c r="F45" s="39" t="s">
        <v>178</v>
      </c>
    </row>
    <row r="46">
      <c r="A46" s="39">
        <v>18.0</v>
      </c>
      <c r="B46" s="39">
        <v>1.623506947E9</v>
      </c>
      <c r="C46" s="40">
        <f>IFERROR(__xludf.DUMMYFUNCTION("INDEX(SPLIT(B46, char(10)), 0, 1)/86400+date(1970,1,1)"),44359.58966435185)</f>
        <v>44359.58966</v>
      </c>
      <c r="D46" s="39" t="s">
        <v>93</v>
      </c>
      <c r="E46" s="39" t="s">
        <v>179</v>
      </c>
      <c r="F46" s="39" t="s">
        <v>180</v>
      </c>
    </row>
    <row r="47">
      <c r="A47" s="39">
        <v>19.0</v>
      </c>
      <c r="B47" s="39">
        <v>1.623506957E9</v>
      </c>
      <c r="C47" s="40">
        <f>IFERROR(__xludf.DUMMYFUNCTION("INDEX(SPLIT(B47, char(10)), 0, 1)/86400+date(1970,1,1)"),44359.58978009259)</f>
        <v>44359.58978</v>
      </c>
      <c r="D47" s="39" t="s">
        <v>151</v>
      </c>
      <c r="E47" s="39" t="s">
        <v>181</v>
      </c>
      <c r="F47" s="39" t="s">
        <v>182</v>
      </c>
    </row>
    <row r="48">
      <c r="A48" s="39">
        <v>19.0</v>
      </c>
      <c r="B48" s="39">
        <v>1.62350696E9</v>
      </c>
      <c r="C48" s="40">
        <f>IFERROR(__xludf.DUMMYFUNCTION("INDEX(SPLIT(B48, char(10)), 0, 1)/86400+date(1970,1,1)"),44359.58981481481)</f>
        <v>44359.58981</v>
      </c>
      <c r="D48" s="39" t="s">
        <v>96</v>
      </c>
      <c r="E48" s="39" t="s">
        <v>183</v>
      </c>
      <c r="F48" s="39" t="s">
        <v>184</v>
      </c>
    </row>
    <row r="49">
      <c r="A49" s="39">
        <v>19.0</v>
      </c>
      <c r="B49" s="39">
        <v>1.62350696E9</v>
      </c>
      <c r="C49" s="40">
        <f>IFERROR(__xludf.DUMMYFUNCTION("INDEX(SPLIT(B49, char(10)), 0, 1)/86400+date(1970,1,1)"),44359.58981481481)</f>
        <v>44359.58981</v>
      </c>
      <c r="D49" s="39" t="s">
        <v>90</v>
      </c>
      <c r="E49" s="39" t="s">
        <v>185</v>
      </c>
      <c r="F49" s="39" t="s">
        <v>186</v>
      </c>
    </row>
    <row r="50">
      <c r="A50" s="39">
        <v>19.0</v>
      </c>
      <c r="B50" s="39">
        <v>1.623506962E9</v>
      </c>
      <c r="C50" s="40">
        <f>IFERROR(__xludf.DUMMYFUNCTION("INDEX(SPLIT(B50, char(10)), 0, 1)/86400+date(1970,1,1)"),44359.589837962965)</f>
        <v>44359.58984</v>
      </c>
      <c r="D50" s="39" t="s">
        <v>81</v>
      </c>
      <c r="E50" s="39" t="s">
        <v>187</v>
      </c>
      <c r="F50" s="39" t="s">
        <v>188</v>
      </c>
    </row>
    <row r="51">
      <c r="A51" s="39">
        <v>19.0</v>
      </c>
      <c r="B51" s="39">
        <v>1.623506967E9</v>
      </c>
      <c r="C51" s="40">
        <f>IFERROR(__xludf.DUMMYFUNCTION("INDEX(SPLIT(B51, char(10)), 0, 1)/86400+date(1970,1,1)"),44359.589895833335)</f>
        <v>44359.5899</v>
      </c>
      <c r="D51" s="39" t="s">
        <v>136</v>
      </c>
      <c r="E51" s="39" t="s">
        <v>189</v>
      </c>
      <c r="F51" s="39" t="s">
        <v>190</v>
      </c>
    </row>
    <row r="52">
      <c r="A52" s="39">
        <v>19.0</v>
      </c>
      <c r="B52" s="39">
        <v>1.623507011E9</v>
      </c>
      <c r="C52" s="40">
        <f>IFERROR(__xludf.DUMMYFUNCTION("INDEX(SPLIT(B52, char(10)), 0, 1)/86400+date(1970,1,1)"),44359.59040509259)</f>
        <v>44359.59041</v>
      </c>
      <c r="D52" s="39" t="s">
        <v>174</v>
      </c>
      <c r="E52" s="39" t="s">
        <v>191</v>
      </c>
      <c r="F52" s="39" t="s">
        <v>192</v>
      </c>
    </row>
    <row r="53">
      <c r="A53" s="39">
        <v>19.0</v>
      </c>
      <c r="B53" s="39">
        <v>1.623507014E9</v>
      </c>
      <c r="C53" s="40">
        <f>IFERROR(__xludf.DUMMYFUNCTION("INDEX(SPLIT(B53, char(10)), 0, 1)/86400+date(1970,1,1)"),44359.59043981481)</f>
        <v>44359.59044</v>
      </c>
      <c r="D53" s="39" t="s">
        <v>103</v>
      </c>
      <c r="E53" s="39" t="s">
        <v>185</v>
      </c>
      <c r="F53" s="39" t="s">
        <v>193</v>
      </c>
    </row>
    <row r="54">
      <c r="A54" s="39">
        <v>19.0</v>
      </c>
      <c r="B54" s="39">
        <v>1.623507043E9</v>
      </c>
      <c r="C54" s="40">
        <f>IFERROR(__xludf.DUMMYFUNCTION("INDEX(SPLIT(B54, char(10)), 0, 1)/86400+date(1970,1,1)"),44359.59077546296)</f>
        <v>44359.59078</v>
      </c>
      <c r="D54" s="39" t="s">
        <v>131</v>
      </c>
      <c r="E54" s="39" t="s">
        <v>194</v>
      </c>
      <c r="F54" s="39" t="s">
        <v>195</v>
      </c>
    </row>
    <row r="55">
      <c r="A55" s="39">
        <v>20.0</v>
      </c>
      <c r="B55" s="39">
        <v>1.623507222E9</v>
      </c>
      <c r="C55" s="40">
        <f>IFERROR(__xludf.DUMMYFUNCTION("INDEX(SPLIT(B55, char(10)), 0, 1)/86400+date(1970,1,1)"),44359.59284722222)</f>
        <v>44359.59285</v>
      </c>
      <c r="D55" s="39" t="s">
        <v>136</v>
      </c>
      <c r="E55" s="39" t="s">
        <v>196</v>
      </c>
      <c r="F55" s="39" t="s">
        <v>197</v>
      </c>
    </row>
    <row r="56">
      <c r="A56" s="39">
        <v>20.0</v>
      </c>
      <c r="B56" s="39">
        <v>1.623507311E9</v>
      </c>
      <c r="C56" s="40">
        <f>IFERROR(__xludf.DUMMYFUNCTION("INDEX(SPLIT(B56, char(10)), 0, 1)/86400+date(1970,1,1)"),44359.593877314815)</f>
        <v>44359.59388</v>
      </c>
      <c r="D56" s="39" t="s">
        <v>103</v>
      </c>
      <c r="E56" s="39" t="s">
        <v>198</v>
      </c>
      <c r="F56" s="39" t="s">
        <v>199</v>
      </c>
    </row>
    <row r="57">
      <c r="A57" s="39">
        <v>21.0</v>
      </c>
      <c r="B57" s="39">
        <v>1.623507348E9</v>
      </c>
      <c r="C57" s="40">
        <f>IFERROR(__xludf.DUMMYFUNCTION("INDEX(SPLIT(B57, char(10)), 0, 1)/86400+date(1970,1,1)"),44359.594305555554)</f>
        <v>44359.59431</v>
      </c>
      <c r="D57" s="39" t="s">
        <v>81</v>
      </c>
      <c r="E57" s="39" t="s">
        <v>200</v>
      </c>
      <c r="F57" s="39" t="s">
        <v>201</v>
      </c>
    </row>
    <row r="58">
      <c r="A58" s="39">
        <v>22.0</v>
      </c>
      <c r="B58" s="39">
        <v>1.623507454E9</v>
      </c>
      <c r="C58" s="40">
        <f>IFERROR(__xludf.DUMMYFUNCTION("INDEX(SPLIT(B58, char(10)), 0, 1)/86400+date(1970,1,1)"),44359.5955324074)</f>
        <v>44359.59553</v>
      </c>
      <c r="D58" s="39" t="s">
        <v>81</v>
      </c>
      <c r="E58" s="39" t="s">
        <v>202</v>
      </c>
      <c r="F58" s="39" t="s">
        <v>203</v>
      </c>
    </row>
    <row r="59">
      <c r="A59" s="39">
        <v>22.0</v>
      </c>
      <c r="B59" s="39">
        <v>1.623507462E9</v>
      </c>
      <c r="C59" s="40">
        <f>IFERROR(__xludf.DUMMYFUNCTION("INDEX(SPLIT(B59, char(10)), 0, 1)/86400+date(1970,1,1)"),44359.595625)</f>
        <v>44359.59563</v>
      </c>
      <c r="D59" s="39" t="s">
        <v>90</v>
      </c>
      <c r="E59" s="39" t="s">
        <v>112</v>
      </c>
      <c r="F59" s="39" t="s">
        <v>204</v>
      </c>
    </row>
    <row r="60">
      <c r="A60" s="39">
        <v>22.0</v>
      </c>
      <c r="B60" s="39">
        <v>1.623507537E9</v>
      </c>
      <c r="C60" s="40">
        <f>IFERROR(__xludf.DUMMYFUNCTION("INDEX(SPLIT(B60, char(10)), 0, 1)/86400+date(1970,1,1)"),44359.59649305556)</f>
        <v>44359.59649</v>
      </c>
      <c r="D60" s="39" t="s">
        <v>103</v>
      </c>
      <c r="E60" s="39" t="s">
        <v>205</v>
      </c>
      <c r="F60" s="39" t="s">
        <v>206</v>
      </c>
    </row>
    <row r="61">
      <c r="A61" s="39">
        <v>23.0</v>
      </c>
      <c r="B61" s="39">
        <v>1.623507566E9</v>
      </c>
      <c r="C61" s="40">
        <f>IFERROR(__xludf.DUMMYFUNCTION("INDEX(SPLIT(B61, char(10)), 0, 1)/86400+date(1970,1,1)"),44359.5968287037)</f>
        <v>44359.59683</v>
      </c>
      <c r="D61" s="39" t="s">
        <v>81</v>
      </c>
      <c r="E61" s="39" t="s">
        <v>207</v>
      </c>
      <c r="F61" s="39" t="s">
        <v>208</v>
      </c>
    </row>
    <row r="62">
      <c r="A62" s="39">
        <v>24.0</v>
      </c>
      <c r="B62" s="39">
        <v>1.623507734E9</v>
      </c>
      <c r="C62" s="40">
        <f>IFERROR(__xludf.DUMMYFUNCTION("INDEX(SPLIT(B62, char(10)), 0, 1)/86400+date(1970,1,1)"),44359.598773148144)</f>
        <v>44359.59877</v>
      </c>
      <c r="D62" s="39" t="s">
        <v>90</v>
      </c>
      <c r="E62" s="39" t="s">
        <v>209</v>
      </c>
      <c r="F62" s="39" t="s">
        <v>210</v>
      </c>
    </row>
    <row r="63">
      <c r="A63" s="39">
        <v>24.0</v>
      </c>
      <c r="B63" s="39">
        <v>1.623507803E9</v>
      </c>
      <c r="C63" s="40">
        <f>IFERROR(__xludf.DUMMYFUNCTION("INDEX(SPLIT(B63, char(10)), 0, 1)/86400+date(1970,1,1)"),44359.59957175926)</f>
        <v>44359.59957</v>
      </c>
      <c r="D63" s="39" t="s">
        <v>124</v>
      </c>
      <c r="E63" s="39" t="s">
        <v>211</v>
      </c>
      <c r="F63" s="39" t="s">
        <v>212</v>
      </c>
    </row>
    <row r="64">
      <c r="A64" s="39">
        <v>24.0</v>
      </c>
      <c r="B64" s="39">
        <v>1.623507804E9</v>
      </c>
      <c r="C64" s="40">
        <f>IFERROR(__xludf.DUMMYFUNCTION("INDEX(SPLIT(B64, char(10)), 0, 1)/86400+date(1970,1,1)"),44359.59958333333)</f>
        <v>44359.59958</v>
      </c>
      <c r="D64" s="39" t="s">
        <v>128</v>
      </c>
      <c r="E64" s="39" t="s">
        <v>213</v>
      </c>
      <c r="F64" s="39" t="s">
        <v>214</v>
      </c>
    </row>
    <row r="65">
      <c r="A65" s="39">
        <v>24.0</v>
      </c>
      <c r="B65" s="39">
        <v>1.623507808E9</v>
      </c>
      <c r="C65" s="40">
        <f>IFERROR(__xludf.DUMMYFUNCTION("INDEX(SPLIT(B65, char(10)), 0, 1)/86400+date(1970,1,1)"),44359.59962962963)</f>
        <v>44359.59963</v>
      </c>
      <c r="D65" s="39" t="s">
        <v>81</v>
      </c>
      <c r="E65" s="39" t="s">
        <v>215</v>
      </c>
      <c r="F65" s="39" t="s">
        <v>216</v>
      </c>
    </row>
    <row r="66">
      <c r="A66" s="39">
        <v>24.0</v>
      </c>
      <c r="B66" s="39">
        <v>1.623507818E9</v>
      </c>
      <c r="C66" s="40">
        <f>IFERROR(__xludf.DUMMYFUNCTION("INDEX(SPLIT(B66, char(10)), 0, 1)/86400+date(1970,1,1)"),44359.599745370375)</f>
        <v>44359.59975</v>
      </c>
      <c r="D66" s="39" t="s">
        <v>103</v>
      </c>
      <c r="E66" s="39" t="s">
        <v>217</v>
      </c>
      <c r="F66" s="39" t="s">
        <v>218</v>
      </c>
    </row>
    <row r="67">
      <c r="A67" s="39">
        <v>25.0</v>
      </c>
      <c r="B67" s="39">
        <v>1.623507876E9</v>
      </c>
      <c r="C67" s="40">
        <f>IFERROR(__xludf.DUMMYFUNCTION("INDEX(SPLIT(B67, char(10)), 0, 1)/86400+date(1970,1,1)"),44359.60041666667)</f>
        <v>44359.60042</v>
      </c>
      <c r="D67" s="39" t="s">
        <v>96</v>
      </c>
      <c r="E67" s="39" t="s">
        <v>219</v>
      </c>
      <c r="F67" s="39" t="s">
        <v>220</v>
      </c>
    </row>
    <row r="68">
      <c r="A68" s="39">
        <v>25.0</v>
      </c>
      <c r="B68" s="39">
        <v>1.623507879E9</v>
      </c>
      <c r="C68" s="40">
        <f>IFERROR(__xludf.DUMMYFUNCTION("INDEX(SPLIT(B68, char(10)), 0, 1)/86400+date(1970,1,1)"),44359.60045138889)</f>
        <v>44359.60045</v>
      </c>
      <c r="D68" s="39" t="s">
        <v>90</v>
      </c>
      <c r="E68" s="39" t="s">
        <v>221</v>
      </c>
      <c r="F68" s="39" t="s">
        <v>222</v>
      </c>
    </row>
    <row r="69">
      <c r="A69" s="39">
        <v>25.0</v>
      </c>
      <c r="B69" s="39">
        <v>1.623507885E9</v>
      </c>
      <c r="C69" s="40">
        <f>IFERROR(__xludf.DUMMYFUNCTION("INDEX(SPLIT(B69, char(10)), 0, 1)/86400+date(1970,1,1)"),44359.60052083334)</f>
        <v>44359.60052</v>
      </c>
      <c r="D69" s="39" t="s">
        <v>93</v>
      </c>
      <c r="E69" s="39" t="s">
        <v>223</v>
      </c>
      <c r="F69" s="39" t="s">
        <v>224</v>
      </c>
    </row>
    <row r="70">
      <c r="A70" s="39">
        <v>25.0</v>
      </c>
      <c r="B70" s="39">
        <v>1.62350792E9</v>
      </c>
      <c r="C70" s="40">
        <f>IFERROR(__xludf.DUMMYFUNCTION("INDEX(SPLIT(B70, char(10)), 0, 1)/86400+date(1970,1,1)"),44359.60092592593)</f>
        <v>44359.60093</v>
      </c>
      <c r="D70" s="39" t="s">
        <v>136</v>
      </c>
      <c r="E70" s="39" t="s">
        <v>225</v>
      </c>
      <c r="F70" s="39" t="s">
        <v>226</v>
      </c>
    </row>
    <row r="71">
      <c r="A71" s="39">
        <v>26.0</v>
      </c>
      <c r="B71" s="39">
        <v>1.623507982E9</v>
      </c>
      <c r="C71" s="40">
        <f>IFERROR(__xludf.DUMMYFUNCTION("INDEX(SPLIT(B71, char(10)), 0, 1)/86400+date(1970,1,1)"),44359.601643518516)</f>
        <v>44359.60164</v>
      </c>
      <c r="D71" s="39" t="s">
        <v>90</v>
      </c>
      <c r="E71" s="39" t="s">
        <v>227</v>
      </c>
      <c r="F71" s="39" t="s">
        <v>228</v>
      </c>
    </row>
    <row r="72">
      <c r="A72" s="39">
        <v>26.0</v>
      </c>
      <c r="B72" s="39">
        <v>1.62350799E9</v>
      </c>
      <c r="C72" s="40">
        <f>IFERROR(__xludf.DUMMYFUNCTION("INDEX(SPLIT(B72, char(10)), 0, 1)/86400+date(1970,1,1)"),44359.601736111115)</f>
        <v>44359.60174</v>
      </c>
      <c r="D72" s="39" t="s">
        <v>96</v>
      </c>
      <c r="E72" s="39" t="s">
        <v>229</v>
      </c>
      <c r="F72" s="39" t="s">
        <v>230</v>
      </c>
    </row>
    <row r="73">
      <c r="A73" s="39">
        <v>26.0</v>
      </c>
      <c r="B73" s="39">
        <v>1.623508007E9</v>
      </c>
      <c r="C73" s="40">
        <f>IFERROR(__xludf.DUMMYFUNCTION("INDEX(SPLIT(B73, char(10)), 0, 1)/86400+date(1970,1,1)"),44359.60193287037)</f>
        <v>44359.60193</v>
      </c>
      <c r="D73" s="39" t="s">
        <v>81</v>
      </c>
      <c r="E73" s="39" t="s">
        <v>231</v>
      </c>
      <c r="F73" s="39" t="s">
        <v>232</v>
      </c>
    </row>
    <row r="74">
      <c r="A74" s="39">
        <v>27.0</v>
      </c>
      <c r="B74" s="39">
        <v>1.623508104E9</v>
      </c>
      <c r="C74" s="40">
        <f>IFERROR(__xludf.DUMMYFUNCTION("INDEX(SPLIT(B74, char(10)), 0, 1)/86400+date(1970,1,1)"),44359.603055555555)</f>
        <v>44359.60306</v>
      </c>
      <c r="D74" s="39" t="s">
        <v>103</v>
      </c>
      <c r="E74" s="39" t="s">
        <v>233</v>
      </c>
      <c r="F74" s="39" t="s">
        <v>234</v>
      </c>
    </row>
    <row r="75">
      <c r="A75" s="39">
        <v>28.0</v>
      </c>
      <c r="B75" s="39">
        <v>1.623508235E9</v>
      </c>
      <c r="C75" s="40">
        <f>IFERROR(__xludf.DUMMYFUNCTION("INDEX(SPLIT(B75, char(10)), 0, 1)/86400+date(1970,1,1)"),44359.604571759264)</f>
        <v>44359.60457</v>
      </c>
      <c r="D75" s="39" t="s">
        <v>90</v>
      </c>
      <c r="E75" s="39" t="s">
        <v>235</v>
      </c>
      <c r="F75" s="39" t="s">
        <v>236</v>
      </c>
    </row>
    <row r="76">
      <c r="A76" s="39">
        <v>29.0</v>
      </c>
      <c r="B76" s="39">
        <v>1.623508345E9</v>
      </c>
      <c r="C76" s="40">
        <f>IFERROR(__xludf.DUMMYFUNCTION("INDEX(SPLIT(B76, char(10)), 0, 1)/86400+date(1970,1,1)"),44359.605844907404)</f>
        <v>44359.60584</v>
      </c>
      <c r="D76" s="39" t="s">
        <v>81</v>
      </c>
      <c r="E76" s="39" t="s">
        <v>237</v>
      </c>
      <c r="F76" s="39" t="s">
        <v>238</v>
      </c>
    </row>
    <row r="77">
      <c r="A77" s="39">
        <v>29.0</v>
      </c>
      <c r="B77" s="39">
        <v>1.623508417E9</v>
      </c>
      <c r="C77" s="40">
        <f>IFERROR(__xludf.DUMMYFUNCTION("INDEX(SPLIT(B77, char(10)), 0, 1)/86400+date(1970,1,1)"),44359.60667824074)</f>
        <v>44359.60668</v>
      </c>
      <c r="D77" s="39" t="s">
        <v>93</v>
      </c>
      <c r="E77" s="39" t="s">
        <v>239</v>
      </c>
      <c r="F77" s="39" t="s">
        <v>240</v>
      </c>
    </row>
    <row r="78">
      <c r="A78" s="39">
        <v>29.0</v>
      </c>
      <c r="B78" s="39">
        <v>1.623508426E9</v>
      </c>
      <c r="C78" s="40">
        <f>IFERROR(__xludf.DUMMYFUNCTION("INDEX(SPLIT(B78, char(10)), 0, 1)/86400+date(1970,1,1)"),44359.60678240741)</f>
        <v>44359.60678</v>
      </c>
      <c r="D78" s="39" t="s">
        <v>131</v>
      </c>
      <c r="E78" s="39" t="s">
        <v>194</v>
      </c>
      <c r="F78" s="39" t="s">
        <v>241</v>
      </c>
    </row>
    <row r="79">
      <c r="A79" s="39">
        <v>30.0</v>
      </c>
      <c r="B79" s="39">
        <v>1.62350844E9</v>
      </c>
      <c r="C79" s="40">
        <f>IFERROR(__xludf.DUMMYFUNCTION("INDEX(SPLIT(B79, char(10)), 0, 1)/86400+date(1970,1,1)"),44359.606944444444)</f>
        <v>44359.60694</v>
      </c>
      <c r="D79" s="39" t="s">
        <v>81</v>
      </c>
      <c r="E79" s="39" t="s">
        <v>242</v>
      </c>
      <c r="F79" s="39" t="s">
        <v>243</v>
      </c>
    </row>
    <row r="80">
      <c r="A80" s="39">
        <v>30.0</v>
      </c>
      <c r="B80" s="39">
        <v>1.623508447E9</v>
      </c>
      <c r="C80" s="40">
        <f>IFERROR(__xludf.DUMMYFUNCTION("INDEX(SPLIT(B80, char(10)), 0, 1)/86400+date(1970,1,1)"),44359.60702546296)</f>
        <v>44359.60703</v>
      </c>
      <c r="D80" s="39" t="s">
        <v>136</v>
      </c>
      <c r="E80" s="39" t="s">
        <v>244</v>
      </c>
      <c r="F80" s="39" t="s">
        <v>245</v>
      </c>
    </row>
    <row r="81">
      <c r="A81" s="39">
        <v>30.0</v>
      </c>
      <c r="B81" s="39">
        <v>1.623508455E9</v>
      </c>
      <c r="C81" s="40">
        <f>IFERROR(__xludf.DUMMYFUNCTION("INDEX(SPLIT(B81, char(10)), 0, 1)/86400+date(1970,1,1)"),44359.60711805556)</f>
        <v>44359.60712</v>
      </c>
      <c r="D81" s="39" t="s">
        <v>96</v>
      </c>
      <c r="E81" s="39" t="s">
        <v>246</v>
      </c>
      <c r="F81" s="39" t="s">
        <v>247</v>
      </c>
    </row>
    <row r="82">
      <c r="A82" s="39">
        <v>30.0</v>
      </c>
      <c r="B82" s="39">
        <v>1.623508456E9</v>
      </c>
      <c r="C82" s="40">
        <f>IFERROR(__xludf.DUMMYFUNCTION("INDEX(SPLIT(B82, char(10)), 0, 1)/86400+date(1970,1,1)"),44359.60712962963)</f>
        <v>44359.60713</v>
      </c>
      <c r="D82" s="39" t="s">
        <v>151</v>
      </c>
      <c r="E82" s="39" t="s">
        <v>248</v>
      </c>
      <c r="F82" s="39" t="s">
        <v>249</v>
      </c>
    </row>
    <row r="83">
      <c r="A83" s="39">
        <v>30.0</v>
      </c>
      <c r="B83" s="39">
        <v>1.623508457E9</v>
      </c>
      <c r="C83" s="40">
        <f>IFERROR(__xludf.DUMMYFUNCTION("INDEX(SPLIT(B83, char(10)), 0, 1)/86400+date(1970,1,1)"),44359.607141203705)</f>
        <v>44359.60714</v>
      </c>
      <c r="D83" s="39" t="s">
        <v>90</v>
      </c>
      <c r="E83" s="39" t="s">
        <v>250</v>
      </c>
      <c r="F83" s="39" t="s">
        <v>251</v>
      </c>
    </row>
    <row r="84">
      <c r="A84" s="39">
        <v>30.0</v>
      </c>
      <c r="B84" s="39">
        <v>1.623508476E9</v>
      </c>
      <c r="C84" s="40">
        <f>IFERROR(__xludf.DUMMYFUNCTION("INDEX(SPLIT(B84, char(10)), 0, 1)/86400+date(1970,1,1)"),44359.607361111106)</f>
        <v>44359.60736</v>
      </c>
      <c r="D84" s="39" t="s">
        <v>174</v>
      </c>
      <c r="E84" s="39" t="s">
        <v>252</v>
      </c>
      <c r="F84" s="39" t="s">
        <v>253</v>
      </c>
    </row>
    <row r="85">
      <c r="A85" s="39">
        <v>30.0</v>
      </c>
      <c r="B85" s="39">
        <v>1.623508502E9</v>
      </c>
      <c r="C85" s="40">
        <f>IFERROR(__xludf.DUMMYFUNCTION("INDEX(SPLIT(B85, char(10)), 0, 1)/86400+date(1970,1,1)"),44359.60766203704)</f>
        <v>44359.60766</v>
      </c>
      <c r="D85" s="39" t="s">
        <v>103</v>
      </c>
      <c r="E85" s="39" t="s">
        <v>254</v>
      </c>
      <c r="F85" s="39" t="s">
        <v>255</v>
      </c>
    </row>
    <row r="86">
      <c r="A86" s="39">
        <v>31.0</v>
      </c>
      <c r="B86" s="39">
        <v>1.623508536E9</v>
      </c>
      <c r="C86" s="40">
        <f>IFERROR(__xludf.DUMMYFUNCTION("INDEX(SPLIT(B86, char(10)), 0, 1)/86400+date(1970,1,1)"),44359.60805555555)</f>
        <v>44359.60806</v>
      </c>
      <c r="D86" s="39" t="s">
        <v>81</v>
      </c>
      <c r="E86" s="39" t="s">
        <v>256</v>
      </c>
      <c r="F86" s="39" t="s">
        <v>257</v>
      </c>
    </row>
    <row r="87">
      <c r="A87" s="39">
        <v>31.0</v>
      </c>
      <c r="B87" s="39">
        <v>1.623508593E9</v>
      </c>
      <c r="C87" s="40">
        <f>IFERROR(__xludf.DUMMYFUNCTION("INDEX(SPLIT(B87, char(10)), 0, 1)/86400+date(1970,1,1)"),44359.608715277776)</f>
        <v>44359.60872</v>
      </c>
      <c r="D87" s="39" t="s">
        <v>90</v>
      </c>
      <c r="E87" s="39" t="s">
        <v>258</v>
      </c>
      <c r="F87" s="39" t="s">
        <v>259</v>
      </c>
    </row>
    <row r="88">
      <c r="A88" s="39">
        <v>32.0</v>
      </c>
      <c r="B88" s="39">
        <v>1.623508626E9</v>
      </c>
      <c r="C88" s="40">
        <f>IFERROR(__xludf.DUMMYFUNCTION("INDEX(SPLIT(B88, char(10)), 0, 1)/86400+date(1970,1,1)"),44359.60909722222)</f>
        <v>44359.6091</v>
      </c>
      <c r="D88" s="39" t="s">
        <v>131</v>
      </c>
      <c r="E88" s="39" t="s">
        <v>260</v>
      </c>
      <c r="F88" s="39" t="s">
        <v>261</v>
      </c>
    </row>
    <row r="89">
      <c r="A89" s="39">
        <v>32.0</v>
      </c>
      <c r="B89" s="39">
        <v>1.623508635E9</v>
      </c>
      <c r="C89" s="40">
        <f>IFERROR(__xludf.DUMMYFUNCTION("INDEX(SPLIT(B89, char(10)), 0, 1)/86400+date(1970,1,1)"),44359.609201388885)</f>
        <v>44359.6092</v>
      </c>
      <c r="D89" s="39" t="s">
        <v>103</v>
      </c>
      <c r="E89" s="39" t="s">
        <v>262</v>
      </c>
      <c r="F89" s="39" t="s">
        <v>263</v>
      </c>
    </row>
    <row r="90">
      <c r="A90" s="39">
        <v>32.0</v>
      </c>
      <c r="B90" s="39">
        <v>1.623508696E9</v>
      </c>
      <c r="C90" s="40">
        <f>IFERROR(__xludf.DUMMYFUNCTION("INDEX(SPLIT(B90, char(10)), 0, 1)/86400+date(1970,1,1)"),44359.60990740741)</f>
        <v>44359.60991</v>
      </c>
      <c r="D90" s="39" t="s">
        <v>136</v>
      </c>
      <c r="E90" s="39" t="s">
        <v>264</v>
      </c>
      <c r="F90" s="39" t="s">
        <v>265</v>
      </c>
    </row>
    <row r="91">
      <c r="A91" s="39">
        <v>32.0</v>
      </c>
      <c r="B91" s="39">
        <v>1.623508701E9</v>
      </c>
      <c r="C91" s="40">
        <f>IFERROR(__xludf.DUMMYFUNCTION("INDEX(SPLIT(B91, char(10)), 0, 1)/86400+date(1970,1,1)"),44359.60996527778)</f>
        <v>44359.60997</v>
      </c>
      <c r="D91" s="39" t="s">
        <v>81</v>
      </c>
      <c r="E91" s="39" t="s">
        <v>266</v>
      </c>
      <c r="F91" s="39" t="s">
        <v>267</v>
      </c>
    </row>
    <row r="92">
      <c r="A92" s="39">
        <v>32.0</v>
      </c>
      <c r="B92" s="39">
        <v>1.623508712E9</v>
      </c>
      <c r="C92" s="40">
        <f>IFERROR(__xludf.DUMMYFUNCTION("INDEX(SPLIT(B92, char(10)), 0, 1)/86400+date(1970,1,1)"),44359.61009259259)</f>
        <v>44359.61009</v>
      </c>
      <c r="D92" s="39" t="s">
        <v>93</v>
      </c>
      <c r="E92" s="39" t="s">
        <v>268</v>
      </c>
      <c r="F92" s="39" t="s">
        <v>269</v>
      </c>
    </row>
    <row r="93">
      <c r="A93" s="39">
        <v>33.0</v>
      </c>
      <c r="B93" s="39">
        <v>1.623508775E9</v>
      </c>
      <c r="C93" s="40">
        <f>IFERROR(__xludf.DUMMYFUNCTION("INDEX(SPLIT(B93, char(10)), 0, 1)/86400+date(1970,1,1)"),44359.610821759255)</f>
        <v>44359.61082</v>
      </c>
      <c r="D93" s="39" t="s">
        <v>103</v>
      </c>
      <c r="E93" s="39" t="s">
        <v>270</v>
      </c>
      <c r="F93" s="39" t="s">
        <v>271</v>
      </c>
    </row>
    <row r="94">
      <c r="A94" s="39">
        <v>33.0</v>
      </c>
      <c r="B94" s="39">
        <v>1.623508794E9</v>
      </c>
      <c r="C94" s="40">
        <f>IFERROR(__xludf.DUMMYFUNCTION("INDEX(SPLIT(B94, char(10)), 0, 1)/86400+date(1970,1,1)"),44359.61104166666)</f>
        <v>44359.61104</v>
      </c>
      <c r="D94" s="39" t="s">
        <v>96</v>
      </c>
      <c r="E94" s="39" t="s">
        <v>166</v>
      </c>
      <c r="F94" s="39" t="s">
        <v>272</v>
      </c>
    </row>
    <row r="95">
      <c r="A95" s="39">
        <v>33.0</v>
      </c>
      <c r="B95" s="39">
        <v>1.623508796E9</v>
      </c>
      <c r="C95" s="40">
        <f>IFERROR(__xludf.DUMMYFUNCTION("INDEX(SPLIT(B95, char(10)), 0, 1)/86400+date(1970,1,1)"),44359.61106481482)</f>
        <v>44359.61106</v>
      </c>
      <c r="D95" s="39" t="s">
        <v>81</v>
      </c>
      <c r="E95" s="39" t="s">
        <v>273</v>
      </c>
      <c r="F95" s="39" t="s">
        <v>274</v>
      </c>
    </row>
    <row r="96">
      <c r="A96" s="39">
        <v>33.0</v>
      </c>
      <c r="B96" s="39">
        <v>1.623508825E9</v>
      </c>
      <c r="C96" s="40">
        <f>IFERROR(__xludf.DUMMYFUNCTION("INDEX(SPLIT(B96, char(10)), 0, 1)/86400+date(1970,1,1)"),44359.61140046296)</f>
        <v>44359.6114</v>
      </c>
      <c r="D96" s="39" t="s">
        <v>124</v>
      </c>
      <c r="E96" s="39" t="s">
        <v>275</v>
      </c>
      <c r="F96" s="39" t="s">
        <v>276</v>
      </c>
    </row>
    <row r="97">
      <c r="A97" s="39">
        <v>34.0</v>
      </c>
      <c r="B97" s="39">
        <v>1.623508891E9</v>
      </c>
      <c r="C97" s="40">
        <f>IFERROR(__xludf.DUMMYFUNCTION("INDEX(SPLIT(B97, char(10)), 0, 1)/86400+date(1970,1,1)"),44359.612164351856)</f>
        <v>44359.61216</v>
      </c>
      <c r="D97" s="39" t="s">
        <v>81</v>
      </c>
      <c r="E97" s="39" t="s">
        <v>277</v>
      </c>
      <c r="F97" s="39" t="s">
        <v>278</v>
      </c>
    </row>
    <row r="98">
      <c r="A98" s="39">
        <v>34.0</v>
      </c>
      <c r="B98" s="39">
        <v>1.62350894E9</v>
      </c>
      <c r="C98" s="40">
        <f>IFERROR(__xludf.DUMMYFUNCTION("INDEX(SPLIT(B98, char(10)), 0, 1)/86400+date(1970,1,1)"),44359.61273148148)</f>
        <v>44359.61273</v>
      </c>
      <c r="D98" s="39" t="s">
        <v>90</v>
      </c>
      <c r="E98" s="39" t="s">
        <v>279</v>
      </c>
      <c r="F98" s="39" t="s">
        <v>280</v>
      </c>
    </row>
    <row r="99">
      <c r="A99" s="39">
        <v>34.0</v>
      </c>
      <c r="B99" s="39">
        <v>1.623508953E9</v>
      </c>
      <c r="C99" s="40">
        <f>IFERROR(__xludf.DUMMYFUNCTION("INDEX(SPLIT(B99, char(10)), 0, 1)/86400+date(1970,1,1)"),44359.61288194444)</f>
        <v>44359.61288</v>
      </c>
      <c r="D99" s="39" t="s">
        <v>103</v>
      </c>
      <c r="E99" s="39" t="s">
        <v>281</v>
      </c>
      <c r="F99" s="39" t="s">
        <v>282</v>
      </c>
    </row>
    <row r="100">
      <c r="A100" s="39">
        <v>35.0</v>
      </c>
      <c r="B100" s="39">
        <v>1.623509004E9</v>
      </c>
      <c r="C100" s="40">
        <f>IFERROR(__xludf.DUMMYFUNCTION("INDEX(SPLIT(B100, char(10)), 0, 1)/86400+date(1970,1,1)"),44359.61347222222)</f>
        <v>44359.61347</v>
      </c>
      <c r="D100" s="39" t="s">
        <v>81</v>
      </c>
      <c r="E100" s="39" t="s">
        <v>283</v>
      </c>
      <c r="F100" s="39" t="s">
        <v>284</v>
      </c>
    </row>
    <row r="101">
      <c r="A101" s="39">
        <v>35.0</v>
      </c>
      <c r="B101" s="39">
        <v>1.623509009E9</v>
      </c>
      <c r="C101" s="40">
        <f>IFERROR(__xludf.DUMMYFUNCTION("INDEX(SPLIT(B101, char(10)), 0, 1)/86400+date(1970,1,1)"),44359.613530092596)</f>
        <v>44359.61353</v>
      </c>
      <c r="D101" s="39" t="s">
        <v>93</v>
      </c>
      <c r="E101" s="39" t="s">
        <v>285</v>
      </c>
      <c r="F101" s="39" t="s">
        <v>286</v>
      </c>
    </row>
    <row r="102">
      <c r="A102" s="39">
        <v>35.0</v>
      </c>
      <c r="B102" s="39">
        <v>1.62350903E9</v>
      </c>
      <c r="C102" s="40">
        <f>IFERROR(__xludf.DUMMYFUNCTION("INDEX(SPLIT(B102, char(10)), 0, 1)/86400+date(1970,1,1)"),44359.61377314814)</f>
        <v>44359.61377</v>
      </c>
      <c r="D102" s="39" t="s">
        <v>96</v>
      </c>
      <c r="E102" s="39" t="s">
        <v>160</v>
      </c>
      <c r="F102" s="39" t="s">
        <v>287</v>
      </c>
    </row>
    <row r="103">
      <c r="A103" s="39">
        <v>36.0</v>
      </c>
      <c r="B103" s="39">
        <v>1.623509097E9</v>
      </c>
      <c r="C103" s="40">
        <f>IFERROR(__xludf.DUMMYFUNCTION("INDEX(SPLIT(B103, char(10)), 0, 1)/86400+date(1970,1,1)"),44359.61454861111)</f>
        <v>44359.61455</v>
      </c>
      <c r="D103" s="39" t="s">
        <v>103</v>
      </c>
      <c r="E103" s="39" t="s">
        <v>288</v>
      </c>
      <c r="F103" s="39" t="s">
        <v>289</v>
      </c>
    </row>
    <row r="104">
      <c r="A104" s="39">
        <v>36.0</v>
      </c>
      <c r="B104" s="39">
        <v>1.62350911E9</v>
      </c>
      <c r="C104" s="40">
        <f>IFERROR(__xludf.DUMMYFUNCTION("INDEX(SPLIT(B104, char(10)), 0, 1)/86400+date(1970,1,1)"),44359.614699074074)</f>
        <v>44359.6147</v>
      </c>
      <c r="D104" s="39" t="s">
        <v>93</v>
      </c>
      <c r="E104" s="39" t="s">
        <v>290</v>
      </c>
      <c r="F104" s="39" t="s">
        <v>291</v>
      </c>
    </row>
    <row r="105">
      <c r="A105" s="39">
        <v>36.0</v>
      </c>
      <c r="B105" s="39">
        <v>1.623509125E9</v>
      </c>
      <c r="C105" s="40">
        <f>IFERROR(__xludf.DUMMYFUNCTION("INDEX(SPLIT(B105, char(10)), 0, 1)/86400+date(1970,1,1)"),44359.61487268518)</f>
        <v>44359.61487</v>
      </c>
      <c r="D105" s="39" t="s">
        <v>124</v>
      </c>
      <c r="E105" s="39" t="s">
        <v>292</v>
      </c>
      <c r="F105" s="39" t="s">
        <v>293</v>
      </c>
    </row>
    <row r="106">
      <c r="A106" s="39">
        <v>36.0</v>
      </c>
      <c r="B106" s="39">
        <v>1.623509153E9</v>
      </c>
      <c r="C106" s="40">
        <f>IFERROR(__xludf.DUMMYFUNCTION("INDEX(SPLIT(B106, char(10)), 0, 1)/86400+date(1970,1,1)"),44359.61519675926)</f>
        <v>44359.6152</v>
      </c>
      <c r="D106" s="39" t="s">
        <v>90</v>
      </c>
      <c r="E106" s="39" t="s">
        <v>294</v>
      </c>
      <c r="F106" s="39" t="s">
        <v>295</v>
      </c>
    </row>
    <row r="107">
      <c r="A107" s="39">
        <v>37.0</v>
      </c>
      <c r="B107" s="39">
        <v>1.623509204E9</v>
      </c>
      <c r="C107" s="40">
        <f>IFERROR(__xludf.DUMMYFUNCTION("INDEX(SPLIT(B107, char(10)), 0, 1)/86400+date(1970,1,1)"),44359.61578703704)</f>
        <v>44359.61579</v>
      </c>
      <c r="D107" s="39" t="s">
        <v>96</v>
      </c>
      <c r="E107" s="39" t="s">
        <v>296</v>
      </c>
      <c r="F107" s="39" t="s">
        <v>297</v>
      </c>
    </row>
    <row r="108">
      <c r="A108" s="39">
        <v>37.0</v>
      </c>
      <c r="B108" s="39">
        <v>1.623509256E9</v>
      </c>
      <c r="C108" s="40">
        <f>IFERROR(__xludf.DUMMYFUNCTION("INDEX(SPLIT(B108, char(10)), 0, 1)/86400+date(1970,1,1)"),44359.616388888884)</f>
        <v>44359.61639</v>
      </c>
      <c r="D108" s="39" t="s">
        <v>81</v>
      </c>
      <c r="E108" s="39" t="s">
        <v>298</v>
      </c>
      <c r="F108" s="39" t="s">
        <v>299</v>
      </c>
    </row>
    <row r="109">
      <c r="A109" s="39">
        <v>37.0</v>
      </c>
      <c r="B109" s="39">
        <v>1.62350927E9</v>
      </c>
      <c r="C109" s="40">
        <f>IFERROR(__xludf.DUMMYFUNCTION("INDEX(SPLIT(B109, char(10)), 0, 1)/86400+date(1970,1,1)"),44359.61655092593)</f>
        <v>44359.61655</v>
      </c>
      <c r="D109" s="39" t="s">
        <v>90</v>
      </c>
      <c r="E109" s="39" t="s">
        <v>290</v>
      </c>
      <c r="F109" s="39" t="s">
        <v>300</v>
      </c>
    </row>
    <row r="110">
      <c r="A110" s="39">
        <v>37.0</v>
      </c>
      <c r="B110" s="39">
        <v>1.62350929E9</v>
      </c>
      <c r="C110" s="40">
        <f>IFERROR(__xludf.DUMMYFUNCTION("INDEX(SPLIT(B110, char(10)), 0, 1)/86400+date(1970,1,1)"),44359.61678240741)</f>
        <v>44359.61678</v>
      </c>
      <c r="D110" s="39" t="s">
        <v>103</v>
      </c>
      <c r="E110" s="39" t="s">
        <v>301</v>
      </c>
      <c r="F110" s="39" t="s">
        <v>302</v>
      </c>
    </row>
    <row r="111">
      <c r="A111" s="39">
        <v>38.0</v>
      </c>
      <c r="B111" s="39">
        <v>1.62350936E9</v>
      </c>
      <c r="C111" s="40">
        <f>IFERROR(__xludf.DUMMYFUNCTION("INDEX(SPLIT(B111, char(10)), 0, 1)/86400+date(1970,1,1)"),44359.61759259259)</f>
        <v>44359.61759</v>
      </c>
      <c r="D111" s="39" t="s">
        <v>90</v>
      </c>
      <c r="E111" s="39" t="s">
        <v>185</v>
      </c>
      <c r="F111" s="39" t="s">
        <v>303</v>
      </c>
    </row>
    <row r="112">
      <c r="A112" s="39">
        <v>38.0</v>
      </c>
      <c r="B112" s="39">
        <v>1.623509383E9</v>
      </c>
      <c r="C112" s="40">
        <f>IFERROR(__xludf.DUMMYFUNCTION("INDEX(SPLIT(B112, char(10)), 0, 1)/86400+date(1970,1,1)"),44359.61785879629)</f>
        <v>44359.61786</v>
      </c>
      <c r="D112" s="39" t="s">
        <v>103</v>
      </c>
      <c r="E112" s="39" t="s">
        <v>304</v>
      </c>
      <c r="F112" s="39" t="s">
        <v>305</v>
      </c>
    </row>
    <row r="113">
      <c r="A113" s="39">
        <v>38.0</v>
      </c>
      <c r="B113" s="39">
        <v>1.62350941E9</v>
      </c>
      <c r="C113" s="40">
        <f>IFERROR(__xludf.DUMMYFUNCTION("INDEX(SPLIT(B113, char(10)), 0, 1)/86400+date(1970,1,1)"),44359.6181712963)</f>
        <v>44359.61817</v>
      </c>
      <c r="D113" s="39" t="s">
        <v>81</v>
      </c>
      <c r="E113" s="39" t="s">
        <v>306</v>
      </c>
      <c r="F113" s="39" t="s">
        <v>307</v>
      </c>
    </row>
    <row r="114">
      <c r="A114" s="39">
        <v>38.0</v>
      </c>
      <c r="B114" s="39">
        <v>1.623509432E9</v>
      </c>
      <c r="C114" s="40">
        <f>IFERROR(__xludf.DUMMYFUNCTION("INDEX(SPLIT(B114, char(10)), 0, 1)/86400+date(1970,1,1)"),44359.618425925924)</f>
        <v>44359.61843</v>
      </c>
      <c r="D114" s="39" t="s">
        <v>136</v>
      </c>
      <c r="E114" s="39" t="s">
        <v>244</v>
      </c>
      <c r="F114" s="39" t="s">
        <v>308</v>
      </c>
    </row>
    <row r="115">
      <c r="A115" s="39">
        <v>38.0</v>
      </c>
      <c r="B115" s="39">
        <v>1.623509437E9</v>
      </c>
      <c r="C115" s="40">
        <f>IFERROR(__xludf.DUMMYFUNCTION("INDEX(SPLIT(B115, char(10)), 0, 1)/86400+date(1970,1,1)"),44359.618483796294)</f>
        <v>44359.61848</v>
      </c>
      <c r="D115" s="39" t="s">
        <v>174</v>
      </c>
      <c r="E115" s="39" t="s">
        <v>175</v>
      </c>
      <c r="F115" s="39" t="s">
        <v>309</v>
      </c>
    </row>
    <row r="116">
      <c r="A116" s="39">
        <v>38.0</v>
      </c>
      <c r="B116" s="39">
        <v>1.62350944E9</v>
      </c>
      <c r="C116" s="40">
        <f>IFERROR(__xludf.DUMMYFUNCTION("INDEX(SPLIT(B116, char(10)), 0, 1)/86400+date(1970,1,1)"),44359.61851851852)</f>
        <v>44359.61852</v>
      </c>
      <c r="D116" s="39" t="s">
        <v>93</v>
      </c>
      <c r="E116" s="39" t="s">
        <v>310</v>
      </c>
      <c r="F116" s="39" t="s">
        <v>311</v>
      </c>
    </row>
    <row r="117">
      <c r="A117" s="39">
        <v>39.0</v>
      </c>
      <c r="B117" s="39">
        <v>1.623509453E9</v>
      </c>
      <c r="C117" s="40">
        <f>IFERROR(__xludf.DUMMYFUNCTION("INDEX(SPLIT(B117, char(10)), 0, 1)/86400+date(1970,1,1)"),44359.61866898148)</f>
        <v>44359.61867</v>
      </c>
      <c r="D117" s="39" t="s">
        <v>124</v>
      </c>
      <c r="E117" s="39" t="s">
        <v>312</v>
      </c>
      <c r="F117" s="39" t="s">
        <v>313</v>
      </c>
    </row>
    <row r="118">
      <c r="A118" s="39">
        <v>39.0</v>
      </c>
      <c r="B118" s="39">
        <v>1.623509511E9</v>
      </c>
      <c r="C118" s="40">
        <f>IFERROR(__xludf.DUMMYFUNCTION("INDEX(SPLIT(B118, char(10)), 0, 1)/86400+date(1970,1,1)"),44359.61934027778)</f>
        <v>44359.61934</v>
      </c>
      <c r="D118" s="39" t="s">
        <v>81</v>
      </c>
      <c r="E118" s="39" t="s">
        <v>314</v>
      </c>
      <c r="F118" s="39" t="s">
        <v>315</v>
      </c>
    </row>
    <row r="119">
      <c r="A119" s="39">
        <v>39.0</v>
      </c>
      <c r="B119" s="39">
        <v>1.62350954E9</v>
      </c>
      <c r="C119" s="40">
        <f>IFERROR(__xludf.DUMMYFUNCTION("INDEX(SPLIT(B119, char(10)), 0, 1)/86400+date(1970,1,1)"),44359.619675925926)</f>
        <v>44359.61968</v>
      </c>
      <c r="D119" s="39" t="s">
        <v>90</v>
      </c>
      <c r="E119" s="39" t="s">
        <v>316</v>
      </c>
      <c r="F119" s="39" t="s">
        <v>317</v>
      </c>
    </row>
    <row r="120">
      <c r="A120" s="39">
        <v>39.0</v>
      </c>
      <c r="B120" s="39">
        <v>1.623509542E9</v>
      </c>
      <c r="C120" s="40">
        <f>IFERROR(__xludf.DUMMYFUNCTION("INDEX(SPLIT(B120, char(10)), 0, 1)/86400+date(1970,1,1)"),44359.61969907407)</f>
        <v>44359.6197</v>
      </c>
      <c r="D120" s="39" t="s">
        <v>151</v>
      </c>
      <c r="E120" s="39" t="s">
        <v>318</v>
      </c>
      <c r="F120" s="39" t="s">
        <v>319</v>
      </c>
    </row>
    <row r="121">
      <c r="A121" s="39">
        <v>40.0</v>
      </c>
      <c r="B121" s="39">
        <v>1.623509561E9</v>
      </c>
      <c r="C121" s="40">
        <f>IFERROR(__xludf.DUMMYFUNCTION("INDEX(SPLIT(B121, char(10)), 0, 1)/86400+date(1970,1,1)"),44359.61991898148)</f>
        <v>44359.61992</v>
      </c>
      <c r="D121" s="39" t="s">
        <v>96</v>
      </c>
      <c r="E121" s="39" t="s">
        <v>320</v>
      </c>
      <c r="F121" s="39" t="s">
        <v>321</v>
      </c>
    </row>
    <row r="122">
      <c r="A122" s="39">
        <v>40.0</v>
      </c>
      <c r="B122" s="39">
        <v>1.62350962E9</v>
      </c>
      <c r="C122" s="40">
        <f>IFERROR(__xludf.DUMMYFUNCTION("INDEX(SPLIT(B122, char(10)), 0, 1)/86400+date(1970,1,1)"),44359.62060185186)</f>
        <v>44359.6206</v>
      </c>
      <c r="D122" s="39" t="s">
        <v>131</v>
      </c>
      <c r="E122" s="39" t="s">
        <v>322</v>
      </c>
      <c r="F122" s="39" t="s">
        <v>323</v>
      </c>
    </row>
    <row r="123">
      <c r="A123" s="39">
        <v>40.0</v>
      </c>
      <c r="B123" s="39">
        <v>1.623509625E9</v>
      </c>
      <c r="C123" s="40">
        <f>IFERROR(__xludf.DUMMYFUNCTION("INDEX(SPLIT(B123, char(10)), 0, 1)/86400+date(1970,1,1)"),44359.62065972222)</f>
        <v>44359.62066</v>
      </c>
      <c r="D123" s="39" t="s">
        <v>81</v>
      </c>
      <c r="E123" s="39" t="s">
        <v>324</v>
      </c>
      <c r="F123" s="39" t="s">
        <v>325</v>
      </c>
    </row>
    <row r="124">
      <c r="A124" s="39">
        <v>40.0</v>
      </c>
      <c r="B124" s="39">
        <v>1.623509631E9</v>
      </c>
      <c r="C124" s="40">
        <f>IFERROR(__xludf.DUMMYFUNCTION("INDEX(SPLIT(B124, char(10)), 0, 1)/86400+date(1970,1,1)"),44359.620729166665)</f>
        <v>44359.62073</v>
      </c>
      <c r="D124" s="39" t="s">
        <v>90</v>
      </c>
      <c r="E124" s="39" t="s">
        <v>112</v>
      </c>
      <c r="F124" s="39" t="s">
        <v>326</v>
      </c>
    </row>
    <row r="125">
      <c r="A125" s="39">
        <v>41.0</v>
      </c>
      <c r="B125" s="39">
        <v>1.623509725E9</v>
      </c>
      <c r="C125" s="40">
        <f>IFERROR(__xludf.DUMMYFUNCTION("INDEX(SPLIT(B125, char(10)), 0, 1)/86400+date(1970,1,1)"),44359.621817129635)</f>
        <v>44359.62182</v>
      </c>
      <c r="D125" s="39" t="s">
        <v>131</v>
      </c>
      <c r="E125" s="39" t="s">
        <v>327</v>
      </c>
      <c r="F125" s="39" t="s">
        <v>328</v>
      </c>
    </row>
    <row r="126">
      <c r="A126" s="39">
        <v>41.0</v>
      </c>
      <c r="B126" s="39">
        <v>1.623509748E9</v>
      </c>
      <c r="C126" s="40">
        <f>IFERROR(__xludf.DUMMYFUNCTION("INDEX(SPLIT(B126, char(10)), 0, 1)/86400+date(1970,1,1)"),44359.622083333335)</f>
        <v>44359.62208</v>
      </c>
      <c r="D126" s="39" t="s">
        <v>103</v>
      </c>
      <c r="E126" s="39" t="s">
        <v>329</v>
      </c>
      <c r="F126" s="39" t="s">
        <v>330</v>
      </c>
    </row>
    <row r="127">
      <c r="A127" s="39">
        <v>41.0</v>
      </c>
      <c r="B127" s="39">
        <v>1.623509751E9</v>
      </c>
      <c r="C127" s="40">
        <f>IFERROR(__xludf.DUMMYFUNCTION("INDEX(SPLIT(B127, char(10)), 0, 1)/86400+date(1970,1,1)"),44359.62211805556)</f>
        <v>44359.62212</v>
      </c>
      <c r="D127" s="39" t="s">
        <v>81</v>
      </c>
      <c r="E127" s="39" t="s">
        <v>331</v>
      </c>
      <c r="F127" s="39" t="s">
        <v>332</v>
      </c>
    </row>
    <row r="128">
      <c r="A128" s="39">
        <v>41.0</v>
      </c>
      <c r="B128" s="39">
        <v>1.623509791E9</v>
      </c>
      <c r="C128" s="40">
        <f>IFERROR(__xludf.DUMMYFUNCTION("INDEX(SPLIT(B128, char(10)), 0, 1)/86400+date(1970,1,1)"),44359.62258101851)</f>
        <v>44359.62258</v>
      </c>
      <c r="D128" s="39" t="s">
        <v>124</v>
      </c>
      <c r="E128" s="39" t="s">
        <v>333</v>
      </c>
      <c r="F128" s="39" t="s">
        <v>334</v>
      </c>
    </row>
    <row r="129">
      <c r="A129" s="39">
        <v>42.0</v>
      </c>
      <c r="B129" s="39">
        <v>1.623509871E9</v>
      </c>
      <c r="C129" s="40">
        <f>IFERROR(__xludf.DUMMYFUNCTION("INDEX(SPLIT(B129, char(10)), 0, 1)/86400+date(1970,1,1)"),44359.623506944445)</f>
        <v>44359.62351</v>
      </c>
      <c r="D129" s="39" t="s">
        <v>81</v>
      </c>
      <c r="E129" s="39" t="s">
        <v>335</v>
      </c>
      <c r="F129" s="39" t="s">
        <v>336</v>
      </c>
    </row>
    <row r="130">
      <c r="A130" s="39">
        <v>43.0</v>
      </c>
      <c r="B130" s="39">
        <v>1.623509989E9</v>
      </c>
      <c r="C130" s="40">
        <f>IFERROR(__xludf.DUMMYFUNCTION("INDEX(SPLIT(B130, char(10)), 0, 1)/86400+date(1970,1,1)"),44359.624872685185)</f>
        <v>44359.62487</v>
      </c>
      <c r="D130" s="39" t="s">
        <v>174</v>
      </c>
      <c r="E130" s="39" t="s">
        <v>337</v>
      </c>
      <c r="F130" s="39" t="s">
        <v>338</v>
      </c>
    </row>
    <row r="132">
      <c r="C132" s="40"/>
    </row>
    <row r="133">
      <c r="C133" s="40"/>
    </row>
    <row r="134">
      <c r="C134" s="40"/>
    </row>
    <row r="135">
      <c r="C135" s="40"/>
    </row>
    <row r="136">
      <c r="C136" s="40"/>
    </row>
    <row r="137">
      <c r="C137" s="40"/>
    </row>
    <row r="138">
      <c r="C138" s="4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9.0" topLeftCell="E10" activePane="bottomRight" state="frozen"/>
      <selection activeCell="E1" sqref="E1" pane="topRight"/>
      <selection activeCell="A10" sqref="A10" pane="bottomLeft"/>
      <selection activeCell="E10" sqref="E10" pane="bottomRight"/>
    </sheetView>
  </sheetViews>
  <sheetFormatPr customHeight="1" defaultColWidth="12.63" defaultRowHeight="15.75"/>
  <cols>
    <col customWidth="1" min="1" max="1" width="12.0"/>
    <col customWidth="1" min="2" max="2" width="17.13"/>
    <col customWidth="1" min="3" max="3" width="9.13"/>
    <col customWidth="1" min="4" max="4" width="9.75"/>
    <col customWidth="1" min="5" max="5" width="17.13"/>
    <col customWidth="1" min="6" max="6" width="25.75"/>
    <col customWidth="1" min="9" max="9" width="15.88"/>
  </cols>
  <sheetData>
    <row r="1" hidden="1">
      <c r="A1" s="1"/>
      <c r="B1" s="1"/>
      <c r="C1" s="1"/>
      <c r="D1" s="1"/>
      <c r="E1" s="1" t="s">
        <v>30</v>
      </c>
      <c r="F1" s="5" t="str">
        <f>IFERROR(__xludf.DUMMYFUNCTION("TRANSPOSE(UNIQUE(INDIRECT(B2&amp;""!D2:D107"")))"),"['champion', 'final', 'leagu', 'footbal', 'win']")</f>
        <v>['champion', 'final', 'leagu', 'footbal', 'win']</v>
      </c>
      <c r="G1" s="5" t="str">
        <f>IFERROR(__xludf.DUMMYFUNCTION("""COMPUTED_VALUE"""),"['take', 'knee', 'player']")</f>
        <v>['take', 'knee', 'player']</v>
      </c>
      <c r="H1" s="5" t="str">
        <f>IFERROR(__xludf.DUMMYFUNCTION("""COMPUTED_VALUE"""),"['goal', 'score', 'conced', 'equalis', 'offsid', 'assist']")</f>
        <v>['goal', 'score', 'conced', 'equalis', 'offsid', 'assist']</v>
      </c>
      <c r="I1" s="5" t="str">
        <f>IFERROR(__xludf.DUMMYFUNCTION("""COMPUTED_VALUE"""),"['need', 'half', 'sub', 'second', 'lead', '2nd']")</f>
        <v>['need', 'half', 'sub', 'second', 'lead', '2nd']</v>
      </c>
      <c r="J1" s="5" t="str">
        <f>IFERROR(__xludf.DUMMYFUNCTION("""COMPUTED_VALUE"""),"['touch', 'cross', 'ball', 'pass']")</f>
        <v>['touch', 'cross', 'ball', 'pass']</v>
      </c>
      <c r="K1" s="5" t="str">
        <f>IFERROR(__xludf.DUMMYFUNCTION("""COMPUTED_VALUE"""),"['foul', 'refere', 'book', 'decis', 'var', 'given', 'pen', 'dive', 'ref', 'penalti']")</f>
        <v>['foul', 'refere', 'book', 'decis', 'var', 'given', 'pen', 'dive', 'ref', 'penalti']</v>
      </c>
      <c r="L1" s="5" t="str">
        <f>IFERROR(__xludf.DUMMYFUNCTION("""COMPUTED_VALUE"""),"['tackl', 'dribbl', 'yellow', 'red', 'card']")</f>
        <v>['tackl', 'dribbl', 'yellow', 'red', 'card']</v>
      </c>
      <c r="M1" s="5" t="str">
        <f>IFERROR(__xludf.DUMMYFUNCTION("""COMPUTED_VALUE"""),"['gol', 'stream', 'onlin', 'free', 'reddit', 'link', 'EXCLUDED-manchest', 'ff', 'live']")</f>
        <v>['gol', 'stream', 'onlin', 'free', 'reddit', 'link', 'EXCLUDED-manchest', 'ff', 'live']</v>
      </c>
      <c r="N1" s="5" t="str">
        <f>IFERROR(__xludf.DUMMYFUNCTION("""COMPUTED_VALUE"""),"['deflect', 'kick', 'corner', 'shot', 'net']")</f>
        <v>['deflect', 'kick', 'corner', 'shot', 'net']</v>
      </c>
      <c r="O1" s="5" t="str">
        <f>IFERROR(__xludf.DUMMYFUNCTION("""COMPUTED_VALUE"""),"['world', 'class', 'striker']")</f>
        <v>['world', 'class', 'striker']</v>
      </c>
      <c r="P1" s="5" t="str">
        <f>IFERROR(__xludf.DUMMYFUNCTION("""COMPUTED_VALUE"""),"['keeper', 'best', 'goalkeep', 'defend', 'EXCLUDED-kepa', 'save']")</f>
        <v>['keeper', 'best', 'goalkeep', 'defend', 'EXCLUDED-kepa', 'save']</v>
      </c>
    </row>
    <row r="2">
      <c r="A2" s="14" t="s">
        <v>31</v>
      </c>
      <c r="B2" s="15" t="s">
        <v>339</v>
      </c>
      <c r="C2" s="14"/>
      <c r="D2" s="14"/>
      <c r="E2" s="16" t="s">
        <v>33</v>
      </c>
      <c r="F2" s="17" t="s">
        <v>34</v>
      </c>
      <c r="G2" s="18" t="s">
        <v>35</v>
      </c>
      <c r="H2" s="16" t="s">
        <v>33</v>
      </c>
      <c r="I2" s="17" t="s">
        <v>34</v>
      </c>
      <c r="J2" s="18" t="s">
        <v>35</v>
      </c>
      <c r="K2" s="16" t="s">
        <v>33</v>
      </c>
      <c r="L2" s="17" t="s">
        <v>34</v>
      </c>
      <c r="M2" s="18" t="s">
        <v>35</v>
      </c>
      <c r="N2" s="16" t="s">
        <v>33</v>
      </c>
      <c r="O2" s="17" t="s">
        <v>34</v>
      </c>
      <c r="P2" s="18" t="s">
        <v>35</v>
      </c>
      <c r="Q2" s="16" t="s">
        <v>33</v>
      </c>
      <c r="R2" s="17" t="s">
        <v>34</v>
      </c>
      <c r="S2" s="18" t="s">
        <v>35</v>
      </c>
      <c r="T2" s="16" t="s">
        <v>33</v>
      </c>
      <c r="U2" s="17" t="s">
        <v>34</v>
      </c>
      <c r="V2" s="18" t="s">
        <v>35</v>
      </c>
      <c r="W2" s="16" t="s">
        <v>33</v>
      </c>
      <c r="X2" s="17" t="s">
        <v>34</v>
      </c>
      <c r="Y2" s="18" t="s">
        <v>35</v>
      </c>
      <c r="Z2" s="16" t="s">
        <v>33</v>
      </c>
      <c r="AA2" s="17" t="s">
        <v>34</v>
      </c>
      <c r="AB2" s="18" t="s">
        <v>35</v>
      </c>
      <c r="AC2" s="16" t="s">
        <v>33</v>
      </c>
      <c r="AD2" s="17" t="s">
        <v>34</v>
      </c>
      <c r="AE2" s="18" t="s">
        <v>35</v>
      </c>
      <c r="AF2" s="16" t="s">
        <v>33</v>
      </c>
      <c r="AG2" s="17" t="s">
        <v>34</v>
      </c>
      <c r="AH2" s="18" t="s">
        <v>35</v>
      </c>
      <c r="AI2" s="16" t="s">
        <v>33</v>
      </c>
      <c r="AJ2" s="17" t="s">
        <v>34</v>
      </c>
      <c r="AK2" s="18" t="s">
        <v>35</v>
      </c>
      <c r="AL2" s="16" t="s">
        <v>33</v>
      </c>
      <c r="AM2" s="17" t="s">
        <v>34</v>
      </c>
      <c r="AN2" s="18" t="s">
        <v>35</v>
      </c>
      <c r="AO2" s="16" t="s">
        <v>33</v>
      </c>
      <c r="AP2" s="17" t="s">
        <v>34</v>
      </c>
      <c r="AQ2" s="18" t="s">
        <v>35</v>
      </c>
      <c r="AR2" s="16" t="s">
        <v>33</v>
      </c>
      <c r="AS2" s="17" t="s">
        <v>34</v>
      </c>
      <c r="AT2" s="18" t="s">
        <v>35</v>
      </c>
      <c r="AU2" s="16" t="s">
        <v>33</v>
      </c>
      <c r="AV2" s="17" t="s">
        <v>34</v>
      </c>
      <c r="AW2" s="18" t="s">
        <v>35</v>
      </c>
      <c r="AX2" s="16" t="s">
        <v>33</v>
      </c>
      <c r="AY2" s="17" t="s">
        <v>34</v>
      </c>
      <c r="AZ2" s="18" t="s">
        <v>35</v>
      </c>
      <c r="BA2" s="16" t="s">
        <v>33</v>
      </c>
      <c r="BB2" s="17" t="s">
        <v>34</v>
      </c>
      <c r="BC2" s="18" t="s">
        <v>35</v>
      </c>
      <c r="BD2" s="16" t="s">
        <v>33</v>
      </c>
      <c r="BE2" s="17" t="s">
        <v>34</v>
      </c>
      <c r="BF2" s="18" t="s">
        <v>35</v>
      </c>
      <c r="BG2" s="16" t="s">
        <v>33</v>
      </c>
      <c r="BH2" s="17" t="s">
        <v>34</v>
      </c>
      <c r="BI2" s="18" t="s">
        <v>35</v>
      </c>
      <c r="BJ2" s="16" t="s">
        <v>33</v>
      </c>
      <c r="BK2" s="17" t="s">
        <v>34</v>
      </c>
      <c r="BL2" s="18" t="s">
        <v>35</v>
      </c>
      <c r="BM2" s="16" t="s">
        <v>33</v>
      </c>
      <c r="BN2" s="17" t="s">
        <v>34</v>
      </c>
      <c r="BO2" s="18" t="s">
        <v>35</v>
      </c>
      <c r="BP2" s="16" t="s">
        <v>33</v>
      </c>
      <c r="BQ2" s="17" t="s">
        <v>34</v>
      </c>
      <c r="BR2" s="18" t="s">
        <v>35</v>
      </c>
      <c r="BS2" s="16" t="s">
        <v>33</v>
      </c>
      <c r="BT2" s="17" t="s">
        <v>34</v>
      </c>
      <c r="BU2" s="18" t="s">
        <v>35</v>
      </c>
      <c r="BV2" s="16" t="s">
        <v>33</v>
      </c>
      <c r="BW2" s="17" t="s">
        <v>34</v>
      </c>
      <c r="BX2" s="18" t="s">
        <v>35</v>
      </c>
      <c r="BY2" s="16" t="s">
        <v>33</v>
      </c>
      <c r="BZ2" s="17" t="s">
        <v>34</v>
      </c>
      <c r="CA2" s="18" t="s">
        <v>35</v>
      </c>
      <c r="CB2" s="16" t="s">
        <v>33</v>
      </c>
      <c r="CC2" s="17" t="s">
        <v>34</v>
      </c>
      <c r="CD2" s="18" t="s">
        <v>35</v>
      </c>
      <c r="CE2" s="16" t="s">
        <v>33</v>
      </c>
      <c r="CF2" s="17" t="s">
        <v>34</v>
      </c>
      <c r="CG2" s="18" t="s">
        <v>35</v>
      </c>
      <c r="CH2" s="16" t="s">
        <v>33</v>
      </c>
      <c r="CI2" s="17" t="s">
        <v>34</v>
      </c>
      <c r="CJ2" s="18" t="s">
        <v>35</v>
      </c>
      <c r="CK2" s="16" t="s">
        <v>33</v>
      </c>
      <c r="CL2" s="17" t="s">
        <v>34</v>
      </c>
      <c r="CM2" s="18" t="s">
        <v>35</v>
      </c>
      <c r="CN2" s="16" t="s">
        <v>33</v>
      </c>
      <c r="CO2" s="17" t="s">
        <v>34</v>
      </c>
      <c r="CP2" s="18" t="s">
        <v>35</v>
      </c>
      <c r="CQ2" s="16" t="s">
        <v>33</v>
      </c>
      <c r="CR2" s="17" t="s">
        <v>34</v>
      </c>
      <c r="CS2" s="18" t="s">
        <v>35</v>
      </c>
      <c r="CT2" s="1"/>
      <c r="CU2" s="1"/>
      <c r="CV2" s="1"/>
      <c r="CW2" s="1"/>
      <c r="CX2" s="1"/>
      <c r="CY2" s="1"/>
      <c r="CZ2" s="1"/>
      <c r="DA2" s="1"/>
      <c r="DB2" s="1"/>
      <c r="DC2" s="1"/>
      <c r="DD2" s="1"/>
      <c r="DE2" s="1"/>
      <c r="DF2" s="1"/>
    </row>
    <row r="3">
      <c r="A3" s="14"/>
      <c r="B3" s="19"/>
      <c r="C3" s="14"/>
      <c r="D3" s="14"/>
      <c r="E3" s="20" t="s">
        <v>14</v>
      </c>
      <c r="F3" s="21">
        <f t="shared" ref="F3:F7" si="1">COUNTIF(G$10:G1007,E3)</f>
        <v>3</v>
      </c>
      <c r="G3" s="22">
        <f t="shared" ref="G3:G7" si="2">F3/SUM(F$3:F$7)</f>
        <v>0.1304347826</v>
      </c>
      <c r="H3" s="20" t="s">
        <v>14</v>
      </c>
      <c r="I3" s="21">
        <f t="shared" ref="I3:I7" si="3">COUNTIF(J$10:J1007,H3)</f>
        <v>1</v>
      </c>
      <c r="J3" s="22">
        <f t="shared" ref="J3:J7" si="4">I3/SUM(I$3:I$7)</f>
        <v>0.05555555556</v>
      </c>
      <c r="K3" s="20" t="s">
        <v>14</v>
      </c>
      <c r="L3" s="21">
        <f t="shared" ref="L3:L7" si="5">COUNTIF(M$10:M1007,K3)</f>
        <v>2</v>
      </c>
      <c r="M3" s="22">
        <f t="shared" ref="M3:M7" si="6">L3/SUM(L$3:L$7)</f>
        <v>0.1333333333</v>
      </c>
      <c r="N3" s="20" t="s">
        <v>14</v>
      </c>
      <c r="O3" s="21">
        <f t="shared" ref="O3:O7" si="7">COUNTIF(P$10:P1007,N3)</f>
        <v>0</v>
      </c>
      <c r="P3" s="22">
        <f t="shared" ref="P3:P7" si="8">O3/SUM(O$3:O$7)</f>
        <v>0</v>
      </c>
      <c r="Q3" s="20" t="s">
        <v>14</v>
      </c>
      <c r="R3" s="21">
        <f t="shared" ref="R3:R7" si="9">COUNTIF(S$10:S1007,Q3)</f>
        <v>0</v>
      </c>
      <c r="S3" s="22">
        <f t="shared" ref="S3:S7" si="10">R3/SUM(R$3:R$7)</f>
        <v>0</v>
      </c>
      <c r="T3" s="20" t="s">
        <v>14</v>
      </c>
      <c r="U3" s="21">
        <f t="shared" ref="U3:U7" si="11">COUNTIF(V$10:V1007,T3)</f>
        <v>1</v>
      </c>
      <c r="V3" s="22">
        <f t="shared" ref="V3:V7" si="12">U3/SUM(U$3:U$7)</f>
        <v>0.1111111111</v>
      </c>
      <c r="W3" s="20" t="s">
        <v>14</v>
      </c>
      <c r="X3" s="21">
        <f t="shared" ref="X3:X7" si="13">COUNTIF(Y$10:Y1007,W3)</f>
        <v>0</v>
      </c>
      <c r="Y3" s="22">
        <f t="shared" ref="Y3:Y7" si="14">X3/SUM(X$3:X$7)</f>
        <v>0</v>
      </c>
      <c r="Z3" s="20" t="s">
        <v>14</v>
      </c>
      <c r="AA3" s="21">
        <f t="shared" ref="AA3:AA7" si="15">COUNTIF(AB$10:AB1007,Z3)</f>
        <v>0</v>
      </c>
      <c r="AB3" s="22">
        <f t="shared" ref="AB3:AB7" si="16">AA3/SUM(AA$3:AA$7)</f>
        <v>0</v>
      </c>
      <c r="AC3" s="20" t="s">
        <v>14</v>
      </c>
      <c r="AD3" s="21">
        <f t="shared" ref="AD3:AD7" si="17">COUNTIF(AE$10:AE1007,AC3)</f>
        <v>1</v>
      </c>
      <c r="AE3" s="22">
        <f t="shared" ref="AE3:AE7" si="18">AD3/SUM(AD$3:AD$7)</f>
        <v>0.1428571429</v>
      </c>
      <c r="AF3" s="20" t="s">
        <v>14</v>
      </c>
      <c r="AG3" s="21">
        <f t="shared" ref="AG3:AG7" si="19">COUNTIF(AH$10:AH1007,AF3)</f>
        <v>0</v>
      </c>
      <c r="AH3" s="22">
        <f t="shared" ref="AH3:AH7" si="20">AG3/SUM(AG$3:AG$7)</f>
        <v>0</v>
      </c>
      <c r="AI3" s="20" t="s">
        <v>14</v>
      </c>
      <c r="AJ3" s="21">
        <f t="shared" ref="AJ3:AJ7" si="21">COUNTIF(AK$10:AK1007,AI3)</f>
        <v>0</v>
      </c>
      <c r="AK3" s="22">
        <f t="shared" ref="AK3:AK7" si="22">AJ3/SUM(AJ$3:AJ$7)</f>
        <v>0</v>
      </c>
      <c r="AL3" s="20" t="s">
        <v>14</v>
      </c>
      <c r="AM3" s="21">
        <f t="shared" ref="AM3:AM7" si="23">COUNTIF(AN$10:AN1007,AL3)</f>
        <v>0</v>
      </c>
      <c r="AN3" s="22" t="str">
        <f t="shared" ref="AN3:AN7" si="24">AM3/SUM(AM$3:AM$7)</f>
        <v>#DIV/0!</v>
      </c>
      <c r="AO3" s="20" t="s">
        <v>14</v>
      </c>
      <c r="AP3" s="21">
        <f t="shared" ref="AP3:AP7" si="25">COUNTIF(AQ$10:AQ1007,AO3)</f>
        <v>0</v>
      </c>
      <c r="AQ3" s="22" t="str">
        <f t="shared" ref="AQ3:AQ7" si="26">AP3/SUM(AP$3:AP$7)</f>
        <v>#DIV/0!</v>
      </c>
      <c r="AR3" s="20" t="s">
        <v>14</v>
      </c>
      <c r="AS3" s="21">
        <f t="shared" ref="AS3:AS7" si="27">COUNTIF(AT$10:AT1007,AR3)</f>
        <v>0</v>
      </c>
      <c r="AT3" s="22" t="str">
        <f t="shared" ref="AT3:AT7" si="28">AS3/SUM(AS$3:AS$7)</f>
        <v>#DIV/0!</v>
      </c>
      <c r="AU3" s="20" t="s">
        <v>14</v>
      </c>
      <c r="AV3" s="21">
        <f t="shared" ref="AV3:AV7" si="29">COUNTIF(AW$10:AW1007,AU3)</f>
        <v>0</v>
      </c>
      <c r="AW3" s="22" t="str">
        <f t="shared" ref="AW3:AW7" si="30">AV3/SUM(AV$3:AV$7)</f>
        <v>#DIV/0!</v>
      </c>
      <c r="AX3" s="20" t="s">
        <v>14</v>
      </c>
      <c r="AY3" s="21">
        <f t="shared" ref="AY3:AY7" si="31">COUNTIF(AZ$10:AZ1007,AX3)</f>
        <v>0</v>
      </c>
      <c r="AZ3" s="22" t="str">
        <f t="shared" ref="AZ3:AZ7" si="32">AY3/SUM(AY$3:AY$7)</f>
        <v>#DIV/0!</v>
      </c>
      <c r="BA3" s="20" t="s">
        <v>14</v>
      </c>
      <c r="BB3" s="21">
        <f t="shared" ref="BB3:BB7" si="33">COUNTIF(BC$10:BC1007,BA3)</f>
        <v>0</v>
      </c>
      <c r="BC3" s="22" t="str">
        <f t="shared" ref="BC3:BC7" si="34">BB3/SUM(BB$3:BB$7)</f>
        <v>#DIV/0!</v>
      </c>
      <c r="BD3" s="20" t="s">
        <v>14</v>
      </c>
      <c r="BE3" s="21">
        <f t="shared" ref="BE3:BE7" si="35">COUNTIF(BF$10:BF1007,BD3)</f>
        <v>0</v>
      </c>
      <c r="BF3" s="22" t="str">
        <f t="shared" ref="BF3:BF7" si="36">BE3/SUM(BE$3:BE$7)</f>
        <v>#DIV/0!</v>
      </c>
      <c r="BG3" s="20" t="s">
        <v>14</v>
      </c>
      <c r="BH3" s="21">
        <f t="shared" ref="BH3:BH7" si="37">COUNTIF(BI$10:BI1007,BG3)</f>
        <v>0</v>
      </c>
      <c r="BI3" s="22" t="str">
        <f t="shared" ref="BI3:BI7" si="38">BH3/SUM(BH$3:BH$7)</f>
        <v>#DIV/0!</v>
      </c>
      <c r="BJ3" s="20" t="s">
        <v>14</v>
      </c>
      <c r="BK3" s="21">
        <f t="shared" ref="BK3:BK7" si="39">COUNTIF(BL$10:BL1007,BJ3)</f>
        <v>0</v>
      </c>
      <c r="BL3" s="22" t="str">
        <f t="shared" ref="BL3:BL7" si="40">BK3/SUM(BK$3:BK$7)</f>
        <v>#DIV/0!</v>
      </c>
      <c r="BM3" s="20" t="s">
        <v>14</v>
      </c>
      <c r="BN3" s="21">
        <f t="shared" ref="BN3:BN7" si="41">COUNTIF(BO$10:BO1007,BM3)</f>
        <v>0</v>
      </c>
      <c r="BO3" s="22" t="str">
        <f t="shared" ref="BO3:BO7" si="42">BN3/SUM(BN$3:BN$7)</f>
        <v>#DIV/0!</v>
      </c>
      <c r="BP3" s="20" t="s">
        <v>14</v>
      </c>
      <c r="BQ3" s="21">
        <f t="shared" ref="BQ3:BQ7" si="43">COUNTIF(BR$10:BR1007,BP3)</f>
        <v>0</v>
      </c>
      <c r="BR3" s="22" t="str">
        <f t="shared" ref="BR3:BR7" si="44">BQ3/SUM(BQ$3:BQ$7)</f>
        <v>#DIV/0!</v>
      </c>
      <c r="BS3" s="20" t="s">
        <v>14</v>
      </c>
      <c r="BT3" s="21">
        <f t="shared" ref="BT3:BT7" si="45">COUNTIF(BU$10:BU1007,BS3)</f>
        <v>0</v>
      </c>
      <c r="BU3" s="22" t="str">
        <f t="shared" ref="BU3:BU7" si="46">BT3/SUM(BT$3:BT$7)</f>
        <v>#DIV/0!</v>
      </c>
      <c r="BV3" s="20" t="s">
        <v>14</v>
      </c>
      <c r="BW3" s="21">
        <f t="shared" ref="BW3:BW7" si="47">COUNTIF(BX$10:BX1007,BV3)</f>
        <v>0</v>
      </c>
      <c r="BX3" s="22" t="str">
        <f t="shared" ref="BX3:BX7" si="48">BW3/SUM(BW$3:BW$7)</f>
        <v>#DIV/0!</v>
      </c>
      <c r="BY3" s="20" t="s">
        <v>14</v>
      </c>
      <c r="BZ3" s="21">
        <f t="shared" ref="BZ3:BZ7" si="49">COUNTIF(CA$10:CA1007,BY3)</f>
        <v>0</v>
      </c>
      <c r="CA3" s="22" t="str">
        <f t="shared" ref="CA3:CA7" si="50">BZ3/SUM(BZ$3:BZ$7)</f>
        <v>#DIV/0!</v>
      </c>
      <c r="CB3" s="20" t="s">
        <v>14</v>
      </c>
      <c r="CC3" s="21">
        <f t="shared" ref="CC3:CC7" si="51">COUNTIF(CD$10:CD1007,CB3)</f>
        <v>0</v>
      </c>
      <c r="CD3" s="22" t="str">
        <f t="shared" ref="CD3:CD7" si="52">CC3/SUM(CC$3:CC$7)</f>
        <v>#DIV/0!</v>
      </c>
      <c r="CE3" s="20" t="s">
        <v>14</v>
      </c>
      <c r="CF3" s="21">
        <f t="shared" ref="CF3:CF7" si="53">COUNTIF(CG$10:CG1007,CE3)</f>
        <v>0</v>
      </c>
      <c r="CG3" s="22" t="str">
        <f t="shared" ref="CG3:CG7" si="54">CF3/SUM(CF$3:CF$7)</f>
        <v>#DIV/0!</v>
      </c>
      <c r="CH3" s="20" t="s">
        <v>14</v>
      </c>
      <c r="CI3" s="21">
        <f t="shared" ref="CI3:CI7" si="55">COUNTIF(CJ$10:CJ1007,CH3)</f>
        <v>0</v>
      </c>
      <c r="CJ3" s="22" t="str">
        <f t="shared" ref="CJ3:CJ7" si="56">CI3/SUM(CI$3:CI$7)</f>
        <v>#DIV/0!</v>
      </c>
      <c r="CK3" s="20" t="s">
        <v>14</v>
      </c>
      <c r="CL3" s="21">
        <f t="shared" ref="CL3:CL7" si="57">COUNTIF(CM$10:CM1007,CK3)</f>
        <v>0</v>
      </c>
      <c r="CM3" s="22" t="str">
        <f t="shared" ref="CM3:CM7" si="58">CL3/SUM(CL$3:CL$7)</f>
        <v>#DIV/0!</v>
      </c>
      <c r="CN3" s="20" t="s">
        <v>14</v>
      </c>
      <c r="CO3" s="21">
        <f t="shared" ref="CO3:CO7" si="59">COUNTIF(CP$10:CP1007,CN3)</f>
        <v>0</v>
      </c>
      <c r="CP3" s="22" t="str">
        <f t="shared" ref="CP3:CP7" si="60">CO3/SUM(CO$3:CO$7)</f>
        <v>#DIV/0!</v>
      </c>
      <c r="CQ3" s="20" t="s">
        <v>14</v>
      </c>
      <c r="CR3" s="21">
        <f t="shared" ref="CR3:CR7" si="61">COUNTIF(CS$10:CS1007,CQ3)</f>
        <v>0</v>
      </c>
      <c r="CS3" s="22" t="str">
        <f t="shared" ref="CS3:CS7" si="62">CR3/SUM(CR$3:CR$7)</f>
        <v>#DIV/0!</v>
      </c>
      <c r="CT3" s="6"/>
      <c r="CU3" s="6"/>
      <c r="CV3" s="6"/>
      <c r="CW3" s="6"/>
      <c r="CX3" s="6"/>
      <c r="CY3" s="6"/>
      <c r="CZ3" s="6"/>
      <c r="DA3" s="6"/>
      <c r="DB3" s="6"/>
      <c r="DC3" s="6"/>
      <c r="DD3" s="6"/>
      <c r="DE3" s="6"/>
      <c r="DF3" s="6"/>
    </row>
    <row r="4">
      <c r="A4" s="14"/>
      <c r="B4" s="19"/>
      <c r="C4" s="14"/>
      <c r="D4" s="14"/>
      <c r="E4" s="20" t="s">
        <v>15</v>
      </c>
      <c r="F4" s="21">
        <f t="shared" si="1"/>
        <v>3</v>
      </c>
      <c r="G4" s="22">
        <f t="shared" si="2"/>
        <v>0.1304347826</v>
      </c>
      <c r="H4" s="20" t="s">
        <v>15</v>
      </c>
      <c r="I4" s="21">
        <f t="shared" si="3"/>
        <v>0</v>
      </c>
      <c r="J4" s="22">
        <f t="shared" si="4"/>
        <v>0</v>
      </c>
      <c r="K4" s="20" t="s">
        <v>15</v>
      </c>
      <c r="L4" s="21">
        <f t="shared" si="5"/>
        <v>0</v>
      </c>
      <c r="M4" s="22">
        <f t="shared" si="6"/>
        <v>0</v>
      </c>
      <c r="N4" s="20" t="s">
        <v>15</v>
      </c>
      <c r="O4" s="21">
        <f t="shared" si="7"/>
        <v>1</v>
      </c>
      <c r="P4" s="22">
        <f t="shared" si="8"/>
        <v>0.08333333333</v>
      </c>
      <c r="Q4" s="20" t="s">
        <v>15</v>
      </c>
      <c r="R4" s="21">
        <f t="shared" si="9"/>
        <v>3</v>
      </c>
      <c r="S4" s="22">
        <f t="shared" si="10"/>
        <v>0.15</v>
      </c>
      <c r="T4" s="20" t="s">
        <v>15</v>
      </c>
      <c r="U4" s="21">
        <f t="shared" si="11"/>
        <v>1</v>
      </c>
      <c r="V4" s="22">
        <f t="shared" si="12"/>
        <v>0.1111111111</v>
      </c>
      <c r="W4" s="20" t="s">
        <v>15</v>
      </c>
      <c r="X4" s="21">
        <f t="shared" si="13"/>
        <v>0</v>
      </c>
      <c r="Y4" s="22">
        <f t="shared" si="14"/>
        <v>0</v>
      </c>
      <c r="Z4" s="20" t="s">
        <v>15</v>
      </c>
      <c r="AA4" s="21">
        <f t="shared" si="15"/>
        <v>1</v>
      </c>
      <c r="AB4" s="22">
        <f t="shared" si="16"/>
        <v>0.1428571429</v>
      </c>
      <c r="AC4" s="20" t="s">
        <v>15</v>
      </c>
      <c r="AD4" s="21">
        <f t="shared" si="17"/>
        <v>0</v>
      </c>
      <c r="AE4" s="22">
        <f t="shared" si="18"/>
        <v>0</v>
      </c>
      <c r="AF4" s="20" t="s">
        <v>15</v>
      </c>
      <c r="AG4" s="21">
        <f t="shared" si="19"/>
        <v>0</v>
      </c>
      <c r="AH4" s="22">
        <f t="shared" si="20"/>
        <v>0</v>
      </c>
      <c r="AI4" s="20" t="s">
        <v>15</v>
      </c>
      <c r="AJ4" s="21">
        <f t="shared" si="21"/>
        <v>0</v>
      </c>
      <c r="AK4" s="22">
        <f t="shared" si="22"/>
        <v>0</v>
      </c>
      <c r="AL4" s="20" t="s">
        <v>15</v>
      </c>
      <c r="AM4" s="21">
        <f t="shared" si="23"/>
        <v>0</v>
      </c>
      <c r="AN4" s="22" t="str">
        <f t="shared" si="24"/>
        <v>#DIV/0!</v>
      </c>
      <c r="AO4" s="20" t="s">
        <v>15</v>
      </c>
      <c r="AP4" s="21">
        <f t="shared" si="25"/>
        <v>0</v>
      </c>
      <c r="AQ4" s="22" t="str">
        <f t="shared" si="26"/>
        <v>#DIV/0!</v>
      </c>
      <c r="AR4" s="20" t="s">
        <v>15</v>
      </c>
      <c r="AS4" s="21">
        <f t="shared" si="27"/>
        <v>0</v>
      </c>
      <c r="AT4" s="22" t="str">
        <f t="shared" si="28"/>
        <v>#DIV/0!</v>
      </c>
      <c r="AU4" s="20" t="s">
        <v>15</v>
      </c>
      <c r="AV4" s="21">
        <f t="shared" si="29"/>
        <v>0</v>
      </c>
      <c r="AW4" s="22" t="str">
        <f t="shared" si="30"/>
        <v>#DIV/0!</v>
      </c>
      <c r="AX4" s="20" t="s">
        <v>15</v>
      </c>
      <c r="AY4" s="21">
        <f t="shared" si="31"/>
        <v>0</v>
      </c>
      <c r="AZ4" s="22" t="str">
        <f t="shared" si="32"/>
        <v>#DIV/0!</v>
      </c>
      <c r="BA4" s="20" t="s">
        <v>15</v>
      </c>
      <c r="BB4" s="21">
        <f t="shared" si="33"/>
        <v>0</v>
      </c>
      <c r="BC4" s="22" t="str">
        <f t="shared" si="34"/>
        <v>#DIV/0!</v>
      </c>
      <c r="BD4" s="20" t="s">
        <v>15</v>
      </c>
      <c r="BE4" s="21">
        <f t="shared" si="35"/>
        <v>0</v>
      </c>
      <c r="BF4" s="22" t="str">
        <f t="shared" si="36"/>
        <v>#DIV/0!</v>
      </c>
      <c r="BG4" s="20" t="s">
        <v>15</v>
      </c>
      <c r="BH4" s="21">
        <f t="shared" si="37"/>
        <v>0</v>
      </c>
      <c r="BI4" s="22" t="str">
        <f t="shared" si="38"/>
        <v>#DIV/0!</v>
      </c>
      <c r="BJ4" s="20" t="s">
        <v>15</v>
      </c>
      <c r="BK4" s="21">
        <f t="shared" si="39"/>
        <v>0</v>
      </c>
      <c r="BL4" s="22" t="str">
        <f t="shared" si="40"/>
        <v>#DIV/0!</v>
      </c>
      <c r="BM4" s="20" t="s">
        <v>15</v>
      </c>
      <c r="BN4" s="21">
        <f t="shared" si="41"/>
        <v>0</v>
      </c>
      <c r="BO4" s="22" t="str">
        <f t="shared" si="42"/>
        <v>#DIV/0!</v>
      </c>
      <c r="BP4" s="20" t="s">
        <v>15</v>
      </c>
      <c r="BQ4" s="21">
        <f t="shared" si="43"/>
        <v>0</v>
      </c>
      <c r="BR4" s="22" t="str">
        <f t="shared" si="44"/>
        <v>#DIV/0!</v>
      </c>
      <c r="BS4" s="20" t="s">
        <v>15</v>
      </c>
      <c r="BT4" s="21">
        <f t="shared" si="45"/>
        <v>0</v>
      </c>
      <c r="BU4" s="22" t="str">
        <f t="shared" si="46"/>
        <v>#DIV/0!</v>
      </c>
      <c r="BV4" s="20" t="s">
        <v>15</v>
      </c>
      <c r="BW4" s="21">
        <f t="shared" si="47"/>
        <v>0</v>
      </c>
      <c r="BX4" s="22" t="str">
        <f t="shared" si="48"/>
        <v>#DIV/0!</v>
      </c>
      <c r="BY4" s="20" t="s">
        <v>15</v>
      </c>
      <c r="BZ4" s="21">
        <f t="shared" si="49"/>
        <v>0</v>
      </c>
      <c r="CA4" s="22" t="str">
        <f t="shared" si="50"/>
        <v>#DIV/0!</v>
      </c>
      <c r="CB4" s="20" t="s">
        <v>15</v>
      </c>
      <c r="CC4" s="21">
        <f t="shared" si="51"/>
        <v>0</v>
      </c>
      <c r="CD4" s="22" t="str">
        <f t="shared" si="52"/>
        <v>#DIV/0!</v>
      </c>
      <c r="CE4" s="20" t="s">
        <v>15</v>
      </c>
      <c r="CF4" s="21">
        <f t="shared" si="53"/>
        <v>0</v>
      </c>
      <c r="CG4" s="22" t="str">
        <f t="shared" si="54"/>
        <v>#DIV/0!</v>
      </c>
      <c r="CH4" s="20" t="s">
        <v>15</v>
      </c>
      <c r="CI4" s="21">
        <f t="shared" si="55"/>
        <v>0</v>
      </c>
      <c r="CJ4" s="22" t="str">
        <f t="shared" si="56"/>
        <v>#DIV/0!</v>
      </c>
      <c r="CK4" s="20" t="s">
        <v>15</v>
      </c>
      <c r="CL4" s="21">
        <f t="shared" si="57"/>
        <v>0</v>
      </c>
      <c r="CM4" s="22" t="str">
        <f t="shared" si="58"/>
        <v>#DIV/0!</v>
      </c>
      <c r="CN4" s="20" t="s">
        <v>15</v>
      </c>
      <c r="CO4" s="21">
        <f t="shared" si="59"/>
        <v>0</v>
      </c>
      <c r="CP4" s="22" t="str">
        <f t="shared" si="60"/>
        <v>#DIV/0!</v>
      </c>
      <c r="CQ4" s="20" t="s">
        <v>15</v>
      </c>
      <c r="CR4" s="21">
        <f t="shared" si="61"/>
        <v>0</v>
      </c>
      <c r="CS4" s="22" t="str">
        <f t="shared" si="62"/>
        <v>#DIV/0!</v>
      </c>
      <c r="CT4" s="6"/>
      <c r="CU4" s="6"/>
      <c r="CV4" s="6"/>
      <c r="CW4" s="6"/>
      <c r="CX4" s="6"/>
      <c r="CY4" s="6"/>
      <c r="CZ4" s="6"/>
      <c r="DA4" s="6"/>
      <c r="DB4" s="6"/>
      <c r="DC4" s="6"/>
      <c r="DD4" s="6"/>
      <c r="DE4" s="6"/>
      <c r="DF4" s="6"/>
    </row>
    <row r="5">
      <c r="A5" s="23"/>
      <c r="B5" s="19"/>
      <c r="C5" s="14"/>
      <c r="D5" s="14"/>
      <c r="E5" s="20" t="s">
        <v>16</v>
      </c>
      <c r="F5" s="21">
        <f t="shared" si="1"/>
        <v>5</v>
      </c>
      <c r="G5" s="22">
        <f t="shared" si="2"/>
        <v>0.2173913043</v>
      </c>
      <c r="H5" s="20" t="s">
        <v>16</v>
      </c>
      <c r="I5" s="21">
        <f t="shared" si="3"/>
        <v>3</v>
      </c>
      <c r="J5" s="22">
        <f t="shared" si="4"/>
        <v>0.1666666667</v>
      </c>
      <c r="K5" s="20" t="s">
        <v>16</v>
      </c>
      <c r="L5" s="21">
        <f t="shared" si="5"/>
        <v>3</v>
      </c>
      <c r="M5" s="22">
        <f t="shared" si="6"/>
        <v>0.2</v>
      </c>
      <c r="N5" s="20" t="s">
        <v>16</v>
      </c>
      <c r="O5" s="21">
        <f t="shared" si="7"/>
        <v>2</v>
      </c>
      <c r="P5" s="22">
        <f t="shared" si="8"/>
        <v>0.1666666667</v>
      </c>
      <c r="Q5" s="20" t="s">
        <v>16</v>
      </c>
      <c r="R5" s="21">
        <f t="shared" si="9"/>
        <v>0</v>
      </c>
      <c r="S5" s="22">
        <f t="shared" si="10"/>
        <v>0</v>
      </c>
      <c r="T5" s="20" t="s">
        <v>16</v>
      </c>
      <c r="U5" s="21">
        <f t="shared" si="11"/>
        <v>0</v>
      </c>
      <c r="V5" s="22">
        <f t="shared" si="12"/>
        <v>0</v>
      </c>
      <c r="W5" s="20" t="s">
        <v>16</v>
      </c>
      <c r="X5" s="21">
        <f t="shared" si="13"/>
        <v>0</v>
      </c>
      <c r="Y5" s="22">
        <f t="shared" si="14"/>
        <v>0</v>
      </c>
      <c r="Z5" s="20" t="s">
        <v>16</v>
      </c>
      <c r="AA5" s="21">
        <f t="shared" si="15"/>
        <v>1</v>
      </c>
      <c r="AB5" s="22">
        <f t="shared" si="16"/>
        <v>0.1428571429</v>
      </c>
      <c r="AC5" s="20" t="s">
        <v>16</v>
      </c>
      <c r="AD5" s="21">
        <f t="shared" si="17"/>
        <v>1</v>
      </c>
      <c r="AE5" s="22">
        <f t="shared" si="18"/>
        <v>0.1428571429</v>
      </c>
      <c r="AF5" s="20" t="s">
        <v>16</v>
      </c>
      <c r="AG5" s="21">
        <f t="shared" si="19"/>
        <v>2</v>
      </c>
      <c r="AH5" s="22">
        <f t="shared" si="20"/>
        <v>0.5</v>
      </c>
      <c r="AI5" s="20" t="s">
        <v>16</v>
      </c>
      <c r="AJ5" s="21">
        <f t="shared" si="21"/>
        <v>0</v>
      </c>
      <c r="AK5" s="22">
        <f t="shared" si="22"/>
        <v>0</v>
      </c>
      <c r="AL5" s="20" t="s">
        <v>16</v>
      </c>
      <c r="AM5" s="21">
        <f t="shared" si="23"/>
        <v>0</v>
      </c>
      <c r="AN5" s="22" t="str">
        <f t="shared" si="24"/>
        <v>#DIV/0!</v>
      </c>
      <c r="AO5" s="20" t="s">
        <v>16</v>
      </c>
      <c r="AP5" s="21">
        <f t="shared" si="25"/>
        <v>0</v>
      </c>
      <c r="AQ5" s="22" t="str">
        <f t="shared" si="26"/>
        <v>#DIV/0!</v>
      </c>
      <c r="AR5" s="20" t="s">
        <v>16</v>
      </c>
      <c r="AS5" s="21">
        <f t="shared" si="27"/>
        <v>0</v>
      </c>
      <c r="AT5" s="22" t="str">
        <f t="shared" si="28"/>
        <v>#DIV/0!</v>
      </c>
      <c r="AU5" s="20" t="s">
        <v>16</v>
      </c>
      <c r="AV5" s="21">
        <f t="shared" si="29"/>
        <v>0</v>
      </c>
      <c r="AW5" s="22" t="str">
        <f t="shared" si="30"/>
        <v>#DIV/0!</v>
      </c>
      <c r="AX5" s="20" t="s">
        <v>16</v>
      </c>
      <c r="AY5" s="21">
        <f t="shared" si="31"/>
        <v>0</v>
      </c>
      <c r="AZ5" s="22" t="str">
        <f t="shared" si="32"/>
        <v>#DIV/0!</v>
      </c>
      <c r="BA5" s="20" t="s">
        <v>16</v>
      </c>
      <c r="BB5" s="21">
        <f t="shared" si="33"/>
        <v>0</v>
      </c>
      <c r="BC5" s="22" t="str">
        <f t="shared" si="34"/>
        <v>#DIV/0!</v>
      </c>
      <c r="BD5" s="20" t="s">
        <v>16</v>
      </c>
      <c r="BE5" s="21">
        <f t="shared" si="35"/>
        <v>0</v>
      </c>
      <c r="BF5" s="22" t="str">
        <f t="shared" si="36"/>
        <v>#DIV/0!</v>
      </c>
      <c r="BG5" s="20" t="s">
        <v>16</v>
      </c>
      <c r="BH5" s="21">
        <f t="shared" si="37"/>
        <v>0</v>
      </c>
      <c r="BI5" s="22" t="str">
        <f t="shared" si="38"/>
        <v>#DIV/0!</v>
      </c>
      <c r="BJ5" s="20" t="s">
        <v>16</v>
      </c>
      <c r="BK5" s="21">
        <f t="shared" si="39"/>
        <v>0</v>
      </c>
      <c r="BL5" s="22" t="str">
        <f t="shared" si="40"/>
        <v>#DIV/0!</v>
      </c>
      <c r="BM5" s="20" t="s">
        <v>16</v>
      </c>
      <c r="BN5" s="21">
        <f t="shared" si="41"/>
        <v>0</v>
      </c>
      <c r="BO5" s="22" t="str">
        <f t="shared" si="42"/>
        <v>#DIV/0!</v>
      </c>
      <c r="BP5" s="20" t="s">
        <v>16</v>
      </c>
      <c r="BQ5" s="21">
        <f t="shared" si="43"/>
        <v>0</v>
      </c>
      <c r="BR5" s="22" t="str">
        <f t="shared" si="44"/>
        <v>#DIV/0!</v>
      </c>
      <c r="BS5" s="20" t="s">
        <v>16</v>
      </c>
      <c r="BT5" s="21">
        <f t="shared" si="45"/>
        <v>0</v>
      </c>
      <c r="BU5" s="22" t="str">
        <f t="shared" si="46"/>
        <v>#DIV/0!</v>
      </c>
      <c r="BV5" s="20" t="s">
        <v>16</v>
      </c>
      <c r="BW5" s="21">
        <f t="shared" si="47"/>
        <v>0</v>
      </c>
      <c r="BX5" s="22" t="str">
        <f t="shared" si="48"/>
        <v>#DIV/0!</v>
      </c>
      <c r="BY5" s="20" t="s">
        <v>16</v>
      </c>
      <c r="BZ5" s="21">
        <f t="shared" si="49"/>
        <v>0</v>
      </c>
      <c r="CA5" s="22" t="str">
        <f t="shared" si="50"/>
        <v>#DIV/0!</v>
      </c>
      <c r="CB5" s="20" t="s">
        <v>16</v>
      </c>
      <c r="CC5" s="21">
        <f t="shared" si="51"/>
        <v>0</v>
      </c>
      <c r="CD5" s="22" t="str">
        <f t="shared" si="52"/>
        <v>#DIV/0!</v>
      </c>
      <c r="CE5" s="20" t="s">
        <v>16</v>
      </c>
      <c r="CF5" s="21">
        <f t="shared" si="53"/>
        <v>0</v>
      </c>
      <c r="CG5" s="22" t="str">
        <f t="shared" si="54"/>
        <v>#DIV/0!</v>
      </c>
      <c r="CH5" s="20" t="s">
        <v>16</v>
      </c>
      <c r="CI5" s="21">
        <f t="shared" si="55"/>
        <v>0</v>
      </c>
      <c r="CJ5" s="22" t="str">
        <f t="shared" si="56"/>
        <v>#DIV/0!</v>
      </c>
      <c r="CK5" s="20" t="s">
        <v>16</v>
      </c>
      <c r="CL5" s="21">
        <f t="shared" si="57"/>
        <v>0</v>
      </c>
      <c r="CM5" s="22" t="str">
        <f t="shared" si="58"/>
        <v>#DIV/0!</v>
      </c>
      <c r="CN5" s="20" t="s">
        <v>16</v>
      </c>
      <c r="CO5" s="21">
        <f t="shared" si="59"/>
        <v>0</v>
      </c>
      <c r="CP5" s="22" t="str">
        <f t="shared" si="60"/>
        <v>#DIV/0!</v>
      </c>
      <c r="CQ5" s="20" t="s">
        <v>16</v>
      </c>
      <c r="CR5" s="21">
        <f t="shared" si="61"/>
        <v>0</v>
      </c>
      <c r="CS5" s="22" t="str">
        <f t="shared" si="62"/>
        <v>#DIV/0!</v>
      </c>
      <c r="CT5" s="6"/>
      <c r="CU5" s="6"/>
      <c r="CV5" s="6"/>
      <c r="CW5" s="6"/>
      <c r="CX5" s="6"/>
      <c r="CY5" s="6"/>
      <c r="CZ5" s="6"/>
      <c r="DA5" s="6"/>
      <c r="DB5" s="6"/>
      <c r="DC5" s="6"/>
      <c r="DD5" s="6"/>
      <c r="DE5" s="6"/>
      <c r="DF5" s="6"/>
    </row>
    <row r="6">
      <c r="A6" s="14"/>
      <c r="B6" s="19"/>
      <c r="C6" s="14"/>
      <c r="D6" s="14"/>
      <c r="E6" s="20" t="s">
        <v>17</v>
      </c>
      <c r="F6" s="21">
        <f t="shared" si="1"/>
        <v>5</v>
      </c>
      <c r="G6" s="22">
        <f t="shared" si="2"/>
        <v>0.2173913043</v>
      </c>
      <c r="H6" s="20" t="s">
        <v>17</v>
      </c>
      <c r="I6" s="21">
        <f t="shared" si="3"/>
        <v>6</v>
      </c>
      <c r="J6" s="22">
        <f t="shared" si="4"/>
        <v>0.3333333333</v>
      </c>
      <c r="K6" s="20" t="s">
        <v>17</v>
      </c>
      <c r="L6" s="21">
        <f t="shared" si="5"/>
        <v>4</v>
      </c>
      <c r="M6" s="22">
        <f t="shared" si="6"/>
        <v>0.2666666667</v>
      </c>
      <c r="N6" s="20" t="s">
        <v>17</v>
      </c>
      <c r="O6" s="21">
        <f t="shared" si="7"/>
        <v>5</v>
      </c>
      <c r="P6" s="22">
        <f t="shared" si="8"/>
        <v>0.4166666667</v>
      </c>
      <c r="Q6" s="20" t="s">
        <v>17</v>
      </c>
      <c r="R6" s="21">
        <f t="shared" si="9"/>
        <v>5</v>
      </c>
      <c r="S6" s="22">
        <f t="shared" si="10"/>
        <v>0.25</v>
      </c>
      <c r="T6" s="20" t="s">
        <v>17</v>
      </c>
      <c r="U6" s="21">
        <f t="shared" si="11"/>
        <v>3</v>
      </c>
      <c r="V6" s="22">
        <f t="shared" si="12"/>
        <v>0.3333333333</v>
      </c>
      <c r="W6" s="20" t="s">
        <v>17</v>
      </c>
      <c r="X6" s="21">
        <f t="shared" si="13"/>
        <v>2</v>
      </c>
      <c r="Y6" s="22">
        <f t="shared" si="14"/>
        <v>0.6666666667</v>
      </c>
      <c r="Z6" s="20" t="s">
        <v>17</v>
      </c>
      <c r="AA6" s="21">
        <f t="shared" si="15"/>
        <v>3</v>
      </c>
      <c r="AB6" s="22">
        <f t="shared" si="16"/>
        <v>0.4285714286</v>
      </c>
      <c r="AC6" s="20" t="s">
        <v>17</v>
      </c>
      <c r="AD6" s="21">
        <f t="shared" si="17"/>
        <v>2</v>
      </c>
      <c r="AE6" s="22">
        <f t="shared" si="18"/>
        <v>0.2857142857</v>
      </c>
      <c r="AF6" s="20" t="s">
        <v>17</v>
      </c>
      <c r="AG6" s="21">
        <f t="shared" si="19"/>
        <v>1</v>
      </c>
      <c r="AH6" s="22">
        <f t="shared" si="20"/>
        <v>0.25</v>
      </c>
      <c r="AI6" s="20" t="s">
        <v>17</v>
      </c>
      <c r="AJ6" s="21">
        <f t="shared" si="21"/>
        <v>3</v>
      </c>
      <c r="AK6" s="22">
        <f t="shared" si="22"/>
        <v>0.6</v>
      </c>
      <c r="AL6" s="20" t="s">
        <v>17</v>
      </c>
      <c r="AM6" s="21">
        <f t="shared" si="23"/>
        <v>0</v>
      </c>
      <c r="AN6" s="22" t="str">
        <f t="shared" si="24"/>
        <v>#DIV/0!</v>
      </c>
      <c r="AO6" s="20" t="s">
        <v>17</v>
      </c>
      <c r="AP6" s="21">
        <f t="shared" si="25"/>
        <v>0</v>
      </c>
      <c r="AQ6" s="22" t="str">
        <f t="shared" si="26"/>
        <v>#DIV/0!</v>
      </c>
      <c r="AR6" s="20" t="s">
        <v>17</v>
      </c>
      <c r="AS6" s="21">
        <f t="shared" si="27"/>
        <v>0</v>
      </c>
      <c r="AT6" s="22" t="str">
        <f t="shared" si="28"/>
        <v>#DIV/0!</v>
      </c>
      <c r="AU6" s="20" t="s">
        <v>17</v>
      </c>
      <c r="AV6" s="21">
        <f t="shared" si="29"/>
        <v>0</v>
      </c>
      <c r="AW6" s="22" t="str">
        <f t="shared" si="30"/>
        <v>#DIV/0!</v>
      </c>
      <c r="AX6" s="20" t="s">
        <v>17</v>
      </c>
      <c r="AY6" s="21">
        <f t="shared" si="31"/>
        <v>0</v>
      </c>
      <c r="AZ6" s="22" t="str">
        <f t="shared" si="32"/>
        <v>#DIV/0!</v>
      </c>
      <c r="BA6" s="20" t="s">
        <v>17</v>
      </c>
      <c r="BB6" s="21">
        <f t="shared" si="33"/>
        <v>0</v>
      </c>
      <c r="BC6" s="22" t="str">
        <f t="shared" si="34"/>
        <v>#DIV/0!</v>
      </c>
      <c r="BD6" s="20" t="s">
        <v>17</v>
      </c>
      <c r="BE6" s="21">
        <f t="shared" si="35"/>
        <v>0</v>
      </c>
      <c r="BF6" s="22" t="str">
        <f t="shared" si="36"/>
        <v>#DIV/0!</v>
      </c>
      <c r="BG6" s="20" t="s">
        <v>17</v>
      </c>
      <c r="BH6" s="21">
        <f t="shared" si="37"/>
        <v>0</v>
      </c>
      <c r="BI6" s="22" t="str">
        <f t="shared" si="38"/>
        <v>#DIV/0!</v>
      </c>
      <c r="BJ6" s="20" t="s">
        <v>17</v>
      </c>
      <c r="BK6" s="21">
        <f t="shared" si="39"/>
        <v>0</v>
      </c>
      <c r="BL6" s="22" t="str">
        <f t="shared" si="40"/>
        <v>#DIV/0!</v>
      </c>
      <c r="BM6" s="20" t="s">
        <v>17</v>
      </c>
      <c r="BN6" s="21">
        <f t="shared" si="41"/>
        <v>0</v>
      </c>
      <c r="BO6" s="22" t="str">
        <f t="shared" si="42"/>
        <v>#DIV/0!</v>
      </c>
      <c r="BP6" s="20" t="s">
        <v>17</v>
      </c>
      <c r="BQ6" s="21">
        <f t="shared" si="43"/>
        <v>0</v>
      </c>
      <c r="BR6" s="22" t="str">
        <f t="shared" si="44"/>
        <v>#DIV/0!</v>
      </c>
      <c r="BS6" s="20" t="s">
        <v>17</v>
      </c>
      <c r="BT6" s="21">
        <f t="shared" si="45"/>
        <v>0</v>
      </c>
      <c r="BU6" s="22" t="str">
        <f t="shared" si="46"/>
        <v>#DIV/0!</v>
      </c>
      <c r="BV6" s="20" t="s">
        <v>17</v>
      </c>
      <c r="BW6" s="21">
        <f t="shared" si="47"/>
        <v>0</v>
      </c>
      <c r="BX6" s="22" t="str">
        <f t="shared" si="48"/>
        <v>#DIV/0!</v>
      </c>
      <c r="BY6" s="20" t="s">
        <v>17</v>
      </c>
      <c r="BZ6" s="21">
        <f t="shared" si="49"/>
        <v>0</v>
      </c>
      <c r="CA6" s="22" t="str">
        <f t="shared" si="50"/>
        <v>#DIV/0!</v>
      </c>
      <c r="CB6" s="20" t="s">
        <v>17</v>
      </c>
      <c r="CC6" s="21">
        <f t="shared" si="51"/>
        <v>0</v>
      </c>
      <c r="CD6" s="22" t="str">
        <f t="shared" si="52"/>
        <v>#DIV/0!</v>
      </c>
      <c r="CE6" s="20" t="s">
        <v>17</v>
      </c>
      <c r="CF6" s="21">
        <f t="shared" si="53"/>
        <v>0</v>
      </c>
      <c r="CG6" s="22" t="str">
        <f t="shared" si="54"/>
        <v>#DIV/0!</v>
      </c>
      <c r="CH6" s="20" t="s">
        <v>17</v>
      </c>
      <c r="CI6" s="21">
        <f t="shared" si="55"/>
        <v>0</v>
      </c>
      <c r="CJ6" s="22" t="str">
        <f t="shared" si="56"/>
        <v>#DIV/0!</v>
      </c>
      <c r="CK6" s="20" t="s">
        <v>17</v>
      </c>
      <c r="CL6" s="21">
        <f t="shared" si="57"/>
        <v>0</v>
      </c>
      <c r="CM6" s="22" t="str">
        <f t="shared" si="58"/>
        <v>#DIV/0!</v>
      </c>
      <c r="CN6" s="20" t="s">
        <v>17</v>
      </c>
      <c r="CO6" s="21">
        <f t="shared" si="59"/>
        <v>0</v>
      </c>
      <c r="CP6" s="22" t="str">
        <f t="shared" si="60"/>
        <v>#DIV/0!</v>
      </c>
      <c r="CQ6" s="20" t="s">
        <v>17</v>
      </c>
      <c r="CR6" s="21">
        <f t="shared" si="61"/>
        <v>0</v>
      </c>
      <c r="CS6" s="22" t="str">
        <f t="shared" si="62"/>
        <v>#DIV/0!</v>
      </c>
      <c r="CT6" s="6"/>
      <c r="CU6" s="6"/>
      <c r="CV6" s="6"/>
      <c r="CW6" s="6"/>
      <c r="CX6" s="6"/>
      <c r="CY6" s="6"/>
      <c r="CZ6" s="6"/>
      <c r="DA6" s="6"/>
      <c r="DB6" s="6"/>
      <c r="DC6" s="6"/>
      <c r="DD6" s="6"/>
      <c r="DE6" s="6"/>
      <c r="DF6" s="6"/>
    </row>
    <row r="7">
      <c r="A7" s="14"/>
      <c r="B7" s="19"/>
      <c r="C7" s="14"/>
      <c r="D7" s="14"/>
      <c r="E7" s="20" t="s">
        <v>18</v>
      </c>
      <c r="F7" s="21">
        <f t="shared" si="1"/>
        <v>7</v>
      </c>
      <c r="G7" s="22">
        <f t="shared" si="2"/>
        <v>0.3043478261</v>
      </c>
      <c r="H7" s="20" t="s">
        <v>18</v>
      </c>
      <c r="I7" s="21">
        <f t="shared" si="3"/>
        <v>8</v>
      </c>
      <c r="J7" s="22">
        <f t="shared" si="4"/>
        <v>0.4444444444</v>
      </c>
      <c r="K7" s="20" t="s">
        <v>18</v>
      </c>
      <c r="L7" s="21">
        <f t="shared" si="5"/>
        <v>6</v>
      </c>
      <c r="M7" s="22">
        <f t="shared" si="6"/>
        <v>0.4</v>
      </c>
      <c r="N7" s="20" t="s">
        <v>18</v>
      </c>
      <c r="O7" s="21">
        <f t="shared" si="7"/>
        <v>4</v>
      </c>
      <c r="P7" s="22">
        <f t="shared" si="8"/>
        <v>0.3333333333</v>
      </c>
      <c r="Q7" s="20" t="s">
        <v>18</v>
      </c>
      <c r="R7" s="21">
        <f t="shared" si="9"/>
        <v>12</v>
      </c>
      <c r="S7" s="22">
        <f t="shared" si="10"/>
        <v>0.6</v>
      </c>
      <c r="T7" s="20" t="s">
        <v>18</v>
      </c>
      <c r="U7" s="21">
        <f t="shared" si="11"/>
        <v>4</v>
      </c>
      <c r="V7" s="22">
        <f t="shared" si="12"/>
        <v>0.4444444444</v>
      </c>
      <c r="W7" s="20" t="s">
        <v>18</v>
      </c>
      <c r="X7" s="21">
        <f t="shared" si="13"/>
        <v>1</v>
      </c>
      <c r="Y7" s="22">
        <f t="shared" si="14"/>
        <v>0.3333333333</v>
      </c>
      <c r="Z7" s="20" t="s">
        <v>18</v>
      </c>
      <c r="AA7" s="21">
        <f t="shared" si="15"/>
        <v>2</v>
      </c>
      <c r="AB7" s="22">
        <f t="shared" si="16"/>
        <v>0.2857142857</v>
      </c>
      <c r="AC7" s="20" t="s">
        <v>18</v>
      </c>
      <c r="AD7" s="21">
        <f t="shared" si="17"/>
        <v>3</v>
      </c>
      <c r="AE7" s="22">
        <f t="shared" si="18"/>
        <v>0.4285714286</v>
      </c>
      <c r="AF7" s="20" t="s">
        <v>18</v>
      </c>
      <c r="AG7" s="21">
        <f t="shared" si="19"/>
        <v>1</v>
      </c>
      <c r="AH7" s="22">
        <f t="shared" si="20"/>
        <v>0.25</v>
      </c>
      <c r="AI7" s="20" t="s">
        <v>18</v>
      </c>
      <c r="AJ7" s="21">
        <f t="shared" si="21"/>
        <v>2</v>
      </c>
      <c r="AK7" s="22">
        <f t="shared" si="22"/>
        <v>0.4</v>
      </c>
      <c r="AL7" s="20" t="s">
        <v>18</v>
      </c>
      <c r="AM7" s="21">
        <f t="shared" si="23"/>
        <v>0</v>
      </c>
      <c r="AN7" s="22" t="str">
        <f t="shared" si="24"/>
        <v>#DIV/0!</v>
      </c>
      <c r="AO7" s="20" t="s">
        <v>18</v>
      </c>
      <c r="AP7" s="21">
        <f t="shared" si="25"/>
        <v>0</v>
      </c>
      <c r="AQ7" s="22" t="str">
        <f t="shared" si="26"/>
        <v>#DIV/0!</v>
      </c>
      <c r="AR7" s="20" t="s">
        <v>18</v>
      </c>
      <c r="AS7" s="21">
        <f t="shared" si="27"/>
        <v>0</v>
      </c>
      <c r="AT7" s="22" t="str">
        <f t="shared" si="28"/>
        <v>#DIV/0!</v>
      </c>
      <c r="AU7" s="20" t="s">
        <v>18</v>
      </c>
      <c r="AV7" s="21">
        <f t="shared" si="29"/>
        <v>0</v>
      </c>
      <c r="AW7" s="22" t="str">
        <f t="shared" si="30"/>
        <v>#DIV/0!</v>
      </c>
      <c r="AX7" s="20" t="s">
        <v>18</v>
      </c>
      <c r="AY7" s="21">
        <f t="shared" si="31"/>
        <v>0</v>
      </c>
      <c r="AZ7" s="22" t="str">
        <f t="shared" si="32"/>
        <v>#DIV/0!</v>
      </c>
      <c r="BA7" s="20" t="s">
        <v>18</v>
      </c>
      <c r="BB7" s="21">
        <f t="shared" si="33"/>
        <v>0</v>
      </c>
      <c r="BC7" s="22" t="str">
        <f t="shared" si="34"/>
        <v>#DIV/0!</v>
      </c>
      <c r="BD7" s="20" t="s">
        <v>18</v>
      </c>
      <c r="BE7" s="21">
        <f t="shared" si="35"/>
        <v>0</v>
      </c>
      <c r="BF7" s="22" t="str">
        <f t="shared" si="36"/>
        <v>#DIV/0!</v>
      </c>
      <c r="BG7" s="20" t="s">
        <v>18</v>
      </c>
      <c r="BH7" s="21">
        <f t="shared" si="37"/>
        <v>0</v>
      </c>
      <c r="BI7" s="22" t="str">
        <f t="shared" si="38"/>
        <v>#DIV/0!</v>
      </c>
      <c r="BJ7" s="20" t="s">
        <v>18</v>
      </c>
      <c r="BK7" s="21">
        <f t="shared" si="39"/>
        <v>0</v>
      </c>
      <c r="BL7" s="22" t="str">
        <f t="shared" si="40"/>
        <v>#DIV/0!</v>
      </c>
      <c r="BM7" s="20" t="s">
        <v>18</v>
      </c>
      <c r="BN7" s="21">
        <f t="shared" si="41"/>
        <v>0</v>
      </c>
      <c r="BO7" s="22" t="str">
        <f t="shared" si="42"/>
        <v>#DIV/0!</v>
      </c>
      <c r="BP7" s="20" t="s">
        <v>18</v>
      </c>
      <c r="BQ7" s="21">
        <f t="shared" si="43"/>
        <v>0</v>
      </c>
      <c r="BR7" s="22" t="str">
        <f t="shared" si="44"/>
        <v>#DIV/0!</v>
      </c>
      <c r="BS7" s="20" t="s">
        <v>18</v>
      </c>
      <c r="BT7" s="21">
        <f t="shared" si="45"/>
        <v>0</v>
      </c>
      <c r="BU7" s="22" t="str">
        <f t="shared" si="46"/>
        <v>#DIV/0!</v>
      </c>
      <c r="BV7" s="20" t="s">
        <v>18</v>
      </c>
      <c r="BW7" s="21">
        <f t="shared" si="47"/>
        <v>0</v>
      </c>
      <c r="BX7" s="22" t="str">
        <f t="shared" si="48"/>
        <v>#DIV/0!</v>
      </c>
      <c r="BY7" s="20" t="s">
        <v>18</v>
      </c>
      <c r="BZ7" s="21">
        <f t="shared" si="49"/>
        <v>0</v>
      </c>
      <c r="CA7" s="22" t="str">
        <f t="shared" si="50"/>
        <v>#DIV/0!</v>
      </c>
      <c r="CB7" s="20" t="s">
        <v>18</v>
      </c>
      <c r="CC7" s="21">
        <f t="shared" si="51"/>
        <v>0</v>
      </c>
      <c r="CD7" s="22" t="str">
        <f t="shared" si="52"/>
        <v>#DIV/0!</v>
      </c>
      <c r="CE7" s="20" t="s">
        <v>18</v>
      </c>
      <c r="CF7" s="21">
        <f t="shared" si="53"/>
        <v>0</v>
      </c>
      <c r="CG7" s="22" t="str">
        <f t="shared" si="54"/>
        <v>#DIV/0!</v>
      </c>
      <c r="CH7" s="20" t="s">
        <v>18</v>
      </c>
      <c r="CI7" s="21">
        <f t="shared" si="55"/>
        <v>0</v>
      </c>
      <c r="CJ7" s="22" t="str">
        <f t="shared" si="56"/>
        <v>#DIV/0!</v>
      </c>
      <c r="CK7" s="20" t="s">
        <v>18</v>
      </c>
      <c r="CL7" s="21">
        <f t="shared" si="57"/>
        <v>0</v>
      </c>
      <c r="CM7" s="22" t="str">
        <f t="shared" si="58"/>
        <v>#DIV/0!</v>
      </c>
      <c r="CN7" s="20" t="s">
        <v>18</v>
      </c>
      <c r="CO7" s="21">
        <f t="shared" si="59"/>
        <v>0</v>
      </c>
      <c r="CP7" s="22" t="str">
        <f t="shared" si="60"/>
        <v>#DIV/0!</v>
      </c>
      <c r="CQ7" s="20" t="s">
        <v>18</v>
      </c>
      <c r="CR7" s="21">
        <f t="shared" si="61"/>
        <v>0</v>
      </c>
      <c r="CS7" s="22" t="str">
        <f t="shared" si="62"/>
        <v>#DIV/0!</v>
      </c>
      <c r="CT7" s="6"/>
      <c r="CU7" s="6"/>
      <c r="CV7" s="6"/>
      <c r="CW7" s="6"/>
      <c r="CX7" s="6"/>
      <c r="CY7" s="6"/>
      <c r="CZ7" s="6"/>
      <c r="DA7" s="6"/>
      <c r="DB7" s="6"/>
      <c r="DC7" s="6"/>
      <c r="DD7" s="6"/>
      <c r="DE7" s="6"/>
      <c r="DF7" s="6"/>
    </row>
    <row r="8">
      <c r="A8" s="14"/>
      <c r="B8" s="19"/>
      <c r="C8" s="14"/>
      <c r="D8" s="14"/>
      <c r="E8" s="24" t="s">
        <v>13</v>
      </c>
      <c r="F8" s="5">
        <f>SUM(F3:F7)</f>
        <v>23</v>
      </c>
      <c r="G8" s="25">
        <f>SUM(G6:G7)</f>
        <v>0.5217391304</v>
      </c>
      <c r="H8" s="24" t="s">
        <v>13</v>
      </c>
      <c r="I8" s="5">
        <f>SUM(I3:I7)</f>
        <v>18</v>
      </c>
      <c r="J8" s="25">
        <f>SUM(J6:J7)</f>
        <v>0.7777777778</v>
      </c>
      <c r="K8" s="24" t="s">
        <v>13</v>
      </c>
      <c r="L8" s="5">
        <f>SUM(L3:L7)</f>
        <v>15</v>
      </c>
      <c r="M8" s="25">
        <f>SUM(M6:M7)</f>
        <v>0.6666666667</v>
      </c>
      <c r="N8" s="24" t="s">
        <v>13</v>
      </c>
      <c r="O8" s="5">
        <f>SUM(O3:O7)</f>
        <v>12</v>
      </c>
      <c r="P8" s="25">
        <f>SUM(P6:P7)</f>
        <v>0.75</v>
      </c>
      <c r="Q8" s="24" t="s">
        <v>13</v>
      </c>
      <c r="R8" s="5">
        <f>SUM(R3:R7)</f>
        <v>20</v>
      </c>
      <c r="S8" s="25">
        <f>SUM(S6:S7)</f>
        <v>0.85</v>
      </c>
      <c r="T8" s="24" t="s">
        <v>13</v>
      </c>
      <c r="U8" s="5">
        <f>SUM(U3:U7)</f>
        <v>9</v>
      </c>
      <c r="V8" s="25">
        <f>SUM(V6:V7)</f>
        <v>0.7777777778</v>
      </c>
      <c r="W8" s="24" t="s">
        <v>13</v>
      </c>
      <c r="X8" s="5">
        <f>SUM(X3:X7)</f>
        <v>3</v>
      </c>
      <c r="Y8" s="25">
        <f>SUM(Y6:Y7)</f>
        <v>1</v>
      </c>
      <c r="Z8" s="24" t="s">
        <v>13</v>
      </c>
      <c r="AA8" s="5">
        <f>SUM(AA3:AA7)</f>
        <v>7</v>
      </c>
      <c r="AB8" s="25">
        <f>SUM(AB6:AB7)</f>
        <v>0.7142857143</v>
      </c>
      <c r="AC8" s="24" t="s">
        <v>13</v>
      </c>
      <c r="AD8" s="5">
        <f>SUM(AD3:AD7)</f>
        <v>7</v>
      </c>
      <c r="AE8" s="25">
        <f>SUM(AE6:AE7)</f>
        <v>0.7142857143</v>
      </c>
      <c r="AF8" s="24" t="s">
        <v>13</v>
      </c>
      <c r="AG8" s="5">
        <f>SUM(AG3:AG7)</f>
        <v>4</v>
      </c>
      <c r="AH8" s="25">
        <f>SUM(AH6:AH7)</f>
        <v>0.5</v>
      </c>
      <c r="AI8" s="24" t="s">
        <v>13</v>
      </c>
      <c r="AJ8" s="5">
        <f>SUM(AJ3:AJ7)</f>
        <v>5</v>
      </c>
      <c r="AK8" s="25">
        <f>SUM(AK6:AK7)</f>
        <v>1</v>
      </c>
      <c r="AL8" s="24" t="s">
        <v>13</v>
      </c>
      <c r="AM8" s="5">
        <f>SUM(AM3:AM7)</f>
        <v>0</v>
      </c>
      <c r="AN8" s="25" t="str">
        <f>SUM(AN6:AN7)</f>
        <v>#DIV/0!</v>
      </c>
      <c r="AO8" s="24" t="s">
        <v>13</v>
      </c>
      <c r="AP8" s="5">
        <f>SUM(AP3:AP7)</f>
        <v>0</v>
      </c>
      <c r="AQ8" s="25" t="str">
        <f>SUM(AQ6:AQ7)</f>
        <v>#DIV/0!</v>
      </c>
      <c r="AR8" s="24" t="s">
        <v>13</v>
      </c>
      <c r="AS8" s="5">
        <f>SUM(AS3:AS7)</f>
        <v>0</v>
      </c>
      <c r="AT8" s="25" t="str">
        <f>SUM(AT6:AT7)</f>
        <v>#DIV/0!</v>
      </c>
      <c r="AU8" s="24" t="s">
        <v>13</v>
      </c>
      <c r="AV8" s="5">
        <f>SUM(AV3:AV7)</f>
        <v>0</v>
      </c>
      <c r="AW8" s="25" t="str">
        <f>SUM(AW6:AW7)</f>
        <v>#DIV/0!</v>
      </c>
      <c r="AX8" s="24" t="s">
        <v>13</v>
      </c>
      <c r="AY8" s="5">
        <f>SUM(AY3:AY7)</f>
        <v>0</v>
      </c>
      <c r="AZ8" s="25" t="str">
        <f>SUM(AZ6:AZ7)</f>
        <v>#DIV/0!</v>
      </c>
      <c r="BA8" s="24" t="s">
        <v>13</v>
      </c>
      <c r="BB8" s="5">
        <f>SUM(BB3:BB7)</f>
        <v>0</v>
      </c>
      <c r="BC8" s="25" t="str">
        <f>SUM(BC6:BC7)</f>
        <v>#DIV/0!</v>
      </c>
      <c r="BD8" s="24" t="s">
        <v>13</v>
      </c>
      <c r="BE8" s="5">
        <f>SUM(BE3:BE7)</f>
        <v>0</v>
      </c>
      <c r="BF8" s="25" t="str">
        <f>SUM(BF6:BF7)</f>
        <v>#DIV/0!</v>
      </c>
      <c r="BG8" s="24" t="s">
        <v>13</v>
      </c>
      <c r="BH8" s="5">
        <f>SUM(BH3:BH7)</f>
        <v>0</v>
      </c>
      <c r="BI8" s="25" t="str">
        <f>SUM(BI6:BI7)</f>
        <v>#DIV/0!</v>
      </c>
      <c r="BJ8" s="24" t="s">
        <v>13</v>
      </c>
      <c r="BK8" s="5">
        <f>SUM(BK3:BK7)</f>
        <v>0</v>
      </c>
      <c r="BL8" s="25" t="str">
        <f>SUM(BL6:BL7)</f>
        <v>#DIV/0!</v>
      </c>
      <c r="BM8" s="24" t="s">
        <v>13</v>
      </c>
      <c r="BN8" s="5">
        <f>SUM(BN3:BN7)</f>
        <v>0</v>
      </c>
      <c r="BO8" s="25" t="str">
        <f>SUM(BO6:BO7)</f>
        <v>#DIV/0!</v>
      </c>
      <c r="BP8" s="24" t="s">
        <v>13</v>
      </c>
      <c r="BQ8" s="5">
        <f>SUM(BQ3:BQ7)</f>
        <v>0</v>
      </c>
      <c r="BR8" s="25" t="str">
        <f>SUM(BR6:BR7)</f>
        <v>#DIV/0!</v>
      </c>
      <c r="BS8" s="24" t="s">
        <v>13</v>
      </c>
      <c r="BT8" s="5">
        <f>SUM(BT3:BT7)</f>
        <v>0</v>
      </c>
      <c r="BU8" s="25" t="str">
        <f>SUM(BU6:BU7)</f>
        <v>#DIV/0!</v>
      </c>
      <c r="BV8" s="24" t="s">
        <v>13</v>
      </c>
      <c r="BW8" s="5">
        <f>SUM(BW3:BW7)</f>
        <v>0</v>
      </c>
      <c r="BX8" s="25" t="str">
        <f>SUM(BX6:BX7)</f>
        <v>#DIV/0!</v>
      </c>
      <c r="BY8" s="24" t="s">
        <v>13</v>
      </c>
      <c r="BZ8" s="5">
        <f>SUM(BZ3:BZ7)</f>
        <v>0</v>
      </c>
      <c r="CA8" s="25" t="str">
        <f>SUM(CA6:CA7)</f>
        <v>#DIV/0!</v>
      </c>
      <c r="CB8" s="24" t="s">
        <v>13</v>
      </c>
      <c r="CC8" s="5">
        <f>SUM(CC3:CC7)</f>
        <v>0</v>
      </c>
      <c r="CD8" s="25" t="str">
        <f>SUM(CD6:CD7)</f>
        <v>#DIV/0!</v>
      </c>
      <c r="CE8" s="24" t="s">
        <v>13</v>
      </c>
      <c r="CF8" s="5">
        <f>SUM(CF3:CF7)</f>
        <v>0</v>
      </c>
      <c r="CG8" s="25" t="str">
        <f>SUM(CG6:CG7)</f>
        <v>#DIV/0!</v>
      </c>
      <c r="CH8" s="24" t="s">
        <v>13</v>
      </c>
      <c r="CI8" s="5">
        <f>SUM(CI3:CI7)</f>
        <v>0</v>
      </c>
      <c r="CJ8" s="25" t="str">
        <f>SUM(CJ6:CJ7)</f>
        <v>#DIV/0!</v>
      </c>
      <c r="CK8" s="24" t="s">
        <v>13</v>
      </c>
      <c r="CL8" s="5">
        <f>SUM(CL3:CL7)</f>
        <v>0</v>
      </c>
      <c r="CM8" s="25" t="str">
        <f>SUM(CM6:CM7)</f>
        <v>#DIV/0!</v>
      </c>
      <c r="CN8" s="24" t="s">
        <v>13</v>
      </c>
      <c r="CO8" s="5">
        <f>SUM(CO3:CO7)</f>
        <v>0</v>
      </c>
      <c r="CP8" s="25" t="str">
        <f>SUM(CP6:CP7)</f>
        <v>#DIV/0!</v>
      </c>
      <c r="CQ8" s="24" t="s">
        <v>13</v>
      </c>
      <c r="CR8" s="5">
        <f>SUM(CR3:CR7)</f>
        <v>0</v>
      </c>
      <c r="CS8" s="25" t="str">
        <f>SUM(CS6:CS7)</f>
        <v>#DIV/0!</v>
      </c>
      <c r="CT8" s="26"/>
      <c r="CU8" s="26"/>
      <c r="CV8" s="26"/>
      <c r="CW8" s="26"/>
      <c r="CX8" s="26"/>
      <c r="CY8" s="26"/>
      <c r="CZ8" s="26"/>
      <c r="DA8" s="26"/>
      <c r="DB8" s="26"/>
      <c r="DC8" s="26"/>
      <c r="DD8" s="26"/>
      <c r="DE8" s="26"/>
      <c r="DF8" s="26"/>
    </row>
    <row r="9">
      <c r="A9" s="14" t="s">
        <v>33</v>
      </c>
      <c r="B9" s="19"/>
      <c r="C9" s="14" t="s">
        <v>34</v>
      </c>
      <c r="D9" s="14" t="s">
        <v>35</v>
      </c>
      <c r="E9" s="27" t="str">
        <f>IF((COLUMN(E9) - 2)/3 = INT((COLUMN(E9) - 2)/3), INDIRECT("R1C"&amp;CEILING(4 + COLUMN(E9)/3,1), FALSE), "")</f>
        <v>['champion', 'final', 'leagu', 'footbal', 'win']</v>
      </c>
      <c r="F9" s="28"/>
      <c r="G9" s="29"/>
      <c r="H9" s="27" t="str">
        <f>IF((COLUMN(H9) - 2)/3 = INT((COLUMN(H9) - 2)/3), INDIRECT("R1C"&amp;CEILING(4 + COLUMN(H9)/3,1), FALSE), "")</f>
        <v>['take', 'knee', 'player']</v>
      </c>
      <c r="I9" s="28"/>
      <c r="J9" s="29"/>
      <c r="K9" s="27" t="str">
        <f>IF((COLUMN(K9) - 2)/3 = INT((COLUMN(K9) - 2)/3), INDIRECT("R1C"&amp;CEILING(4 + COLUMN(K9)/3,1), FALSE), "")</f>
        <v>['goal', 'score', 'conced', 'equalis', 'offsid', 'assist']</v>
      </c>
      <c r="L9" s="28"/>
      <c r="M9" s="29"/>
      <c r="N9" s="27" t="str">
        <f>IF((COLUMN(N9) - 2)/3 = INT((COLUMN(N9) - 2)/3), INDIRECT("R1C"&amp;CEILING(4 + COLUMN(N9)/3,1), FALSE), "")</f>
        <v>['need', 'half', 'sub', 'second', 'lead', '2nd']</v>
      </c>
      <c r="O9" s="28"/>
      <c r="P9" s="29"/>
      <c r="Q9" s="27" t="str">
        <f>IF((COLUMN(Q9) - 2)/3 = INT((COLUMN(Q9) - 2)/3), INDIRECT("R1C"&amp;CEILING(4 + COLUMN(Q9)/3,1), FALSE), "")</f>
        <v>['touch', 'cross', 'ball', 'pass']</v>
      </c>
      <c r="R9" s="28"/>
      <c r="S9" s="29"/>
      <c r="T9" s="27" t="str">
        <f>IF((COLUMN(T9) - 2)/3 = INT((COLUMN(T9) - 2)/3), INDIRECT("R1C"&amp;CEILING(4 + COLUMN(T9)/3,1), FALSE), "")</f>
        <v>['foul', 'refere', 'book', 'decis', 'var', 'given', 'pen', 'dive', 'ref', 'penalti']</v>
      </c>
      <c r="U9" s="28"/>
      <c r="V9" s="29"/>
      <c r="W9" s="27" t="str">
        <f>IF((COLUMN(W9) - 2)/3 = INT((COLUMN(W9) - 2)/3), INDIRECT("R1C"&amp;CEILING(4 + COLUMN(W9)/3,1), FALSE), "")</f>
        <v>['tackl', 'dribbl', 'yellow', 'red', 'card']</v>
      </c>
      <c r="X9" s="28"/>
      <c r="Y9" s="29"/>
      <c r="Z9" s="27" t="str">
        <f>IF((COLUMN(Z9) - 2)/3 = INT((COLUMN(Z9) - 2)/3), INDIRECT("R1C"&amp;CEILING(4 + COLUMN(Z9)/3,1), FALSE), "")</f>
        <v>['gol', 'stream', 'onlin', 'free', 'reddit', 'link', 'EXCLUDED-manchest', 'ff', 'live']</v>
      </c>
      <c r="AA9" s="28"/>
      <c r="AB9" s="29"/>
      <c r="AC9" s="27" t="str">
        <f>IF((COLUMN(AC9) - 2)/3 = INT((COLUMN(AC9) - 2)/3), INDIRECT("R1C"&amp;CEILING(4 + COLUMN(AC9)/3,1), FALSE), "")</f>
        <v>['deflect', 'kick', 'corner', 'shot', 'net']</v>
      </c>
      <c r="AD9" s="28"/>
      <c r="AE9" s="29"/>
      <c r="AF9" s="27" t="str">
        <f>IF((COLUMN(AF9) - 2)/3 = INT((COLUMN(AF9) - 2)/3), INDIRECT("R1C"&amp;CEILING(4 + COLUMN(AF9)/3,1), FALSE), "")</f>
        <v>['world', 'class', 'striker']</v>
      </c>
      <c r="AG9" s="28"/>
      <c r="AH9" s="29"/>
      <c r="AI9" s="27" t="str">
        <f>IF((COLUMN(AI9) - 2)/3 = INT((COLUMN(AI9) - 2)/3), INDIRECT("R1C"&amp;CEILING(4 + COLUMN(AI9)/3,1), FALSE), "")</f>
        <v>['keeper', 'best', 'goalkeep', 'defend', 'EXCLUDED-kepa', 'save']</v>
      </c>
      <c r="AJ9" s="28"/>
      <c r="AK9" s="29"/>
      <c r="AL9" s="27" t="str">
        <f>IF((COLUMN(AL9) - 2)/3 = INT((COLUMN(AL9) - 2)/3), INDIRECT("R1C"&amp;CEILING(4 + COLUMN(AL9)/3,1), FALSE), "")</f>
        <v/>
      </c>
      <c r="AM9" s="28"/>
      <c r="AN9" s="29"/>
      <c r="AO9" s="27" t="str">
        <f>IF((COLUMN(AO9) - 2)/3 = INT((COLUMN(AO9) - 2)/3), INDIRECT("R1C"&amp;CEILING(4 + COLUMN(AO9)/3,1), FALSE), "")</f>
        <v/>
      </c>
      <c r="AP9" s="28"/>
      <c r="AQ9" s="29"/>
      <c r="AR9" s="27" t="str">
        <f>IF((COLUMN(AR9) - 2)/3 = INT((COLUMN(AR9) - 2)/3), INDIRECT("R1C"&amp;CEILING(4 + COLUMN(AR9)/3,1), FALSE), "")</f>
        <v/>
      </c>
      <c r="AS9" s="28"/>
      <c r="AT9" s="29"/>
      <c r="AU9" s="27" t="str">
        <f>IF((COLUMN(AU9) - 2)/3 = INT((COLUMN(AU9) - 2)/3), INDIRECT("R1C"&amp;CEILING(4 + COLUMN(AU9)/3,1), FALSE), "")</f>
        <v/>
      </c>
      <c r="AV9" s="28"/>
      <c r="AW9" s="29"/>
      <c r="AX9" s="27" t="str">
        <f>IF((COLUMN(AX9) - 2)/3 = INT((COLUMN(AX9) - 2)/3), INDIRECT("R1C"&amp;CEILING(4 + COLUMN(AX9)/3,1), FALSE), "")</f>
        <v/>
      </c>
      <c r="AY9" s="28"/>
      <c r="AZ9" s="29"/>
      <c r="BA9" s="27" t="str">
        <f>IF((COLUMN(BA9) - 2)/3 = INT((COLUMN(BA9) - 2)/3), INDIRECT("R1C"&amp;CEILING(4 + COLUMN(BA9)/3,1), FALSE), "")</f>
        <v/>
      </c>
      <c r="BB9" s="28"/>
      <c r="BC9" s="29"/>
      <c r="BD9" s="27" t="str">
        <f>IF((COLUMN(BD9) - 2)/3 = INT((COLUMN(BD9) - 2)/3), INDIRECT("R1C"&amp;CEILING(4 + COLUMN(BD9)/3,1), FALSE), "")</f>
        <v/>
      </c>
      <c r="BE9" s="28"/>
      <c r="BF9" s="29"/>
      <c r="BG9" s="27" t="str">
        <f>IF((COLUMN(BG9) - 2)/3 = INT((COLUMN(BG9) - 2)/3), INDIRECT("R1C"&amp;CEILING(4 + COLUMN(BG9)/3,1), FALSE), "")</f>
        <v/>
      </c>
      <c r="BH9" s="28"/>
      <c r="BI9" s="29"/>
      <c r="BJ9" s="27" t="str">
        <f>IF((COLUMN(BJ9) - 2)/3 = INT((COLUMN(BJ9) - 2)/3), INDIRECT("R1C"&amp;CEILING(4 + COLUMN(BJ9)/3,1), FALSE), "")</f>
        <v/>
      </c>
      <c r="BK9" s="28"/>
      <c r="BL9" s="29"/>
      <c r="BM9" s="27" t="str">
        <f>IF((COLUMN(BM9) - 2)/3 = INT((COLUMN(BM9) - 2)/3), INDIRECT("R1C"&amp;CEILING(4 + COLUMN(BM9)/3,1), FALSE), "")</f>
        <v/>
      </c>
      <c r="BN9" s="28"/>
      <c r="BO9" s="29"/>
      <c r="BP9" s="27" t="str">
        <f>IF((COLUMN(BP9) - 2)/3 = INT((COLUMN(BP9) - 2)/3), INDIRECT("R1C"&amp;CEILING(4 + COLUMN(BP9)/3,1), FALSE), "")</f>
        <v/>
      </c>
      <c r="BQ9" s="28"/>
      <c r="BR9" s="29"/>
      <c r="BS9" s="27" t="str">
        <f>IF((COLUMN(BS9) - 2)/3 = INT((COLUMN(BS9) - 2)/3), INDIRECT("R1C"&amp;CEILING(4 + COLUMN(BS9)/3,1), FALSE), "")</f>
        <v/>
      </c>
      <c r="BT9" s="28"/>
      <c r="BU9" s="29"/>
      <c r="BV9" s="27" t="str">
        <f>IF((COLUMN(BV9) - 2)/3 = INT((COLUMN(BV9) - 2)/3), INDIRECT("R1C"&amp;CEILING(4 + COLUMN(BV9)/3,1), FALSE), "")</f>
        <v/>
      </c>
      <c r="BW9" s="28"/>
      <c r="BX9" s="29"/>
      <c r="BY9" s="27" t="str">
        <f>IF((COLUMN(BY9) - 2)/3 = INT((COLUMN(BY9) - 2)/3), INDIRECT("R1C"&amp;CEILING(4 + COLUMN(BY9)/3,1), FALSE), "")</f>
        <v/>
      </c>
      <c r="BZ9" s="28"/>
      <c r="CA9" s="29"/>
      <c r="CB9" s="27" t="str">
        <f>IF((COLUMN(CB9) - 2)/3 = INT((COLUMN(CB9) - 2)/3), INDIRECT("R1C"&amp;CEILING(4 + COLUMN(CB9)/3,1), FALSE), "")</f>
        <v/>
      </c>
      <c r="CC9" s="28"/>
      <c r="CD9" s="29"/>
      <c r="CE9" s="27" t="str">
        <f>IF((COLUMN(CE9) - 2)/3 = INT((COLUMN(CE9) - 2)/3), INDIRECT("R1C"&amp;CEILING(4 + COLUMN(CE9)/3,1), FALSE), "")</f>
        <v/>
      </c>
      <c r="CF9" s="28"/>
      <c r="CG9" s="29"/>
      <c r="CH9" s="27" t="str">
        <f>IF((COLUMN(CH9) - 2)/3 = INT((COLUMN(CH9) - 2)/3), INDIRECT("R1C"&amp;CEILING(4 + COLUMN(CH9)/3,1), FALSE), "")</f>
        <v/>
      </c>
      <c r="CI9" s="28"/>
      <c r="CJ9" s="29"/>
      <c r="CK9" s="27" t="str">
        <f>IF((COLUMN(CK9) - 2)/3 = INT((COLUMN(CK9) - 2)/3), INDIRECT("R1C"&amp;CEILING(4 + COLUMN(CK9)/3,1), FALSE), "")</f>
        <v/>
      </c>
      <c r="CL9" s="28"/>
      <c r="CM9" s="29"/>
      <c r="CN9" s="27" t="str">
        <f>IF((COLUMN(CN9) - 2)/3 = INT((COLUMN(CN9) - 2)/3), INDIRECT("R1C"&amp;CEILING(4 + COLUMN(CN9)/3,1), FALSE), "")</f>
        <v/>
      </c>
      <c r="CO9" s="28"/>
      <c r="CP9" s="29"/>
      <c r="CQ9" s="27" t="str">
        <f>IF((COLUMN(CQ9) - 2)/3 = INT((COLUMN(CQ9) - 2)/3), INDIRECT("R1C"&amp;CEILING(4 + COLUMN(CQ9)/3,1), FALSE), "")</f>
        <v/>
      </c>
      <c r="CR9" s="28"/>
      <c r="CS9" s="29"/>
    </row>
    <row r="10">
      <c r="A10" s="19" t="s">
        <v>14</v>
      </c>
      <c r="B10" s="19" t="s">
        <v>36</v>
      </c>
      <c r="C10" s="30">
        <f>IFERROR(__xludf.DUMMYFUNCTION("SUM(FILTER($E3:DF3, (COLUMN($E3:DF3)) / 3 = ROUND((COLUMN($E3:DF3)) / 3), NOT(ISERROR($E3:DF3))))"),8.0)</f>
        <v>8</v>
      </c>
      <c r="D10" s="26">
        <f t="shared" ref="D10:D14" si="63">$C10/$C$15</f>
        <v>0.06504065041</v>
      </c>
      <c r="E10" s="5" t="str">
        <f>IFERROR(__xludf.DUMMYFUNCTION("QUERY(INDIRECT($B$2&amp;""!$A$1:$F""), ""SELECT C, F WHERE D = """""" &amp; E9 &amp; """""""")"),"date")</f>
        <v>date</v>
      </c>
      <c r="F10" s="5" t="str">
        <f>IFERROR(__xludf.DUMMYFUNCTION("""COMPUTED_VALUE"""),"summary")</f>
        <v>summary</v>
      </c>
      <c r="H10" s="5" t="str">
        <f>IFERROR(__xludf.DUMMYFUNCTION("QUERY(INDIRECT($B$2&amp;""!$A$1:$F""), ""SELECT C, F WHERE D = """""" &amp; H9 &amp; """""""")"),"date")</f>
        <v>date</v>
      </c>
      <c r="I10" s="5" t="str">
        <f>IFERROR(__xludf.DUMMYFUNCTION("""COMPUTED_VALUE"""),"summary")</f>
        <v>summary</v>
      </c>
      <c r="K10" s="5" t="str">
        <f>IFERROR(__xludf.DUMMYFUNCTION("QUERY(INDIRECT($B$2&amp;""!$A$1:$F""), ""SELECT C, F WHERE D = """""" &amp; K9 &amp; """""""")"),"date")</f>
        <v>date</v>
      </c>
      <c r="L10" s="5" t="str">
        <f>IFERROR(__xludf.DUMMYFUNCTION("""COMPUTED_VALUE"""),"summary")</f>
        <v>summary</v>
      </c>
      <c r="N10" s="5" t="str">
        <f>IFERROR(__xludf.DUMMYFUNCTION("QUERY(INDIRECT($B$2&amp;""!$A$1:$F""), ""SELECT C, F WHERE D = """""" &amp; N9 &amp; """""""")"),"date")</f>
        <v>date</v>
      </c>
      <c r="O10" s="5" t="str">
        <f>IFERROR(__xludf.DUMMYFUNCTION("""COMPUTED_VALUE"""),"summary")</f>
        <v>summary</v>
      </c>
      <c r="Q10" s="5" t="str">
        <f>IFERROR(__xludf.DUMMYFUNCTION("QUERY(INDIRECT($B$2&amp;""!$A$1:$F""), ""SELECT C, F WHERE D = """""" &amp; Q9 &amp; """""""")"),"date")</f>
        <v>date</v>
      </c>
      <c r="R10" s="5" t="str">
        <f>IFERROR(__xludf.DUMMYFUNCTION("""COMPUTED_VALUE"""),"summary")</f>
        <v>summary</v>
      </c>
      <c r="T10" s="5" t="str">
        <f>IFERROR(__xludf.DUMMYFUNCTION("QUERY(INDIRECT($B$2&amp;""!$A$1:$F""), ""SELECT C, F WHERE D = """""" &amp; T9 &amp; """""""")"),"date")</f>
        <v>date</v>
      </c>
      <c r="U10" s="5" t="str">
        <f>IFERROR(__xludf.DUMMYFUNCTION("""COMPUTED_VALUE"""),"summary")</f>
        <v>summary</v>
      </c>
      <c r="W10" s="5" t="str">
        <f>IFERROR(__xludf.DUMMYFUNCTION("QUERY(INDIRECT($B$2&amp;""!$A$1:$F""), ""SELECT C, F WHERE D = """""" &amp; W9 &amp; """""""")"),"date")</f>
        <v>date</v>
      </c>
      <c r="X10" s="5" t="str">
        <f>IFERROR(__xludf.DUMMYFUNCTION("""COMPUTED_VALUE"""),"summary")</f>
        <v>summary</v>
      </c>
      <c r="Z10" s="5" t="str">
        <f>IFERROR(__xludf.DUMMYFUNCTION("QUERY(INDIRECT($B$2&amp;""!$A$1:$F""), ""SELECT C, F WHERE D = """""" &amp; Z9 &amp; """""""")"),"date")</f>
        <v>date</v>
      </c>
      <c r="AA10" s="5" t="str">
        <f>IFERROR(__xludf.DUMMYFUNCTION("""COMPUTED_VALUE"""),"summary")</f>
        <v>summary</v>
      </c>
      <c r="AC10" s="5" t="str">
        <f>IFERROR(__xludf.DUMMYFUNCTION("QUERY(INDIRECT($B$2&amp;""!$A$1:$F""), ""SELECT C, F WHERE D = """""" &amp; AC9 &amp; """""""")"),"date")</f>
        <v>date</v>
      </c>
      <c r="AD10" s="5" t="str">
        <f>IFERROR(__xludf.DUMMYFUNCTION("""COMPUTED_VALUE"""),"summary")</f>
        <v>summary</v>
      </c>
      <c r="AF10" s="5" t="str">
        <f>IFERROR(__xludf.DUMMYFUNCTION("QUERY(INDIRECT($B$2&amp;""!$A$1:$F""), ""SELECT C, F WHERE D = """""" &amp; AF9 &amp; """""""")"),"date")</f>
        <v>date</v>
      </c>
      <c r="AG10" s="5" t="str">
        <f>IFERROR(__xludf.DUMMYFUNCTION("""COMPUTED_VALUE"""),"summary")</f>
        <v>summary</v>
      </c>
      <c r="AI10" s="5" t="str">
        <f>IFERROR(__xludf.DUMMYFUNCTION("QUERY(INDIRECT($B$2&amp;""!$A$1:$F""), ""SELECT C, F WHERE D = """""" &amp; AI9 &amp; """""""")"),"date")</f>
        <v>date</v>
      </c>
      <c r="AJ10" s="5" t="str">
        <f>IFERROR(__xludf.DUMMYFUNCTION("""COMPUTED_VALUE"""),"summary")</f>
        <v>summary</v>
      </c>
      <c r="AL10" s="5" t="str">
        <f>IFERROR(__xludf.DUMMYFUNCTION("QUERY(INDIRECT($B$2&amp;""!$A$1:$F""), ""SELECT C, F WHERE D = """""" &amp; AL9 &amp; """""""")"),"date")</f>
        <v>date</v>
      </c>
      <c r="AM10" s="5" t="str">
        <f>IFERROR(__xludf.DUMMYFUNCTION("""COMPUTED_VALUE"""),"summary")</f>
        <v>summary</v>
      </c>
      <c r="AO10" s="5" t="str">
        <f>IFERROR(__xludf.DUMMYFUNCTION("QUERY(INDIRECT($B$2&amp;""!$A$1:$F""), ""SELECT C, F WHERE D = """""" &amp; AO9 &amp; """""""")"),"date")</f>
        <v>date</v>
      </c>
      <c r="AP10" s="5" t="str">
        <f>IFERROR(__xludf.DUMMYFUNCTION("""COMPUTED_VALUE"""),"summary")</f>
        <v>summary</v>
      </c>
      <c r="AR10" s="5" t="str">
        <f>IFERROR(__xludf.DUMMYFUNCTION("QUERY(INDIRECT($B$2&amp;""!$A$1:$F""), ""SELECT C, F WHERE D = """""" &amp; AR9 &amp; """""""")"),"date")</f>
        <v>date</v>
      </c>
      <c r="AS10" s="5" t="str">
        <f>IFERROR(__xludf.DUMMYFUNCTION("""COMPUTED_VALUE"""),"summary")</f>
        <v>summary</v>
      </c>
      <c r="AU10" s="5" t="str">
        <f>IFERROR(__xludf.DUMMYFUNCTION("QUERY(INDIRECT($B$2&amp;""!$A$1:$F""), ""SELECT C, F WHERE D = """""" &amp; AU9 &amp; """""""")"),"date")</f>
        <v>date</v>
      </c>
      <c r="AV10" s="5" t="str">
        <f>IFERROR(__xludf.DUMMYFUNCTION("""COMPUTED_VALUE"""),"summary")</f>
        <v>summary</v>
      </c>
      <c r="AX10" s="5" t="str">
        <f>IFERROR(__xludf.DUMMYFUNCTION("QUERY(INDIRECT($B$2&amp;""!$A$1:$F""), ""SELECT C, F WHERE D = """""" &amp; AX9 &amp; """""""")"),"date")</f>
        <v>date</v>
      </c>
      <c r="AY10" s="5" t="str">
        <f>IFERROR(__xludf.DUMMYFUNCTION("""COMPUTED_VALUE"""),"summary")</f>
        <v>summary</v>
      </c>
      <c r="BA10" s="5" t="str">
        <f>IFERROR(__xludf.DUMMYFUNCTION("QUERY(INDIRECT($B$2&amp;""!$A$1:$F""), ""SELECT C, F WHERE D = """""" &amp; BA9 &amp; """""""")"),"date")</f>
        <v>date</v>
      </c>
      <c r="BB10" s="5" t="str">
        <f>IFERROR(__xludf.DUMMYFUNCTION("""COMPUTED_VALUE"""),"summary")</f>
        <v>summary</v>
      </c>
      <c r="BD10" s="5" t="str">
        <f>IFERROR(__xludf.DUMMYFUNCTION("QUERY(INDIRECT($B$2&amp;""!$A$1:$F""), ""SELECT C, F WHERE D = """""" &amp; BD9 &amp; """""""")"),"date")</f>
        <v>date</v>
      </c>
      <c r="BE10" s="5" t="str">
        <f>IFERROR(__xludf.DUMMYFUNCTION("""COMPUTED_VALUE"""),"summary")</f>
        <v>summary</v>
      </c>
      <c r="BG10" s="5" t="str">
        <f>IFERROR(__xludf.DUMMYFUNCTION("QUERY(INDIRECT($B$2&amp;""!$A$1:$F""), ""SELECT C, F WHERE D = """""" &amp; BG9 &amp; """""""")"),"date")</f>
        <v>date</v>
      </c>
      <c r="BH10" s="5" t="str">
        <f>IFERROR(__xludf.DUMMYFUNCTION("""COMPUTED_VALUE"""),"summary")</f>
        <v>summary</v>
      </c>
      <c r="BJ10" s="5" t="str">
        <f>IFERROR(__xludf.DUMMYFUNCTION("QUERY(INDIRECT($B$2&amp;""!$A$1:$F""), ""SELECT C, F WHERE D = """""" &amp; BJ9 &amp; """""""")"),"date")</f>
        <v>date</v>
      </c>
      <c r="BK10" s="5" t="str">
        <f>IFERROR(__xludf.DUMMYFUNCTION("""COMPUTED_VALUE"""),"summary")</f>
        <v>summary</v>
      </c>
      <c r="BM10" s="5" t="str">
        <f>IFERROR(__xludf.DUMMYFUNCTION("QUERY(INDIRECT($B$2&amp;""!$A$1:$F""), ""SELECT C, F WHERE D = """""" &amp; BM9 &amp; """""""")"),"date")</f>
        <v>date</v>
      </c>
      <c r="BN10" s="5" t="str">
        <f>IFERROR(__xludf.DUMMYFUNCTION("""COMPUTED_VALUE"""),"summary")</f>
        <v>summary</v>
      </c>
      <c r="BP10" s="5" t="str">
        <f>IFERROR(__xludf.DUMMYFUNCTION("QUERY(INDIRECT($B$2&amp;""!$A$1:$F""), ""SELECT C, F WHERE D = """""" &amp; BP9 &amp; """""""")"),"date")</f>
        <v>date</v>
      </c>
      <c r="BQ10" s="5" t="str">
        <f>IFERROR(__xludf.DUMMYFUNCTION("""COMPUTED_VALUE"""),"summary")</f>
        <v>summary</v>
      </c>
      <c r="BS10" s="5" t="str">
        <f>IFERROR(__xludf.DUMMYFUNCTION("QUERY(INDIRECT($B$2&amp;""!$A$1:$F""), ""SELECT C, F WHERE D = """""" &amp; BS9 &amp; """""""")"),"date")</f>
        <v>date</v>
      </c>
      <c r="BT10" s="5" t="str">
        <f>IFERROR(__xludf.DUMMYFUNCTION("""COMPUTED_VALUE"""),"summary")</f>
        <v>summary</v>
      </c>
      <c r="BV10" s="5" t="str">
        <f>IFERROR(__xludf.DUMMYFUNCTION("QUERY(INDIRECT($B$2&amp;""!$A$1:$F""), ""SELECT C, F WHERE D = """""" &amp; BV9 &amp; """""""")"),"date")</f>
        <v>date</v>
      </c>
      <c r="BW10" s="5" t="str">
        <f>IFERROR(__xludf.DUMMYFUNCTION("""COMPUTED_VALUE"""),"summary")</f>
        <v>summary</v>
      </c>
      <c r="BY10" s="5" t="str">
        <f>IFERROR(__xludf.DUMMYFUNCTION("QUERY(INDIRECT($B$2&amp;""!$A$1:$F""), ""SELECT C, F WHERE D = """""" &amp; BY9 &amp; """""""")"),"date")</f>
        <v>date</v>
      </c>
      <c r="BZ10" s="5" t="str">
        <f>IFERROR(__xludf.DUMMYFUNCTION("""COMPUTED_VALUE"""),"summary")</f>
        <v>summary</v>
      </c>
      <c r="CB10" s="5" t="str">
        <f>IFERROR(__xludf.DUMMYFUNCTION("QUERY(INDIRECT($B$2&amp;""!$A$1:$F""), ""SELECT C, F WHERE D = """""" &amp; CB9 &amp; """""""")"),"date")</f>
        <v>date</v>
      </c>
      <c r="CC10" s="5" t="str">
        <f>IFERROR(__xludf.DUMMYFUNCTION("""COMPUTED_VALUE"""),"summary")</f>
        <v>summary</v>
      </c>
      <c r="CE10" s="5" t="str">
        <f>IFERROR(__xludf.DUMMYFUNCTION("QUERY(INDIRECT($B$2&amp;""!$A$1:$F""), ""SELECT C, F WHERE D = """""" &amp; CE9 &amp; """""""")"),"date")</f>
        <v>date</v>
      </c>
      <c r="CF10" s="5" t="str">
        <f>IFERROR(__xludf.DUMMYFUNCTION("""COMPUTED_VALUE"""),"summary")</f>
        <v>summary</v>
      </c>
      <c r="CH10" s="5" t="str">
        <f>IFERROR(__xludf.DUMMYFUNCTION("QUERY(INDIRECT($B$2&amp;""!$A$1:$F""), ""SELECT C, F WHERE D = """""" &amp; CH9 &amp; """""""")"),"date")</f>
        <v>date</v>
      </c>
      <c r="CI10" s="5" t="str">
        <f>IFERROR(__xludf.DUMMYFUNCTION("""COMPUTED_VALUE"""),"summary")</f>
        <v>summary</v>
      </c>
      <c r="CK10" s="5" t="str">
        <f>IFERROR(__xludf.DUMMYFUNCTION("QUERY(INDIRECT($B$2&amp;""!$A$1:$F""), ""SELECT C, F WHERE D = """""" &amp; CK9 &amp; """""""")"),"date")</f>
        <v>date</v>
      </c>
      <c r="CL10" s="5" t="str">
        <f>IFERROR(__xludf.DUMMYFUNCTION("""COMPUTED_VALUE"""),"summary")</f>
        <v>summary</v>
      </c>
      <c r="CN10" s="5" t="str">
        <f>IFERROR(__xludf.DUMMYFUNCTION("QUERY(INDIRECT($B$2&amp;""!$A$1:$F""), ""SELECT C, F WHERE D = """""" &amp; CN9 &amp; """""""")"),"date")</f>
        <v>date</v>
      </c>
      <c r="CO10" s="5" t="str">
        <f>IFERROR(__xludf.DUMMYFUNCTION("""COMPUTED_VALUE"""),"summary")</f>
        <v>summary</v>
      </c>
      <c r="CQ10" s="5" t="str">
        <f>IFERROR(__xludf.DUMMYFUNCTION("QUERY(INDIRECT($B$2&amp;""!$A$1:$F""), ""SELECT C, F WHERE D = """""" &amp; CQ9 &amp; """""""")"),"date")</f>
        <v>date</v>
      </c>
      <c r="CR10" s="5" t="str">
        <f>IFERROR(__xludf.DUMMYFUNCTION("""COMPUTED_VALUE"""),"summary")</f>
        <v>summary</v>
      </c>
    </row>
    <row r="11">
      <c r="A11" s="19" t="s">
        <v>15</v>
      </c>
      <c r="B11" s="19" t="s">
        <v>37</v>
      </c>
      <c r="C11" s="30">
        <f>IFERROR(__xludf.DUMMYFUNCTION("SUM(FILTER($E4:DF4, (COLUMN($E4:DF4)) / 3 = ROUND((COLUMN($E4:DF4)) / 3), NOT(ISERROR($E4:DF4))))"),9.0)</f>
        <v>9</v>
      </c>
      <c r="D11" s="26">
        <f t="shared" si="63"/>
        <v>0.07317073171</v>
      </c>
      <c r="E11" s="40">
        <f>IFERROR(__xludf.DUMMYFUNCTION("""COMPUTED_VALUE"""),44359.53563657407)</f>
        <v>44359.53564</v>
      </c>
      <c r="F11" s="5" t="str">
        <f>IFERROR(__xludf.DUMMYFUNCTION("""COMPUTED_VALUE"""),"Italy was very good in yesterday’s game, I think that they will win the euros… EURO 2020. 28 matches unbeaten. Eased to a 3-0 win on the opening day of EURO 2020. #ITA are all business.. Wales to win 2-1 Bale to score. Game 2 of the EURO 2020 I’m hoping f"&amp;"or a Wales win #WALSUI.")</f>
        <v>Italy was very good in yesterday’s game, I think that they will win the euros… EURO 2020. 28 matches unbeaten. Eased to a 3-0 win on the opening day of EURO 2020. #ITA are all business.. Wales to win 2-1 Bale to score. Game 2 of the EURO 2020 I’m hoping for a Wales win #WALSUI.</v>
      </c>
      <c r="G11" s="5"/>
      <c r="H11" s="40">
        <f>IFERROR(__xludf.DUMMYFUNCTION("""COMPUTED_VALUE"""),44359.54133101852)</f>
        <v>44359.54133</v>
      </c>
      <c r="I11" s="5" t="str">
        <f>IFERROR(__xludf.DUMMYFUNCTION("""COMPUTED_VALUE"""),"The Rugby players do that anthem a lot more justice.. #Wal. #WALSUI 🏴󠁧󠁢󠁷󠁬󠁳󠁿. The #Wales anthem would sound a million times better if the players didn't sing it! Please make the players stand in order of height for the anthems EURO 2020.")</f>
        <v>The Rugby players do that anthem a lot more justice.. #Wal. #WALSUI 🏴󠁧󠁢󠁷󠁬󠁳󠁿. The #Wales anthem would sound a million times better if the players didn't sing it! Please make the players stand in order of height for the anthems EURO 2020.</v>
      </c>
      <c r="J11" s="5"/>
      <c r="K11" s="40">
        <f>IFERROR(__xludf.DUMMYFUNCTION("""COMPUTED_VALUE"""),44359.54255787037)</f>
        <v>44359.54256</v>
      </c>
      <c r="L11" s="5" t="str">
        <f>IFERROR(__xludf.DUMMYFUNCTION("""COMPUTED_VALUE"""),"Dan James to score a brace EURO 2020. Bale to score a brace today.")</f>
        <v>Dan James to score a brace EURO 2020. Bale to score a brace today.</v>
      </c>
      <c r="M11" s="39" t="s">
        <v>16</v>
      </c>
      <c r="N11" s="40">
        <f>IFERROR(__xludf.DUMMYFUNCTION("""COMPUTED_VALUE"""),44359.54269675926)</f>
        <v>44359.5427</v>
      </c>
      <c r="O11" s="5" t="str">
        <f>IFERROR(__xludf.DUMMYFUNCTION("""COMPUTED_VALUE"""),"Time for the 2nd game of EURO 2020.")</f>
        <v>Time for the 2nd game of EURO 2020.</v>
      </c>
      <c r="P11" s="39" t="s">
        <v>18</v>
      </c>
      <c r="Q11" s="40">
        <f>IFERROR(__xludf.DUMMYFUNCTION("""COMPUTED_VALUE"""),44359.55405092593)</f>
        <v>44359.55405</v>
      </c>
      <c r="R11" s="5" t="str">
        <f>IFERROR(__xludf.DUMMYFUNCTION("""COMPUTED_VALUE"""),"Great cross from Dan James! EURO 2020. What a cross from James and what a save from Sommer. #WALSUI. Fantastic cross from daniel james. Daniel James bro 😭😭😭😭👶🏽💪🏾 the run, the cross. That was a peach of a cross from Dan James btw. Doesn’t do that o"&amp;"ften enough for United. 🤔 #WAL.")</f>
        <v>Great cross from Dan James! EURO 2020. What a cross from James and what a save from Sommer. #WALSUI. Fantastic cross from daniel james. Daniel James bro 😭😭😭😭👶🏽💪🏾 the run, the cross. That was a peach of a cross from Dan James btw. Doesn’t do that often enough for United. 🤔 #WAL.</v>
      </c>
      <c r="S11" s="39" t="s">
        <v>18</v>
      </c>
      <c r="T11" s="40">
        <f>IFERROR(__xludf.DUMMYFUNCTION("""COMPUTED_VALUE"""),44359.56425925926)</f>
        <v>44359.56426</v>
      </c>
      <c r="U11" s="5" t="str">
        <f>IFERROR(__xludf.DUMMYFUNCTION("""COMPUTED_VALUE"""),"Foul! #WALSUI EURO 2020. What a prick, what a run from James, that foul was so harsh #WALSWI #WAL. That was an appalling foul by #Schär. Professional. EURO 2020. Cynical foul that 😬 #WALSUI. The cynicism from Schar for his foul on Dan James is just glori"&amp;"ous 🤣 EURO 2020.")</f>
        <v>Foul! #WALSUI EURO 2020. What a prick, what a run from James, that foul was so harsh #WALSWI #WAL. That was an appalling foul by #Schär. Professional. EURO 2020. Cynical foul that 😬 #WALSUI. The cynicism from Schar for his foul on Dan James is just glorious 🤣 EURO 2020.</v>
      </c>
      <c r="V11" s="39" t="s">
        <v>18</v>
      </c>
      <c r="W11" s="40">
        <f>IFERROR(__xludf.DUMMYFUNCTION("""COMPUTED_VALUE"""),44359.56450231481)</f>
        <v>44359.5645</v>
      </c>
      <c r="X11" s="5" t="str">
        <f>IFERROR(__xludf.DUMMYFUNCTION("""COMPUTED_VALUE"""),"Clear red card foul on Dan James there, ref gives a yellow. #WAL EURO 2020. He just took out our man 🤬🏴󠁧󠁢󠁷󠁬󠁳󠁿 #WAL yellow card surely Euro 2021. Red card for me day #WALSUI. That's a professional foul. Yellow card well deserved. #WALSUI.")</f>
        <v>Clear red card foul on Dan James there, ref gives a yellow. #WAL EURO 2020. He just took out our man 🤬🏴󠁧󠁢󠁷󠁬󠁳󠁿 #WAL yellow card surely Euro 2021. Red card for me day #WALSUI. That's a professional foul. Yellow card well deserved. #WALSUI.</v>
      </c>
      <c r="Y11" s="39" t="s">
        <v>18</v>
      </c>
      <c r="Z11" s="40">
        <f>IFERROR(__xludf.DUMMYFUNCTION("""COMPUTED_VALUE"""),44359.564513888894)</f>
        <v>44359.56451</v>
      </c>
      <c r="AA11" s="5" t="str">
        <f>IFERROR(__xludf.DUMMYFUNCTION("""COMPUTED_VALUE"""),"Daniel James is free from our shackles he’s cooking. Bit of a weird tactical foul in Bale free kick range tbh. Free kick from Bale now 😍. Great run from Daniel James there, gives his defenders a rest and wins a free kick in a great position for Wales.")</f>
        <v>Daniel James is free from our shackles he’s cooking. Bit of a weird tactical foul in Bale free kick range tbh. Free kick from Bale now 😍. Great run from Daniel James there, gives his defenders a rest and wins a free kick in a great position for Wales.</v>
      </c>
      <c r="AB11" s="39" t="s">
        <v>18</v>
      </c>
      <c r="AC11" s="40">
        <f>IFERROR(__xludf.DUMMYFUNCTION("""COMPUTED_VALUE"""),44359.56458333333)</f>
        <v>44359.56458</v>
      </c>
      <c r="AD11" s="5" t="str">
        <f>IFERROR(__xludf.DUMMYFUNCTION("""COMPUTED_VALUE"""),"Bit of a weird tactical foul in Bale free kick range tbh. Free kick from Bale now 😍. Great run from Daniel James there, gives his defenders a rest and wins a free kick in a great position for Wales. Why is Bale taking this free kick from Dan stop it.")</f>
        <v>Bit of a weird tactical foul in Bale free kick range tbh. Free kick from Bale now 😍. Great run from Daniel James there, gives his defenders a rest and wins a free kick in a great position for Wales. Why is Bale taking this free kick from Dan stop it.</v>
      </c>
      <c r="AE11" s="39" t="s">
        <v>18</v>
      </c>
      <c r="AF11" s="40">
        <f>IFERROR(__xludf.DUMMYFUNCTION("""COMPUTED_VALUE"""),44359.57528935185)</f>
        <v>44359.57529</v>
      </c>
      <c r="AG11" s="5" t="str">
        <f>IFERROR(__xludf.DUMMYFUNCTION("""COMPUTED_VALUE"""),"Seferovic is the worst striker of all time. Seferovic is having an absolute shocker. Terrible striker 😂😬. Seferovic ain't a serious striker man. The year is 2048 and Switzerland are still playing Seferovic up front because they STILL haven't got a good "&amp;"striker. #WALSUI EURO 2020.")</f>
        <v>Seferovic is the worst striker of all time. Seferovic is having an absolute shocker. Terrible striker 😂😬. Seferovic ain't a serious striker man. The year is 2048 and Switzerland are still playing Seferovic up front because they STILL haven't got a good striker. #WALSUI EURO 2020.</v>
      </c>
      <c r="AH11" s="39" t="s">
        <v>16</v>
      </c>
      <c r="AI11" s="40">
        <f>IFERROR(__xludf.DUMMYFUNCTION("""COMPUTED_VALUE"""),44359.58935185186)</f>
        <v>44359.58935</v>
      </c>
      <c r="AJ11" s="5" t="str">
        <f>IFERROR(__xludf.DUMMYFUNCTION("""COMPUTED_VALUE"""),"What a save embolo is causing problems. What a turn from embolo and save from ward. It’s a good save but Embolo has shot straight at him. I'm not being funny, but so far at EURO 2020 the saves are better than the goals. Danny Ward.. what a save that was f"&amp;"or #wal.")</f>
        <v>What a save embolo is causing problems. What a turn from embolo and save from ward. It’s a good save but Embolo has shot straight at him. I'm not being funny, but so far at EURO 2020 the saves are better than the goals. Danny Ward.. what a save that was for #wal.</v>
      </c>
      <c r="AK11" s="39" t="s">
        <v>18</v>
      </c>
      <c r="AL11" s="40"/>
      <c r="AM11" s="5"/>
      <c r="AN11" s="5"/>
      <c r="AO11" s="40"/>
      <c r="AP11" s="5"/>
      <c r="AQ11" s="5"/>
      <c r="AR11" s="40"/>
      <c r="AS11" s="5"/>
      <c r="AT11" s="5"/>
      <c r="AU11" s="40"/>
      <c r="AV11" s="5"/>
      <c r="AW11" s="5"/>
      <c r="AX11" s="40"/>
      <c r="AY11" s="5"/>
      <c r="AZ11" s="5"/>
      <c r="BA11" s="40"/>
      <c r="BB11" s="5"/>
      <c r="BC11" s="5"/>
      <c r="BD11" s="40"/>
      <c r="BE11" s="5"/>
      <c r="BF11" s="5"/>
      <c r="BG11" s="40"/>
      <c r="BH11" s="5"/>
      <c r="BI11" s="5"/>
      <c r="BJ11" s="40"/>
      <c r="BK11" s="5"/>
      <c r="BL11" s="5"/>
      <c r="BM11" s="40"/>
      <c r="BN11" s="5"/>
      <c r="BO11" s="5"/>
      <c r="BP11" s="40"/>
      <c r="BQ11" s="5"/>
      <c r="BR11" s="5"/>
      <c r="BS11" s="40"/>
      <c r="BT11" s="5"/>
      <c r="BU11" s="5"/>
      <c r="BV11" s="40"/>
      <c r="BW11" s="5"/>
      <c r="BX11" s="5"/>
      <c r="BY11" s="40"/>
      <c r="BZ11" s="5"/>
      <c r="CA11" s="5"/>
      <c r="CB11" s="40"/>
      <c r="CC11" s="5"/>
      <c r="CD11" s="5"/>
      <c r="CE11" s="40"/>
      <c r="CF11" s="5"/>
      <c r="CG11" s="5"/>
      <c r="CH11" s="40"/>
      <c r="CI11" s="5"/>
      <c r="CJ11" s="5"/>
      <c r="CK11" s="40"/>
      <c r="CL11" s="5"/>
      <c r="CM11" s="5"/>
      <c r="CN11" s="40"/>
      <c r="CO11" s="5"/>
      <c r="CP11" s="5"/>
      <c r="CQ11" s="40"/>
      <c r="CR11" s="5"/>
      <c r="CS11" s="5"/>
      <c r="CT11" s="5"/>
      <c r="CU11" s="5"/>
      <c r="CV11" s="5"/>
      <c r="CW11" s="5"/>
      <c r="CX11" s="5"/>
      <c r="CY11" s="5"/>
      <c r="CZ11" s="5"/>
      <c r="DA11" s="5"/>
      <c r="DB11" s="5"/>
      <c r="DC11" s="5"/>
      <c r="DD11" s="5"/>
      <c r="DE11" s="5"/>
      <c r="DF11" s="5"/>
    </row>
    <row r="12">
      <c r="A12" s="19" t="s">
        <v>16</v>
      </c>
      <c r="B12" s="19" t="s">
        <v>38</v>
      </c>
      <c r="C12" s="30">
        <f>IFERROR(__xludf.DUMMYFUNCTION("SUM(FILTER($E5:DF5, (COLUMN($E5:DF5)) / 3 = ROUND((COLUMN($E5:DF5)) / 3), NOT(ISERROR($E5:DF5))))"),17.0)</f>
        <v>17</v>
      </c>
      <c r="D12" s="26">
        <f t="shared" si="63"/>
        <v>0.1382113821</v>
      </c>
      <c r="E12" s="40">
        <f>IFERROR(__xludf.DUMMYFUNCTION("""COMPUTED_VALUE"""),44359.537777777776)</f>
        <v>44359.53778</v>
      </c>
      <c r="F12" s="5" t="str">
        <f>IFERROR(__xludf.DUMMYFUNCTION("""COMPUTED_VALUE"""),"Saturday with football!!!🤩🤩. EURO 2020. Not too bother who wins this. Just want Dan James to have a good game #WALSUI. Guaranteed win for switzerland if they play mbabu at CB. Gareth Bale - ridiculously good footballer, just ridiculous hair.")</f>
        <v>Saturday with football!!!🤩🤩. EURO 2020. Not too bother who wins this. Just want Dan James to have a good game #WALSUI. Guaranteed win for switzerland if they play mbabu at CB. Gareth Bale - ridiculously good footballer, just ridiculous hair.</v>
      </c>
      <c r="G12" s="5"/>
      <c r="H12" s="40">
        <f>IFERROR(__xludf.DUMMYFUNCTION("""COMPUTED_VALUE"""),44359.558969907404)</f>
        <v>44359.55897</v>
      </c>
      <c r="I12" s="5" t="str">
        <f>IFERROR(__xludf.DUMMYFUNCTION("""COMPUTED_VALUE"""),"Yannick makes his EURO 2020 debut today as Belgium take on Russia!. Ben Davies having a nightmare so far, nice to see him taking his Tottenham form into the euros. Switzerland and Wales both take the knee.. EURO 2020.")</f>
        <v>Yannick makes his EURO 2020 debut today as Belgium take on Russia!. Ben Davies having a nightmare so far, nice to see him taking his Tottenham form into the euros. Switzerland and Wales both take the knee.. EURO 2020.</v>
      </c>
      <c r="J12" s="39" t="s">
        <v>18</v>
      </c>
      <c r="K12" s="40">
        <f>IFERROR(__xludf.DUMMYFUNCTION("""COMPUTED_VALUE"""),44359.553819444445)</f>
        <v>44359.55382</v>
      </c>
      <c r="L12" s="5" t="str">
        <f>IFERROR(__xludf.DUMMYFUNCTION("""COMPUTED_VALUE"""),"Yann Sommer showing his class there. Saved a definite goal. Oof. What a save from Yann Sommer. Inches away from a first Wales goal. Moore should've scored for #WAL. Loving the set piece header attempts/goal saves.. Chiellini almost had one yesterday, now "&amp;"Moore.. EURO 2020.")</f>
        <v>Yann Sommer showing his class there. Saved a definite goal. Oof. What a save from Yann Sommer. Inches away from a first Wales goal. Moore should've scored for #WAL. Loving the set piece header attempts/goal saves.. Chiellini almost had one yesterday, now Moore.. EURO 2020.</v>
      </c>
      <c r="M12" s="39" t="s">
        <v>18</v>
      </c>
      <c r="N12" s="40">
        <f>IFERROR(__xludf.DUMMYFUNCTION("""COMPUTED_VALUE"""),44359.57291666667)</f>
        <v>44359.57292</v>
      </c>
      <c r="O12" s="5" t="str">
        <f>IFERROR(__xludf.DUMMYFUNCTION("""COMPUTED_VALUE"""),"#SUI should be leading atleast by a goal already. 42 minutes, 7 corners already? Ah! Please reserve some for Second half #WALSUI EURO 2020. ⏱️Turkey vs Italy in 60 Seconds⏱️. Euro 2020.")</f>
        <v>#SUI should be leading atleast by a goal already. 42 minutes, 7 corners already? Ah! Please reserve some for Second half #WALSUI EURO 2020. ⏱️Turkey vs Italy in 60 Seconds⏱️. Euro 2020.</v>
      </c>
      <c r="P12" s="39" t="s">
        <v>18</v>
      </c>
      <c r="Q12" s="40">
        <f>IFERROR(__xludf.DUMMYFUNCTION("""COMPUTED_VALUE"""),44359.558495370366)</f>
        <v>44359.5585</v>
      </c>
      <c r="R12" s="5" t="str">
        <f>IFERROR(__xludf.DUMMYFUNCTION("""COMPUTED_VALUE"""),"Does anyone else’s house have someone reacting every time Mbabu touches the ball, with “Ovavu”? Ben Davies giving the ball away....🙄 #wal. Has Bale had a touch? Our midfield looks fast asleep. They’re giving the ball away every time they touch the ball. "&amp;"We need to wake up!! #WAL.")</f>
        <v>Does anyone else’s house have someone reacting every time Mbabu touches the ball, with “Ovavu”? Ben Davies giving the ball away....🙄 #wal. Has Bale had a touch? Our midfield looks fast asleep. They’re giving the ball away every time they touch the ball. We need to wake up!! #WAL.</v>
      </c>
      <c r="S12" s="39" t="s">
        <v>15</v>
      </c>
      <c r="T12" s="40">
        <f>IFERROR(__xludf.DUMMYFUNCTION("""COMPUTED_VALUE"""),44359.575104166666)</f>
        <v>44359.5751</v>
      </c>
      <c r="U12" s="5" t="str">
        <f>IFERROR(__xludf.DUMMYFUNCTION("""COMPUTED_VALUE"""),"That has to be a penalty, just because he didn’t go down it’s not given #WALSUI. How is that not a Switzerland penalty? Clear foul on Embolo. If he had gone down it could have been clear penalty.. EURO 2020. No idea how that isn't a penalty on Embolo ther"&amp;"e.")</f>
        <v>That has to be a penalty, just because he didn’t go down it’s not given #WALSUI. How is that not a Switzerland penalty? Clear foul on Embolo. If he had gone down it could have been clear penalty.. EURO 2020. No idea how that isn't a penalty on Embolo there.</v>
      </c>
      <c r="V12" s="39" t="s">
        <v>18</v>
      </c>
      <c r="W12" s="40">
        <f>IFERROR(__xludf.DUMMYFUNCTION("""COMPUTED_VALUE"""),44359.58868055556)</f>
        <v>44359.58868</v>
      </c>
      <c r="X12" s="5" t="str">
        <f>IFERROR(__xludf.DUMMYFUNCTION("""COMPUTED_VALUE"""),"You giving a yellow for Kieffer Moore? Thats not a yellow card for Moore 🤣😭. Moore goes up with Schär and the ex-Wiganer rightly gets a yellow card. 0-0 (48) How is that a yellow for Kieffer?! #WAL EURO 2020. Yellow card for that? Game has gone #WALSUI.")</f>
        <v>You giving a yellow for Kieffer Moore? Thats not a yellow card for Moore 🤣😭. Moore goes up with Schär and the ex-Wiganer rightly gets a yellow card. 0-0 (48) How is that a yellow for Kieffer?! #WAL EURO 2020. Yellow card for that? Game has gone #WALSUI.</v>
      </c>
      <c r="Y12" s="39" t="s">
        <v>17</v>
      </c>
      <c r="Z12" s="40">
        <f>IFERROR(__xludf.DUMMYFUNCTION("""COMPUTED_VALUE"""),44359.58951388889)</f>
        <v>44359.58951</v>
      </c>
      <c r="AA12" s="5" t="str">
        <f>IFERROR(__xludf.DUMMYFUNCTION("""COMPUTED_VALUE"""),"That embolo looks lively. EMBOLO IS A R9 REGEN FFS. Score this thing FFS, Embolo😪. That was so easy ffs #WALSUI. Shaqiri is a really good buy ffs i wish i chose him. Embolo is a beast ffs. Ffs. Roberts letting Embolo bully him. Ffs I knew I shoulda added"&amp;" embolo in my team.")</f>
        <v>That embolo looks lively. EMBOLO IS A R9 REGEN FFS. Score this thing FFS, Embolo😪. That was so easy ffs #WALSUI. Shaqiri is a really good buy ffs i wish i chose him. Embolo is a beast ffs. Ffs. Roberts letting Embolo bully him. Ffs I knew I shoulda added embolo in my team.</v>
      </c>
      <c r="AB12" s="39" t="s">
        <v>15</v>
      </c>
      <c r="AC12" s="40">
        <f>IFERROR(__xludf.DUMMYFUNCTION("""COMPUTED_VALUE"""),44359.589895833335)</f>
        <v>44359.5899</v>
      </c>
      <c r="AD12" s="5" t="str">
        <f>IFERROR(__xludf.DUMMYFUNCTION("""COMPUTED_VALUE"""),"Deserved goal. Great work from Embolo to get the corner in the first place. 1-0 Embolo. Been coming all day long from a corner. Embolo destroyed the defence to win the corner. Embolo scores the corner to give Switzerland the lead! #SUI.")</f>
        <v>Deserved goal. Great work from Embolo to get the corner in the first place. 1-0 Embolo. Been coming all day long from a corner. Embolo destroyed the defence to win the corner. Embolo scores the corner to give Switzerland the lead! #SUI.</v>
      </c>
      <c r="AE12" s="39" t="s">
        <v>17</v>
      </c>
      <c r="AF12" s="40">
        <f>IFERROR(__xludf.DUMMYFUNCTION("""COMPUTED_VALUE"""),44359.58978009259)</f>
        <v>44359.58978</v>
      </c>
      <c r="AG12" s="5" t="str">
        <f>IFERROR(__xludf.DUMMYFUNCTION("""COMPUTED_VALUE"""),"What a shot embolo, he love class. Embolo is class. Jesus Christ Embolo is class. Embolo been absolutely class. Goal now to top it off. Embolo 1-0! Class in the build up to the corner too, holding two off to get a shot away. EMBOLO WHAT A STRIKERRRR. Embo"&amp;"lo is pure class.")</f>
        <v>What a shot embolo, he love class. Embolo is class. Jesus Christ Embolo is class. Embolo been absolutely class. Goal now to top it off. Embolo 1-0! Class in the build up to the corner too, holding two off to get a shot away. EMBOLO WHAT A STRIKERRRR. Embolo is pure class.</v>
      </c>
      <c r="AH12" s="39" t="s">
        <v>17</v>
      </c>
      <c r="AI12" s="40">
        <f>IFERROR(__xludf.DUMMYFUNCTION("""COMPUTED_VALUE"""),44359.59040509259)</f>
        <v>44359.59041</v>
      </c>
      <c r="AJ12" s="5" t="str">
        <f>IFERROR(__xludf.DUMMYFUNCTION("""COMPUTED_VALUE"""),"48’ #Sui 1-0 #Wal. Embolo heads a corner home, very questionable defending. Awful defending from Roberts more focused on wrestling Embolo than doing his job and Embolo just doesn’t miss from there. Embolo has been bullying the welsh defenders all game and"&amp;" deserves that goal.")</f>
        <v>48’ #Sui 1-0 #Wal. Embolo heads a corner home, very questionable defending. Awful defending from Roberts more focused on wrestling Embolo than doing his job and Embolo just doesn’t miss from there. Embolo has been bullying the welsh defenders all game and deserves that goal.</v>
      </c>
      <c r="AK12" s="39" t="s">
        <v>17</v>
      </c>
      <c r="AL12" s="40"/>
      <c r="AM12" s="5"/>
      <c r="AN12" s="5"/>
      <c r="AO12" s="40"/>
      <c r="AP12" s="5"/>
      <c r="AQ12" s="5"/>
      <c r="AR12" s="40"/>
      <c r="AS12" s="5"/>
      <c r="AT12" s="5"/>
      <c r="AU12" s="40"/>
      <c r="AV12" s="5"/>
      <c r="AW12" s="5"/>
      <c r="AX12" s="40"/>
      <c r="AY12" s="5"/>
      <c r="AZ12" s="5"/>
      <c r="BA12" s="40"/>
      <c r="BB12" s="5"/>
      <c r="BC12" s="5"/>
      <c r="BD12" s="40"/>
      <c r="BE12" s="5"/>
      <c r="BF12" s="5"/>
      <c r="BG12" s="40"/>
      <c r="BH12" s="5"/>
      <c r="BI12" s="5"/>
      <c r="BJ12" s="40"/>
      <c r="BK12" s="5"/>
      <c r="BL12" s="5"/>
      <c r="BM12" s="40"/>
      <c r="BN12" s="5"/>
      <c r="BO12" s="5"/>
      <c r="BP12" s="40"/>
      <c r="BQ12" s="5"/>
      <c r="BR12" s="5"/>
      <c r="BS12" s="40"/>
      <c r="BT12" s="5"/>
      <c r="BU12" s="5"/>
      <c r="BV12" s="40"/>
      <c r="BW12" s="5"/>
      <c r="BX12" s="5"/>
      <c r="BY12" s="40"/>
      <c r="BZ12" s="5"/>
      <c r="CA12" s="5"/>
      <c r="CB12" s="40"/>
      <c r="CC12" s="5"/>
      <c r="CD12" s="5"/>
      <c r="CE12" s="40"/>
      <c r="CF12" s="5"/>
      <c r="CG12" s="5"/>
      <c r="CH12" s="40"/>
      <c r="CI12" s="5"/>
      <c r="CJ12" s="5"/>
      <c r="CK12" s="40"/>
      <c r="CL12" s="5"/>
      <c r="CM12" s="5"/>
      <c r="CN12" s="40"/>
      <c r="CO12" s="5"/>
      <c r="CP12" s="5"/>
      <c r="CQ12" s="40"/>
      <c r="CR12" s="5"/>
      <c r="CS12" s="5"/>
      <c r="CT12" s="5"/>
      <c r="CU12" s="5"/>
      <c r="CV12" s="5"/>
      <c r="CW12" s="5"/>
      <c r="CX12" s="5"/>
      <c r="CY12" s="5"/>
      <c r="CZ12" s="5"/>
      <c r="DA12" s="5"/>
      <c r="DB12" s="5"/>
      <c r="DC12" s="5"/>
      <c r="DD12" s="5"/>
      <c r="DE12" s="5"/>
      <c r="DF12" s="5"/>
    </row>
    <row r="13">
      <c r="A13" s="19" t="s">
        <v>17</v>
      </c>
      <c r="B13" s="19" t="s">
        <v>39</v>
      </c>
      <c r="C13" s="30">
        <f>IFERROR(__xludf.DUMMYFUNCTION("SUM(FILTER($E6:DF6, (COLUMN($E6:DF6)) / 3 = ROUND((COLUMN($E6:DF6)) / 3), NOT(ISERROR($E6:DF6))))"),39.0)</f>
        <v>39</v>
      </c>
      <c r="D13" s="26">
        <f t="shared" si="63"/>
        <v>0.3170731707</v>
      </c>
      <c r="E13" s="40">
        <f>IFERROR(__xludf.DUMMYFUNCTION("""COMPUTED_VALUE"""),44359.54011574074)</f>
        <v>44359.54012</v>
      </c>
      <c r="F13" s="5" t="str">
        <f>IFERROR(__xludf.DUMMYFUNCTION("""COMPUTED_VALUE"""),"Is this the easternmost European Championships finals fixture that's ever been played? #WALSUI. If they don't meet in the quarters and semis, I predict France v Italy in the EURO 2020 finals. This will be a 2-1 Switzerland win with Dan James, Shaqiri and "&amp;"Xhaka scoring.")</f>
        <v>Is this the easternmost European Championships finals fixture that's ever been played? #WALSUI. If they don't meet in the quarters and semis, I predict France v Italy in the EURO 2020 finals. This will be a 2-1 Switzerland win with Dan James, Shaqiri and Xhaka scoring.</v>
      </c>
      <c r="G13" s="5"/>
      <c r="H13" s="40">
        <f>IFERROR(__xludf.DUMMYFUNCTION("""COMPUTED_VALUE"""),44359.56215277778)</f>
        <v>44359.56215</v>
      </c>
      <c r="I13" s="5" t="str">
        <f>IFERROR(__xludf.DUMMYFUNCTION("""COMPUTED_VALUE"""),"Joe Rodon the best player on the pitch so far. If you would take the traits of Tito, Hitler, Mussolini Biden, you’d end up with Vladimir Petkovic. Aaron Ramsey's workrate is outstanding. Any chance to sign him, we should take it. Go 5 back and take Morrel"&amp;"l of for Cabango.")</f>
        <v>Joe Rodon the best player on the pitch so far. If you would take the traits of Tito, Hitler, Mussolini Biden, you’d end up with Vladimir Petkovic. Aaron Ramsey's workrate is outstanding. Any chance to sign him, we should take it. Go 5 back and take Morrell of for Cabango.</v>
      </c>
      <c r="J13" s="39" t="s">
        <v>18</v>
      </c>
      <c r="K13" s="40">
        <f>IFERROR(__xludf.DUMMYFUNCTION("""COMPUTED_VALUE"""),44359.55743055556)</f>
        <v>44359.55743</v>
      </c>
      <c r="L13" s="5" t="str">
        <f>IFERROR(__xludf.DUMMYFUNCTION("""COMPUTED_VALUE"""),"Great save by Chris Coleman in the Swiss goal EURO 2020 Wales Switzerland. Lovely flick by Schar…almost a great goal. EURO 2020. Schar nearly scored a great goal there EURO 2020 #NUFC. That would of been the goal of the tournament on Day 2 of Euros #SUI.")</f>
        <v>Great save by Chris Coleman in the Swiss goal EURO 2020 Wales Switzerland. Lovely flick by Schar…almost a great goal. EURO 2020. Schar nearly scored a great goal there EURO 2020 #NUFC. That would of been the goal of the tournament on Day 2 of Euros #SUI.</v>
      </c>
      <c r="M13" s="39" t="s">
        <v>18</v>
      </c>
      <c r="N13" s="40">
        <f>IFERROR(__xludf.DUMMYFUNCTION("""COMPUTED_VALUE"""),44359.574120370366)</f>
        <v>44359.57412</v>
      </c>
      <c r="O13" s="5" t="str">
        <f>IFERROR(__xludf.DUMMYFUNCTION("""COMPUTED_VALUE"""),"⏱️Turkey vs Italy in 60 Seconds⏱️. Euro 2020.")</f>
        <v>⏱️Turkey vs Italy in 60 Seconds⏱️. Euro 2020.</v>
      </c>
      <c r="P13" s="39" t="s">
        <v>15</v>
      </c>
      <c r="Q13" s="40">
        <f>IFERROR(__xludf.DUMMYFUNCTION("""COMPUTED_VALUE"""),44359.56371527778)</f>
        <v>44359.56372</v>
      </c>
      <c r="R13" s="5" t="str">
        <f>IFERROR(__xludf.DUMMYFUNCTION("""COMPUTED_VALUE"""),"The state of Shaqiri just make the pass mf. Xhaka is balling rn. When Xhaka passes to Shaquiri. Xhaka is balling. 5 years ago on a day like this I was eagerly watching every pass made by Granit Xhaka, our new midfield metronome. Xhaka balling. Xhaka long "&amp;"pass is so valuable man.")</f>
        <v>The state of Shaqiri just make the pass mf. Xhaka is balling rn. When Xhaka passes to Shaquiri. Xhaka is balling. 5 years ago on a day like this I was eagerly watching every pass made by Granit Xhaka, our new midfield metronome. Xhaka balling. Xhaka long pass is so valuable man.</v>
      </c>
      <c r="S13" s="39" t="s">
        <v>15</v>
      </c>
      <c r="T13" s="40">
        <f>IFERROR(__xludf.DUMMYFUNCTION("""COMPUTED_VALUE"""),44359.57943287037)</f>
        <v>44359.57943</v>
      </c>
      <c r="U13" s="5" t="str">
        <f>IFERROR(__xludf.DUMMYFUNCTION("""COMPUTED_VALUE"""),"If Embolo goes down there, that's a clear pen #WALSUI EURO 2020. If embolo goes down thats a penalty. If Embolo goes down at the end there that’s a pen , and that’s why players always go down. Fair play to Embolo. He goes down there and it’s a stone cold "&amp;"penalty. #Sui #Wal.")</f>
        <v>If Embolo goes down there, that's a clear pen #WALSUI EURO 2020. If embolo goes down thats a penalty. If Embolo goes down at the end there that’s a pen , and that’s why players always go down. Fair play to Embolo. He goes down there and it’s a stone cold penalty. #Sui #Wal.</v>
      </c>
      <c r="V13" s="39" t="s">
        <v>14</v>
      </c>
      <c r="W13" s="40">
        <f>IFERROR(__xludf.DUMMYFUNCTION("""COMPUTED_VALUE"""),44359.59958333333)</f>
        <v>44359.59958</v>
      </c>
      <c r="X13" s="5" t="str">
        <f>IFERROR(__xludf.DUMMYFUNCTION("""COMPUTED_VALUE"""),"If that is a yellow for Mbabu, football is dead. If that’s a yellow card on Mbabu then what are we doing here? Mbabu yellow 🥵 also wasn't a bad tackle refs shit. What a tackle from mbabu, how on earth is that a yellow? Dan james bodied as per.")</f>
        <v>If that is a yellow for Mbabu, football is dead. If that’s a yellow card on Mbabu then what are we doing here? Mbabu yellow 🥵 also wasn't a bad tackle refs shit. What a tackle from mbabu, how on earth is that a yellow? Dan james bodied as per.</v>
      </c>
      <c r="Y13" s="39" t="s">
        <v>17</v>
      </c>
      <c r="Z13" s="40">
        <f>IFERROR(__xludf.DUMMYFUNCTION("""COMPUTED_VALUE"""),44359.59077546296)</f>
        <v>44359.59078</v>
      </c>
      <c r="AA13" s="5" t="str">
        <f>IFERROR(__xludf.DUMMYFUNCTION("""COMPUTED_VALUE"""),"GOOOOOOOOOOOOOOLLLLL DE #SUI. GGGOOOOOOLLLLLLL/BBBBUUUUUTTTTTTTT/TORRRRRRRRRRRRRRRRRRR. #SUI EURO 2020. Al fin gol de #Sui !!")</f>
        <v>GOOOOOOOOOOOOOOLLLLL DE #SUI. GGGOOOOOOLLLLLLL/BBBBUUUUUTTTTTTTT/TORRRRRRRRRRRRRRRRRRR. #SUI EURO 2020. Al fin gol de #Sui !!</v>
      </c>
      <c r="AB13" s="39" t="s">
        <v>17</v>
      </c>
      <c r="AC13" s="40">
        <f>IFERROR(__xludf.DUMMYFUNCTION("""COMPUTED_VALUE"""),44359.59284722222)</f>
        <v>44359.59285</v>
      </c>
      <c r="AD13" s="5" t="str">
        <f>IFERROR(__xludf.DUMMYFUNCTION("""COMPUTED_VALUE"""),"Embolo’s the only one on this team that can make his own shot. Cross or shot 🧐 #WALSUI. But fifa want me believe mbabu could score a long shot. Bale shot on target please. Wales are awful, Bale Is shot to bits.")</f>
        <v>Embolo’s the only one on this team that can make his own shot. Cross or shot 🧐 #WALSUI. But fifa want me believe mbabu could score a long shot. Bale shot on target please. Wales are awful, Bale Is shot to bits.</v>
      </c>
      <c r="AE13" s="39" t="s">
        <v>16</v>
      </c>
      <c r="AF13" s="40">
        <f>IFERROR(__xludf.DUMMYFUNCTION("""COMPUTED_VALUE"""),44359.60712962963)</f>
        <v>44359.60713</v>
      </c>
      <c r="AG13" s="5" t="str">
        <f>IFERROR(__xludf.DUMMYFUNCTION("""COMPUTED_VALUE"""),"Moore is a class striker, would love Watford to sign him. This Moore striker is a monster in the air. That is class Keiffer Moore. Class header from Moore. What a header Kieffer Moore, no keeper in the world stops that 👏 #WALSUI. Was always gonna be kief"&amp;"fer moore, class header.")</f>
        <v>Moore is a class striker, would love Watford to sign him. This Moore striker is a monster in the air. That is class Keiffer Moore. Class header from Moore. What a header Kieffer Moore, no keeper in the world stops that 👏 #WALSUI. Was always gonna be kieffer moore, class header.</v>
      </c>
      <c r="AH13" s="39" t="s">
        <v>18</v>
      </c>
      <c r="AI13" s="40">
        <f>IFERROR(__xludf.DUMMYFUNCTION("""COMPUTED_VALUE"""),44359.607361111106)</f>
        <v>44359.60736</v>
      </c>
      <c r="AJ13" s="5" t="str">
        <f>IFERROR(__xludf.DUMMYFUNCTION("""COMPUTED_VALUE"""),"1-1 for Wales big goal that. Free header, what kind of defending is that for #SUI. What a header Kieffer Moore, no keeper in the world stops that 👏 #WALSUI. Great header from Moore, poor defending again from a corner to make it 1-1. Switzerland will be k"&amp;"icking themselves now.")</f>
        <v>1-1 for Wales big goal that. Free header, what kind of defending is that for #SUI. What a header Kieffer Moore, no keeper in the world stops that 👏 #WALSUI. Great header from Moore, poor defending again from a corner to make it 1-1. Switzerland will be kicking themselves now.</v>
      </c>
      <c r="AK13" s="39" t="s">
        <v>17</v>
      </c>
      <c r="AL13" s="40"/>
      <c r="AM13" s="5"/>
      <c r="AN13" s="5"/>
      <c r="AO13" s="40"/>
      <c r="AP13" s="5"/>
      <c r="AQ13" s="5"/>
      <c r="AR13" s="40"/>
      <c r="AS13" s="5"/>
      <c r="AT13" s="5"/>
      <c r="AU13" s="40"/>
      <c r="AV13" s="5"/>
      <c r="AW13" s="5"/>
      <c r="AX13" s="40"/>
      <c r="AY13" s="5"/>
      <c r="AZ13" s="5"/>
      <c r="BA13" s="40"/>
      <c r="BB13" s="5"/>
      <c r="BC13" s="5"/>
      <c r="BD13" s="40"/>
      <c r="BE13" s="5"/>
      <c r="BF13" s="5"/>
      <c r="BG13" s="40"/>
      <c r="BH13" s="5"/>
      <c r="BI13" s="5"/>
      <c r="BJ13" s="40"/>
      <c r="BK13" s="5"/>
      <c r="BL13" s="5"/>
      <c r="BM13" s="40"/>
      <c r="BN13" s="5"/>
      <c r="BO13" s="5"/>
      <c r="BP13" s="40"/>
      <c r="BQ13" s="5"/>
      <c r="BR13" s="5"/>
      <c r="BS13" s="40"/>
      <c r="BT13" s="5"/>
      <c r="BU13" s="5"/>
      <c r="BV13" s="40"/>
      <c r="BW13" s="5"/>
      <c r="BX13" s="5"/>
      <c r="BY13" s="40"/>
      <c r="BZ13" s="5"/>
      <c r="CA13" s="5"/>
      <c r="CB13" s="40"/>
      <c r="CC13" s="5"/>
      <c r="CD13" s="5"/>
      <c r="CE13" s="40"/>
      <c r="CF13" s="5"/>
      <c r="CG13" s="5"/>
      <c r="CH13" s="40"/>
      <c r="CI13" s="5"/>
      <c r="CJ13" s="5"/>
      <c r="CK13" s="40"/>
      <c r="CL13" s="5"/>
      <c r="CM13" s="5"/>
      <c r="CN13" s="40"/>
      <c r="CO13" s="5"/>
      <c r="CP13" s="5"/>
      <c r="CQ13" s="40"/>
      <c r="CR13" s="5"/>
      <c r="CS13" s="5"/>
      <c r="CT13" s="5"/>
      <c r="CU13" s="5"/>
      <c r="CV13" s="5"/>
      <c r="CW13" s="5"/>
      <c r="CX13" s="5"/>
      <c r="CY13" s="5"/>
      <c r="CZ13" s="5"/>
      <c r="DA13" s="5"/>
      <c r="DB13" s="5"/>
      <c r="DC13" s="5"/>
      <c r="DD13" s="5"/>
      <c r="DE13" s="5"/>
      <c r="DF13" s="5"/>
    </row>
    <row r="14">
      <c r="A14" s="19" t="s">
        <v>18</v>
      </c>
      <c r="B14" s="19" t="s">
        <v>40</v>
      </c>
      <c r="C14" s="30">
        <f>IFERROR(__xludf.DUMMYFUNCTION("SUM(FILTER($E7:DF7, (COLUMN($E7:DF7)) / 3 = ROUND((COLUMN($E7:DF7)) / 3), NOT(ISERROR($E7:DF7))))"),50.0)</f>
        <v>50</v>
      </c>
      <c r="D14" s="26">
        <f t="shared" si="63"/>
        <v>0.406504065</v>
      </c>
      <c r="E14" s="40">
        <f>IFERROR(__xludf.DUMMYFUNCTION("""COMPUTED_VALUE"""),44359.541226851856)</f>
        <v>44359.54123</v>
      </c>
      <c r="F14" s="5" t="str">
        <f>IFERROR(__xludf.DUMMYFUNCTION("""COMPUTED_VALUE"""),"Final preparations ahead of #WALSUI ✅ EURO 2020.")</f>
        <v>Final preparations ahead of #WALSUI ✅ EURO 2020.</v>
      </c>
      <c r="G14" s="5"/>
      <c r="H14" s="40">
        <f>IFERROR(__xludf.DUMMYFUNCTION("""COMPUTED_VALUE"""),44359.56409722222)</f>
        <v>44359.5641</v>
      </c>
      <c r="I14" s="5" t="str">
        <f>IFERROR(__xludf.DUMMYFUNCTION("""COMPUTED_VALUE"""),"Daniel James is the best player on the pitch. says a lot about this game😭😭. Daniel James for Wales is not the player for united he's so much better. Daniel james on the left is a different player. Daniel James is a superb wee player.")</f>
        <v>Daniel James is the best player on the pitch. says a lot about this game😭😭. Daniel James for Wales is not the player for united he's so much better. Daniel james on the left is a different player. Daniel James is a superb wee player.</v>
      </c>
      <c r="J14" s="39" t="s">
        <v>18</v>
      </c>
      <c r="K14" s="40">
        <f>IFERROR(__xludf.DUMMYFUNCTION("""COMPUTED_VALUE"""),44359.56061342593)</f>
        <v>44359.56061</v>
      </c>
      <c r="L14" s="5" t="str">
        <f>IFERROR(__xludf.DUMMYFUNCTION("""COMPUTED_VALUE"""),"Xhaka score that. Xhaka gonna score a golazo in this game. Granit Xhaka is always shooting without scoring. Fraud. Xhaka is scoring a screamer today i can feel it. Xhaka’s going to score a banger at some point #SUI. Granit Xhaka is in mood for a long rang"&amp;"e goal. EURO 2020.")</f>
        <v>Xhaka score that. Xhaka gonna score a golazo in this game. Granit Xhaka is always shooting without scoring. Fraud. Xhaka is scoring a screamer today i can feel it. Xhaka’s going to score a banger at some point #SUI. Granit Xhaka is in mood for a long range goal. EURO 2020.</v>
      </c>
      <c r="M14" s="39" t="s">
        <v>16</v>
      </c>
      <c r="N14" s="40">
        <f>IFERROR(__xludf.DUMMYFUNCTION("""COMPUTED_VALUE"""),44359.579317129625)</f>
        <v>44359.57932</v>
      </c>
      <c r="O14" s="5" t="str">
        <f>IFERROR(__xludf.DUMMYFUNCTION("""COMPUTED_VALUE"""),"Zuber and Gavranovic needed for Switzerland. Seferovic needs to decide if he wants to score or not. EURO 2020. Ramsey missing... needs to dye his hair blonde again. Not good enough.. need to get Ramsey on the ball. Come on Wales 🏴󠁧󠁢󠁷󠁬󠁳󠁿 we need a B"&amp;"IG second half 🙏🏼 #WAL.")</f>
        <v>Zuber and Gavranovic needed for Switzerland. Seferovic needs to decide if he wants to score or not. EURO 2020. Ramsey missing... needs to dye his hair blonde again. Not good enough.. need to get Ramsey on the ball. Come on Wales 🏴󠁧󠁢󠁷󠁬󠁳󠁿 we need a BIG second half 🙏🏼 #WAL.</v>
      </c>
      <c r="P14" s="39" t="s">
        <v>16</v>
      </c>
      <c r="Q14" s="40">
        <f>IFERROR(__xludf.DUMMYFUNCTION("""COMPUTED_VALUE"""),44359.56517361111)</f>
        <v>44359.56517</v>
      </c>
      <c r="R14" s="5" t="str">
        <f>IFERROR(__xludf.DUMMYFUNCTION("""COMPUTED_VALUE"""),"No players trying to attack that cross from Bale? DCL would’ve been all over that cross by Bale. Mepham has to get a head on that Bale cross #WALSUI. Bale crosses the ball sooo deliciously 🤤. They just watch that Bale nice cross like it was a shooting st"&amp;"ar.")</f>
        <v>No players trying to attack that cross from Bale? DCL would’ve been all over that cross by Bale. Mepham has to get a head on that Bale cross #WALSUI. Bale crosses the ball sooo deliciously 🤤. They just watch that Bale nice cross like it was a shooting star.</v>
      </c>
      <c r="S14" s="39" t="s">
        <v>18</v>
      </c>
      <c r="T14" s="40">
        <f>IFERROR(__xludf.DUMMYFUNCTION("""COMPUTED_VALUE"""),44359.58908564815)</f>
        <v>44359.58909</v>
      </c>
      <c r="U14" s="5" t="str">
        <f>IFERROR(__xludf.DUMMYFUNCTION("""COMPUTED_VALUE"""),"Moore booked for jumping. Kieffer Moore booked for being tall. So Moore's was a yellow by going in high on James wasn't? Good one ref. Never a yellow card there for Moore. Refs having a laugh #WALSUI EURO 2020. That's barely even a foul, let alone a yello"&amp;"w. #WALSUI EURO 2020.")</f>
        <v>Moore booked for jumping. Kieffer Moore booked for being tall. So Moore's was a yellow by going in high on James wasn't? Good one ref. Never a yellow card there for Moore. Refs having a laugh #WALSUI EURO 2020. That's barely even a foul, let alone a yellow. #WALSUI EURO 2020.</v>
      </c>
      <c r="V14" s="39" t="s">
        <v>17</v>
      </c>
      <c r="Y14" s="5"/>
      <c r="Z14" s="40">
        <f>IFERROR(__xludf.DUMMYFUNCTION("""COMPUTED_VALUE"""),44359.60678240741)</f>
        <v>44359.60678</v>
      </c>
      <c r="AA14" s="5" t="str">
        <f>IFERROR(__xludf.DUMMYFUNCTION("""COMPUTED_VALUE"""),"Golllll Moore. GOOOOOOOOL DE #WAL. GOOOOOOOOOOOOOOOL MAN LIKE MOORE THIS IS FUTBOLLLLLL. Gol Moore. Goooooooooooool de #Wal. EURO 2020. GOLLLLLLL DE MOORE, GOLLL DE #WAL. Goooooooolllllll 🔥🔥🔥🔥🔥 Mooore #Wal EURO 2020. Gol de Wales 1-1 EURO 2020. GOLLL"&amp;" MOORE!!! WALES 1-1 SWISS.")</f>
        <v>Golllll Moore. GOOOOOOOOL DE #WAL. GOOOOOOOOOOOOOOOL MAN LIKE MOORE THIS IS FUTBOLLLLLL. Gol Moore. Goooooooooooool de #Wal. EURO 2020. GOLLLLLLL DE MOORE, GOLLL DE #WAL. Goooooooolllllll 🔥🔥🔥🔥🔥 Mooore #Wal EURO 2020. Gol de Wales 1-1 EURO 2020. GOLLL MOORE!!! WALES 1-1 SWISS.</v>
      </c>
      <c r="AB14" s="39" t="s">
        <v>17</v>
      </c>
      <c r="AC14" s="40">
        <f>IFERROR(__xludf.DUMMYFUNCTION("""COMPUTED_VALUE"""),44359.60092592593)</f>
        <v>44359.60093</v>
      </c>
      <c r="AD14" s="5" t="str">
        <f>IFERROR(__xludf.DUMMYFUNCTION("""COMPUTED_VALUE"""),"Great ball from Ramsey, that needs to be in the back of the net. That’s 2 brilliant free kicks from Wales (Bale/Ramsey) and not one player gambling on getting the final touch on it. Ramsey licks the air in disappointment after that free kick #WALSUI EURO "&amp;"2020.")</f>
        <v>Great ball from Ramsey, that needs to be in the back of the net. That’s 2 brilliant free kicks from Wales (Bale/Ramsey) and not one player gambling on getting the final touch on it. Ramsey licks the air in disappointment after that free kick #WALSUI EURO 2020.</v>
      </c>
      <c r="AE14" s="39" t="s">
        <v>18</v>
      </c>
      <c r="AF14" s="40">
        <f>IFERROR(__xludf.DUMMYFUNCTION("""COMPUTED_VALUE"""),44359.61969907407)</f>
        <v>44359.6197</v>
      </c>
      <c r="AG14" s="5" t="str">
        <f>IFERROR(__xludf.DUMMYFUNCTION("""COMPUTED_VALUE"""),"We have 2 World Class Keepers in the euros wtaf 😭😭 DANNY DANNY WARD. Danny ward has been top class👏. Danny ward still world beater, love to see it. Danny Ward is the greatest goalkeeper in the world 🏴󠁧󠁢󠁷󠁬󠁳󠁿🏴󠁧󠁢󠁷󠁬󠁳󠁿🏴󠁧󠁢󠁷󠁬󠁳󠁿. Danny War"&amp;"d best GK in the world ? EURO 2020 #WAL.")</f>
        <v>We have 2 World Class Keepers in the euros wtaf 😭😭 DANNY DANNY WARD. Danny ward has been top class👏. Danny ward still world beater, love to see it. Danny Ward is the greatest goalkeeper in the world 🏴󠁧󠁢󠁷󠁬󠁳󠁿🏴󠁧󠁢󠁷󠁬󠁳󠁿🏴󠁧󠁢󠁷󠁬󠁳󠁿. Danny Ward best GK in the world ? EURO 2020 #WAL.</v>
      </c>
      <c r="AH14" s="39" t="s">
        <v>16</v>
      </c>
      <c r="AI14" s="40">
        <f>IFERROR(__xludf.DUMMYFUNCTION("""COMPUTED_VALUE"""),44359.618483796294)</f>
        <v>44359.61848</v>
      </c>
      <c r="AJ14" s="5" t="str">
        <f>IFERROR(__xludf.DUMMYFUNCTION("""COMPUTED_VALUE"""),"What a fucking save Embolo is looking for that. Brilliant save by Ward!. EURO 2020 #Wal. Hell of a save! Fantastic. EURO 2020. What a save Danny Ward!!! Another world class save to save the Welsh again...... Good save from Ward. Embolo has been fantastic "&amp;"today though.")</f>
        <v>What a fucking save Embolo is looking for that. Brilliant save by Ward!. EURO 2020 #Wal. Hell of a save! Fantastic. EURO 2020. What a save Danny Ward!!! Another world class save to save the Welsh again...... Good save from Ward. Embolo has been fantastic today though.</v>
      </c>
      <c r="AK14" s="39" t="s">
        <v>18</v>
      </c>
      <c r="AL14" s="40"/>
      <c r="AM14" s="5"/>
      <c r="AN14" s="5"/>
      <c r="AO14" s="40"/>
      <c r="AP14" s="5"/>
      <c r="AQ14" s="5"/>
      <c r="AR14" s="40"/>
      <c r="AS14" s="5"/>
      <c r="AT14" s="5"/>
      <c r="AU14" s="40"/>
      <c r="AV14" s="5"/>
      <c r="AW14" s="5"/>
      <c r="AX14" s="40"/>
      <c r="AY14" s="5"/>
      <c r="AZ14" s="5"/>
      <c r="BA14" s="40"/>
      <c r="BB14" s="5"/>
      <c r="BC14" s="5"/>
      <c r="BD14" s="40"/>
      <c r="BE14" s="5"/>
      <c r="BF14" s="5"/>
      <c r="BG14" s="40"/>
      <c r="BH14" s="5"/>
      <c r="BI14" s="5"/>
      <c r="BJ14" s="40"/>
      <c r="BK14" s="5"/>
      <c r="BL14" s="5"/>
      <c r="BM14" s="40"/>
      <c r="BN14" s="5"/>
      <c r="BO14" s="5"/>
      <c r="BP14" s="40"/>
      <c r="BQ14" s="5"/>
      <c r="BR14" s="5"/>
      <c r="BS14" s="40"/>
      <c r="BT14" s="5"/>
      <c r="BU14" s="5"/>
      <c r="BV14" s="40"/>
      <c r="BW14" s="5"/>
      <c r="BX14" s="5"/>
      <c r="BY14" s="40"/>
      <c r="BZ14" s="5"/>
      <c r="CA14" s="5"/>
      <c r="CB14" s="40"/>
      <c r="CC14" s="5"/>
      <c r="CD14" s="5"/>
      <c r="CE14" s="40"/>
      <c r="CF14" s="5"/>
      <c r="CG14" s="5"/>
      <c r="CH14" s="40"/>
      <c r="CI14" s="5"/>
      <c r="CJ14" s="5"/>
      <c r="CK14" s="40"/>
      <c r="CL14" s="5"/>
      <c r="CM14" s="5"/>
      <c r="CN14" s="40"/>
      <c r="CO14" s="5"/>
      <c r="CP14" s="5"/>
      <c r="CQ14" s="40"/>
      <c r="CR14" s="5"/>
      <c r="CS14" s="5"/>
      <c r="CT14" s="5"/>
      <c r="CU14" s="5"/>
      <c r="CV14" s="5"/>
      <c r="CW14" s="5"/>
      <c r="CX14" s="5"/>
      <c r="CY14" s="5"/>
      <c r="CZ14" s="5"/>
      <c r="DA14" s="5"/>
      <c r="DB14" s="5"/>
      <c r="DC14" s="5"/>
      <c r="DD14" s="5"/>
      <c r="DE14" s="5"/>
      <c r="DF14" s="5"/>
    </row>
    <row r="15">
      <c r="A15" s="19"/>
      <c r="B15" s="14" t="s">
        <v>41</v>
      </c>
      <c r="C15" s="31">
        <f t="shared" ref="C15:D15" si="64">SUM(C10:C14)</f>
        <v>123</v>
      </c>
      <c r="D15" s="26">
        <f t="shared" si="64"/>
        <v>1</v>
      </c>
      <c r="E15" s="40">
        <f>IFERROR(__xludf.DUMMYFUNCTION("""COMPUTED_VALUE"""),44359.54318287037)</f>
        <v>44359.54318</v>
      </c>
      <c r="F15" s="5" t="str">
        <f>IFERROR(__xludf.DUMMYFUNCTION("""COMPUTED_VALUE"""),"EURO 2020 what do you think who will win? 28 matches unbeaten. Eased to a 3-0 win on the opening day of EURO 2020. #ITA are all business.. ⚽️ Here we go! ℹ️ Group A, matchday. 🏴󠁧󠁢󠁷󠁬󠁳󠁿🆚🇨🇭 Who's winning this? EURO 2020. Wales winning this 2-1. Bal"&amp;"e scores 2 🤝.")</f>
        <v>EURO 2020 what do you think who will win? 28 matches unbeaten. Eased to a 3-0 win on the opening day of EURO 2020. #ITA are all business.. ⚽️ Here we go! ℹ️ Group A, matchday. 🏴󠁧󠁢󠁷󠁬󠁳󠁿🆚🇨🇭 Who's winning this? EURO 2020. Wales winning this 2-1. Bale scores 2 🤝.</v>
      </c>
      <c r="G15" s="39" t="s">
        <v>17</v>
      </c>
      <c r="H15" s="40">
        <f>IFERROR(__xludf.DUMMYFUNCTION("""COMPUTED_VALUE"""),44359.57542824074)</f>
        <v>44359.57543</v>
      </c>
      <c r="I15" s="5" t="str">
        <f>IFERROR(__xludf.DUMMYFUNCTION("""COMPUTED_VALUE"""),"Embolo looks like a whole different player since I watched him last seferovic stinks. So where was VAR there. Shows players have to go down to get a penalty. EURO 2020 #walesvsswitzerland. Respect to Embolo for not going down for a pen, most players would"&amp;".")</f>
        <v>Embolo looks like a whole different player since I watched him last seferovic stinks. So where was VAR there. Shows players have to go down to get a penalty. EURO 2020 #walesvsswitzerland. Respect to Embolo for not going down for a pen, most players would.</v>
      </c>
      <c r="J15" s="39" t="s">
        <v>18</v>
      </c>
      <c r="K15" s="40">
        <f>IFERROR(__xludf.DUMMYFUNCTION("""COMPUTED_VALUE"""),44359.56245370371)</f>
        <v>44359.56245</v>
      </c>
      <c r="L15" s="5" t="str">
        <f>IFERROR(__xludf.DUMMYFUNCTION("""COMPUTED_VALUE"""),"Seferovic will score if Wales don't get serious. Danny Ward, in goal for Wales, has played a total of 18 times since getting promoted with Huddersfield Town in 2017. ARE WE GONNA GET GOALS. THIS IS BORING #WALSUI.")</f>
        <v>Seferovic will score if Wales don't get serious. Danny Ward, in goal for Wales, has played a total of 18 times since getting promoted with Huddersfield Town in 2017. ARE WE GONNA GET GOALS. THIS IS BORING #WALSUI.</v>
      </c>
      <c r="M15" s="39" t="s">
        <v>18</v>
      </c>
      <c r="N15" s="40">
        <f>IFERROR(__xludf.DUMMYFUNCTION("""COMPUTED_VALUE"""),44359.58981481481)</f>
        <v>44359.58981</v>
      </c>
      <c r="O15" s="5" t="str">
        <f>IFERROR(__xludf.DUMMYFUNCTION("""COMPUTED_VALUE"""),"Embolo destroyed the defence to win the corner. Embolo scores the corner to give Switzerland the lead! #SUI. Switzerland lead against Wales! Embolo could’ve had a few, he gets their first! #SUI take the lead! Embolo header. It's been coming, 1-0 up on #WA"&amp;"L.")</f>
        <v>Embolo destroyed the defence to win the corner. Embolo scores the corner to give Switzerland the lead! #SUI. Switzerland lead against Wales! Embolo could’ve had a few, he gets their first! #SUI take the lead! Embolo header. It's been coming, 1-0 up on #WAL.</v>
      </c>
      <c r="P15" s="39" t="s">
        <v>17</v>
      </c>
      <c r="Q15" s="40">
        <f>IFERROR(__xludf.DUMMYFUNCTION("""COMPUTED_VALUE"""),44359.57542824074)</f>
        <v>44359.57543</v>
      </c>
      <c r="R15" s="5" t="str">
        <f>IFERROR(__xludf.DUMMYFUNCTION("""COMPUTED_VALUE"""),"Pass to bale and inshallah FC. Embolo could’ve easily taken some pace off that ball. Embolo shouldve tried to shoot there, no clue why he looked for the pass. That was an atrocious pass from embolo. The passing from midfield to attack hasn’t been good eno"&amp;"ugh #WAL. Xhaka's passing.")</f>
        <v>Pass to bale and inshallah FC. Embolo could’ve easily taken some pace off that ball. Embolo shouldve tried to shoot there, no clue why he looked for the pass. That was an atrocious pass from embolo. The passing from midfield to attack hasn’t been good enough #WAL. Xhaka's passing.</v>
      </c>
      <c r="S15" s="39" t="s">
        <v>18</v>
      </c>
      <c r="T15" s="40">
        <f>IFERROR(__xludf.DUMMYFUNCTION("""COMPUTED_VALUE"""),44359.59957175926)</f>
        <v>44359.59957</v>
      </c>
      <c r="U15" s="5" t="str">
        <f>IFERROR(__xludf.DUMMYFUNCTION("""COMPUTED_VALUE"""),"How's that even a foul never mind a booking?! Fantastic tackle by Mbabu. Can’t tackle in football anymore. Mbabu penalised and booked for a perfectly good tackle. Mbabu booked for tackling and winning the ball. Game's gone. Mbabu yellow 🥵 also wasn't a b"&amp;"ad tackle refs shit.")</f>
        <v>How's that even a foul never mind a booking?! Fantastic tackle by Mbabu. Can’t tackle in football anymore. Mbabu penalised and booked for a perfectly good tackle. Mbabu booked for tackling and winning the ball. Game's gone. Mbabu yellow 🥵 also wasn't a bad tackle refs shit.</v>
      </c>
      <c r="V15" s="39" t="s">
        <v>17</v>
      </c>
      <c r="Y15" s="5"/>
      <c r="Z15" s="40">
        <f>IFERROR(__xludf.DUMMYFUNCTION("""COMPUTED_VALUE"""),44359.60909722222)</f>
        <v>44359.6091</v>
      </c>
      <c r="AA15" s="5" t="str">
        <f>IFERROR(__xludf.DUMMYFUNCTION("""COMPUTED_VALUE"""),"Ffs sommer u had 1 job. WHAT A CROSS BY ZAKARIA. No help ffs. Embolo is honestly rubbish ffs. He takes off the only man with energy and pace Dan James ffs still needs to make subs #WALSUI. Get Zuber and Gavranovic on ffs or Gavranovc and vargas.")</f>
        <v>Ffs sommer u had 1 job. WHAT A CROSS BY ZAKARIA. No help ffs. Embolo is honestly rubbish ffs. He takes off the only man with energy and pace Dan James ffs still needs to make subs #WALSUI. Get Zuber and Gavranovic on ffs or Gavranovc and vargas.</v>
      </c>
      <c r="AB15" s="39" t="s">
        <v>16</v>
      </c>
      <c r="AC15" s="40">
        <f>IFERROR(__xludf.DUMMYFUNCTION("""COMPUTED_VALUE"""),44359.60702546296)</f>
        <v>44359.60703</v>
      </c>
      <c r="AD15" s="5" t="str">
        <f>IFERROR(__xludf.DUMMYFUNCTION("""COMPUTED_VALUE"""),"Wow what a nicely designed corner for #Wal 1-1. A well worked corner for Wales there. Great goal. ⚽. EURO 2020. What a brilliant corner routine that was! 👏 #WALSUI EURO 2020. Lovely execution from Wales on that corner! #WAL EURO 2020. 1-1 Wales, Moore fr"&amp;"om a corner, lovely header.")</f>
        <v>Wow what a nicely designed corner for #Wal 1-1. A well worked corner for Wales there. Great goal. ⚽. EURO 2020. What a brilliant corner routine that was! 👏 #WALSUI EURO 2020. Lovely execution from Wales on that corner! #WAL EURO 2020. 1-1 Wales, Moore from a corner, lovely header.</v>
      </c>
      <c r="AE15" s="39" t="s">
        <v>17</v>
      </c>
      <c r="AH15" s="5"/>
      <c r="AI15" s="40">
        <f>IFERROR(__xludf.DUMMYFUNCTION("""COMPUTED_VALUE"""),44359.624872685185)</f>
        <v>44359.62487</v>
      </c>
      <c r="AJ15" s="5" t="str">
        <f>IFERROR(__xludf.DUMMYFUNCTION("""COMPUTED_VALUE"""),"FT 🏴󠁧󠁢󠁷󠁬󠁳󠁿 1-1 🇨🇭- Wales lucky to get a draw in Baku, very much 2nd best, keeper Danny Ward their best player. Daniel James played the best for Wales. 🥲🥲. 💪🟦🟥 Best of luck to our players at EURO 2020!. 🎨 MTS Media. Danny Ward is the best go"&amp;"alkeeper in the contribution.")</f>
        <v>FT 🏴󠁧󠁢󠁷󠁬󠁳󠁿 1-1 🇨🇭- Wales lucky to get a draw in Baku, very much 2nd best, keeper Danny Ward their best player. Daniel James played the best for Wales. 🥲🥲. 💪🟦🟥 Best of luck to our players at EURO 2020!. 🎨 MTS Media. Danny Ward is the best goalkeeper in the contribution.</v>
      </c>
      <c r="AK15" s="39" t="s">
        <v>17</v>
      </c>
      <c r="AL15" s="40"/>
      <c r="AM15" s="5"/>
      <c r="AN15" s="5"/>
      <c r="AO15" s="40"/>
      <c r="AP15" s="5"/>
      <c r="AQ15" s="5"/>
      <c r="AR15" s="40"/>
      <c r="AS15" s="5"/>
      <c r="AT15" s="5"/>
      <c r="AU15" s="40"/>
      <c r="AV15" s="5"/>
      <c r="AW15" s="5"/>
      <c r="AX15" s="40"/>
      <c r="AY15" s="5"/>
      <c r="AZ15" s="5"/>
      <c r="BA15" s="40"/>
      <c r="BB15" s="5"/>
      <c r="BC15" s="5"/>
      <c r="BD15" s="40"/>
      <c r="BE15" s="5"/>
      <c r="BF15" s="5"/>
      <c r="BG15" s="40"/>
      <c r="BH15" s="5"/>
      <c r="BI15" s="5"/>
      <c r="BJ15" s="40"/>
      <c r="BK15" s="5"/>
      <c r="BL15" s="5"/>
      <c r="BM15" s="40"/>
      <c r="BN15" s="5"/>
      <c r="BO15" s="5"/>
      <c r="BP15" s="40"/>
      <c r="BQ15" s="5"/>
      <c r="BR15" s="5"/>
      <c r="BS15" s="40"/>
      <c r="BT15" s="5"/>
      <c r="BU15" s="5"/>
      <c r="BV15" s="40"/>
      <c r="BW15" s="5"/>
      <c r="BX15" s="5"/>
      <c r="BY15" s="40"/>
      <c r="BZ15" s="5"/>
      <c r="CA15" s="5"/>
      <c r="CB15" s="40"/>
      <c r="CC15" s="5"/>
      <c r="CD15" s="5"/>
      <c r="CE15" s="40"/>
      <c r="CF15" s="5"/>
      <c r="CG15" s="5"/>
      <c r="CH15" s="40"/>
      <c r="CI15" s="5"/>
      <c r="CJ15" s="5"/>
      <c r="CK15" s="40"/>
      <c r="CL15" s="5"/>
      <c r="CM15" s="5"/>
      <c r="CN15" s="40"/>
      <c r="CO15" s="5"/>
      <c r="CP15" s="5"/>
      <c r="CQ15" s="40"/>
      <c r="CR15" s="5"/>
      <c r="CS15" s="5"/>
      <c r="CT15" s="5"/>
      <c r="CU15" s="5"/>
      <c r="CV15" s="5"/>
      <c r="CW15" s="5"/>
      <c r="CX15" s="5"/>
      <c r="CY15" s="5"/>
      <c r="CZ15" s="5"/>
      <c r="DA15" s="5"/>
      <c r="DB15" s="5"/>
      <c r="DC15" s="5"/>
      <c r="DD15" s="5"/>
      <c r="DE15" s="5"/>
      <c r="DF15" s="5"/>
    </row>
    <row r="16">
      <c r="A16" s="19"/>
      <c r="B16" s="32" t="s">
        <v>42</v>
      </c>
      <c r="D16" s="26">
        <f>IFERROR(__xludf.DUMMYFUNCTION("AVERAGE(FILTER($E8:DF8, (COLUMN($E8:DF8) - 1) / 3 = ROUND((COLUMN($E8:DF8) - 1) / 3), NOT(ISERROR($E8:DF8))))"),0.7520484346571302)</f>
        <v>0.7520484347</v>
      </c>
      <c r="E16" s="40">
        <f>IFERROR(__xludf.DUMMYFUNCTION("""COMPUTED_VALUE"""),44359.55756944444)</f>
        <v>44359.55757</v>
      </c>
      <c r="F16" s="5" t="str">
        <f>IFERROR(__xludf.DUMMYFUNCTION("""COMPUTED_VALUE"""),"It begins PUMA Football euro 2020 🐈‍⬛ 🏴󠁧󠁢󠁥󠁮󠁧󠁿.")</f>
        <v>It begins PUMA Football euro 2020 🐈‍⬛ 🏴󠁧󠁢󠁥󠁮󠁧󠁿.</v>
      </c>
      <c r="G16" s="39" t="s">
        <v>15</v>
      </c>
      <c r="H16" s="40">
        <f>IFERROR(__xludf.DUMMYFUNCTION("""COMPUTED_VALUE"""),44359.58981481481)</f>
        <v>44359.58981</v>
      </c>
      <c r="I16" s="5" t="str">
        <f>IFERROR(__xludf.DUMMYFUNCTION("""COMPUTED_VALUE"""),"I’d take embolo at Liverpool. Always loved Breel Embolo he'll definitely be a great player real soon if not at this tournament. Hope spurs scout him tho. #Sui. Embolo what a player. Embolo has been the best player in this game, deserves that goal. Wonder "&amp;"what the Wales Plan B is?")</f>
        <v>I’d take embolo at Liverpool. Always loved Breel Embolo he'll definitely be a great player real soon if not at this tournament. Hope spurs scout him tho. #Sui. Embolo what a player. Embolo has been the best player in this game, deserves that goal. Wonder what the Wales Plan B is?</v>
      </c>
      <c r="J16" s="39" t="s">
        <v>17</v>
      </c>
      <c r="K16" s="40">
        <f>IFERROR(__xludf.DUMMYFUNCTION("""COMPUTED_VALUE"""),44359.56458333333)</f>
        <v>44359.56458</v>
      </c>
      <c r="L16" s="5" t="str">
        <f>IFERROR(__xludf.DUMMYFUNCTION("""COMPUTED_VALUE"""),"BALE SCORE THIS PLEASE. Bale scoring this. Beg bale doesn’t score i switched him with insigne i hope that was a w. Bale to score?. Can bale pls score pls pls pls pls pls. A goal is coming from this setpiece and bale is scoring it. Bale surely isn’t thinki"&amp;"ng going for goal.")</f>
        <v>BALE SCORE THIS PLEASE. Bale scoring this. Beg bale doesn’t score i switched him with insigne i hope that was a w. Bale to score?. Can bale pls score pls pls pls pls pls. A goal is coming from this setpiece and bale is scoring it. Bale surely isn’t thinking going for goal.</v>
      </c>
      <c r="M16" s="39" t="s">
        <v>16</v>
      </c>
      <c r="N16" s="40">
        <f>IFERROR(__xludf.DUMMYFUNCTION("""COMPUTED_VALUE"""),44359.60041666667)</f>
        <v>44359.60042</v>
      </c>
      <c r="O16" s="5" t="str">
        <f>IFERROR(__xludf.DUMMYFUNCTION("""COMPUTED_VALUE"""),"Mbabu will be close to a 2nd. Much better game this 2nd half EURO 2020 #WALSUI. Kevin Mbabu is so underrated he needs a big move. EURO 2020 Kevin Mbabu of #SUI Switzerland gets the second yellow card of the game!! 2nd game and 2nd winner!!! Moore with a c"&amp;"ard at Lovely stuff ✅.")</f>
        <v>Mbabu will be close to a 2nd. Much better game this 2nd half EURO 2020 #WALSUI. Kevin Mbabu is so underrated he needs a big move. EURO 2020 Kevin Mbabu of #SUI Switzerland gets the second yellow card of the game!! 2nd game and 2nd winner!!! Moore with a card at Lovely stuff ✅.</v>
      </c>
      <c r="P16" s="39" t="s">
        <v>17</v>
      </c>
      <c r="Q16" s="40">
        <f>IFERROR(__xludf.DUMMYFUNCTION("""COMPUTED_VALUE"""),44359.576944444445)</f>
        <v>44359.57694</v>
      </c>
      <c r="R16" s="5" t="str">
        <f>IFERROR(__xludf.DUMMYFUNCTION("""COMPUTED_VALUE"""),"Mepham a wee touch lucky there with the tugging in the box. Oh that final touch..🙀. EURO 2020. #WALSUI. 46.' 0-0. Has Bale touched the ball ? Gareth Bale and Dan James combined for 25 touches during the first half. #WAL EURO 2020.")</f>
        <v>Mepham a wee touch lucky there with the tugging in the box. Oh that final touch..🙀. EURO 2020. #WALSUI. 46.' 0-0. Has Bale touched the ball ? Gareth Bale and Dan James combined for 25 touches during the first half. #WAL EURO 2020.</v>
      </c>
      <c r="S16" s="39" t="s">
        <v>18</v>
      </c>
      <c r="T16" s="40">
        <f>IFERROR(__xludf.DUMMYFUNCTION("""COMPUTED_VALUE"""),44359.61140046296)</f>
        <v>44359.6114</v>
      </c>
      <c r="U16" s="5" t="str">
        <f>IFERROR(__xludf.DUMMYFUNCTION("""COMPUTED_VALUE"""),"Who is mepham ? Shouting ref as he’s playing 😂😂 great big pansy. This ref is so bad #WALSUI. What‘s with the ref? 🤔 #WALSUI.")</f>
        <v>Who is mepham ? Shouting ref as he’s playing 😂😂 great big pansy. This ref is so bad #WALSUI. What‘s with the ref? 🤔 #WALSUI.</v>
      </c>
      <c r="V16" s="39" t="s">
        <v>15</v>
      </c>
      <c r="Y16" s="5"/>
      <c r="Z16" s="40">
        <f>IFERROR(__xludf.DUMMYFUNCTION("""COMPUTED_VALUE"""),44359.62060185186)</f>
        <v>44359.6206</v>
      </c>
      <c r="AA16" s="5" t="str">
        <f>IFERROR(__xludf.DUMMYFUNCTION("""COMPUTED_VALUE"""),"Asked why Gavranovic wasn’t on before the 80th minute when he scored a hattrick in his last game. Question answered, cunt lives offside 😂. Gavranovic just living offsides since he came into this game 🏕 EURO 2020. Gavranovic born offside ffs. Gavranovic "&amp;"lives offside.")</f>
        <v>Asked why Gavranovic wasn’t on before the 80th minute when he scored a hattrick in his last game. Question answered, cunt lives offside 😂. Gavranovic just living offsides since he came into this game 🏕 EURO 2020. Gavranovic born offside ffs. Gavranovic lives offside.</v>
      </c>
      <c r="AB16" s="39" t="s">
        <v>18</v>
      </c>
      <c r="AC16" s="40">
        <f>IFERROR(__xludf.DUMMYFUNCTION("""COMPUTED_VALUE"""),44359.60990740741)</f>
        <v>44359.60991</v>
      </c>
      <c r="AD16" s="5" t="str">
        <f>IFERROR(__xludf.DUMMYFUNCTION("""COMPUTED_VALUE"""),"📸 Kieffer Moore nets the equaliser in Baku ⚽️. EURO 2020.")</f>
        <v>📸 Kieffer Moore nets the equaliser in Baku ⚽️. EURO 2020.</v>
      </c>
      <c r="AE16" s="39" t="s">
        <v>14</v>
      </c>
      <c r="AH16" s="5"/>
      <c r="AK16" s="5"/>
      <c r="AL16" s="40"/>
      <c r="AM16" s="5"/>
      <c r="AN16" s="5"/>
      <c r="AO16" s="40"/>
      <c r="AP16" s="5"/>
      <c r="AQ16" s="5"/>
      <c r="AR16" s="40"/>
      <c r="AS16" s="5"/>
      <c r="AT16" s="5"/>
      <c r="AU16" s="40"/>
      <c r="AV16" s="5"/>
      <c r="AW16" s="5"/>
      <c r="AX16" s="40"/>
      <c r="AY16" s="5"/>
      <c r="AZ16" s="5"/>
      <c r="BA16" s="40"/>
      <c r="BB16" s="5"/>
      <c r="BC16" s="5"/>
      <c r="BD16" s="40"/>
      <c r="BE16" s="5"/>
      <c r="BF16" s="5"/>
      <c r="BG16" s="40"/>
      <c r="BH16" s="5"/>
      <c r="BI16" s="5"/>
      <c r="BJ16" s="40"/>
      <c r="BK16" s="5"/>
      <c r="BL16" s="5"/>
      <c r="BM16" s="40"/>
      <c r="BN16" s="5"/>
      <c r="BO16" s="5"/>
      <c r="BP16" s="40"/>
      <c r="BQ16" s="5"/>
      <c r="BR16" s="5"/>
      <c r="BS16" s="40"/>
      <c r="BT16" s="5"/>
      <c r="BU16" s="5"/>
      <c r="BV16" s="40"/>
      <c r="BW16" s="5"/>
      <c r="BX16" s="5"/>
      <c r="BY16" s="40"/>
      <c r="BZ16" s="5"/>
      <c r="CA16" s="5"/>
      <c r="CB16" s="40"/>
      <c r="CC16" s="5"/>
      <c r="CD16" s="5"/>
      <c r="CE16" s="40"/>
      <c r="CF16" s="5"/>
      <c r="CG16" s="5"/>
      <c r="CH16" s="40"/>
      <c r="CI16" s="5"/>
      <c r="CJ16" s="5"/>
      <c r="CK16" s="40"/>
      <c r="CL16" s="5"/>
      <c r="CM16" s="5"/>
      <c r="CN16" s="40"/>
      <c r="CO16" s="5"/>
      <c r="CP16" s="5"/>
      <c r="CQ16" s="40"/>
      <c r="CR16" s="5"/>
      <c r="CS16" s="5"/>
      <c r="CT16" s="5"/>
      <c r="CU16" s="5"/>
      <c r="CV16" s="5"/>
      <c r="CW16" s="5"/>
      <c r="CX16" s="5"/>
      <c r="CY16" s="5"/>
      <c r="CZ16" s="5"/>
      <c r="DA16" s="5"/>
      <c r="DB16" s="5"/>
      <c r="DC16" s="5"/>
      <c r="DD16" s="5"/>
      <c r="DE16" s="5"/>
      <c r="DF16" s="5"/>
    </row>
    <row r="17">
      <c r="B17" s="1" t="s">
        <v>43</v>
      </c>
      <c r="D17" s="6">
        <f>SUM(D13:D14)</f>
        <v>0.7235772358</v>
      </c>
      <c r="E17" s="40">
        <f>IFERROR(__xludf.DUMMYFUNCTION("""COMPUTED_VALUE"""),44359.564317129625)</f>
        <v>44359.56432</v>
      </c>
      <c r="F17" s="5" t="str">
        <f>IFERROR(__xludf.DUMMYFUNCTION("""COMPUTED_VALUE"""),"Who will win EURO 2020. Switzerland win 1-0, Embolo scores the winner. Not winning the ball in midfield. #wal. Great run from Daniel James there, gives his defenders a rest and wins a free kick in a great position for Wales.")</f>
        <v>Who will win EURO 2020. Switzerland win 1-0, Embolo scores the winner. Not winning the ball in midfield. #wal. Great run from Daniel James there, gives his defenders a rest and wins a free kick in a great position for Wales.</v>
      </c>
      <c r="G17" s="39" t="s">
        <v>18</v>
      </c>
      <c r="H17" s="40">
        <f>IFERROR(__xludf.DUMMYFUNCTION("""COMPUTED_VALUE"""),44359.595625)</f>
        <v>44359.59563</v>
      </c>
      <c r="I17" s="5" t="str">
        <f>IFERROR(__xludf.DUMMYFUNCTION("""COMPUTED_VALUE"""),"I’d take embolo at arsenal strong pacey looks a handful. Switzerland and Wales both take the knee.. EURO 2020. No way Daniel James' taking their corners 🤡🤡. Why is Daniel James taking set pieces? He’s ass. Apparently the Welsh think ‘Bale is all it take"&amp;"s …’ #WALSWI.")</f>
        <v>I’d take embolo at arsenal strong pacey looks a handful. Switzerland and Wales both take the knee.. EURO 2020. No way Daniel James' taking their corners 🤡🤡. Why is Daniel James taking set pieces? He’s ass. Apparently the Welsh think ‘Bale is all it takes …’ #WALSWI.</v>
      </c>
      <c r="J17" s="39" t="s">
        <v>18</v>
      </c>
      <c r="K17" s="40">
        <f>IFERROR(__xludf.DUMMYFUNCTION("""COMPUTED_VALUE"""),44359.575)</f>
        <v>44359.575</v>
      </c>
      <c r="L17" s="5" t="str">
        <f>IFERROR(__xludf.DUMMYFUNCTION("""COMPUTED_VALUE"""),"Seferovic mach mal das Tor! #WALSUI. WTF, make this goal! #SUI. Seferovic has been so poor in front of goal. Fantastic hold-up play by Embolo. How has Seferovic not scored. Pretty sure he’s hit every shot over the bar. Ffss seferovic mf score. Seferovic s"&amp;"hould have scored.")</f>
        <v>Seferovic mach mal das Tor! #WALSUI. WTF, make this goal! #SUI. Seferovic has been so poor in front of goal. Fantastic hold-up play by Embolo. How has Seferovic not scored. Pretty sure he’s hit every shot over the bar. Ffss seferovic mf score. Seferovic should have scored.</v>
      </c>
      <c r="M17" s="39" t="s">
        <v>18</v>
      </c>
      <c r="N17" s="40">
        <f>IFERROR(__xludf.DUMMYFUNCTION("""COMPUTED_VALUE"""),44359.601736111115)</f>
        <v>44359.60174</v>
      </c>
      <c r="O17" s="5" t="str">
        <f>IFERROR(__xludf.DUMMYFUNCTION("""COMPUTED_VALUE"""),"Embolo needed at the lane. How good has Embolo been 2nd half? #WALSUI. Someone needs to snap embolo. He's killing us. Embolo second half masterclass. FS SHAQIRI SUBBED. Embolo straight back to Wales goal looking for a second. #SUI. Breel Embolo gives Swit"&amp;"zerland the lead! 💥.")</f>
        <v>Embolo needed at the lane. How good has Embolo been 2nd half? #WALSUI. Someone needs to snap embolo. He's killing us. Embolo second half masterclass. FS SHAQIRI SUBBED. Embolo straight back to Wales goal looking for a second. #SUI. Breel Embolo gives Switzerland the lead! 💥.</v>
      </c>
      <c r="P17" s="39" t="s">
        <v>17</v>
      </c>
      <c r="Q17" s="40">
        <f>IFERROR(__xludf.DUMMYFUNCTION("""COMPUTED_VALUE"""),44359.579050925924)</f>
        <v>44359.57905</v>
      </c>
      <c r="R17" s="5" t="str">
        <f>IFERROR(__xludf.DUMMYFUNCTION("""COMPUTED_VALUE"""),"Wales badly outplayed there, lucky to be level and still in it. Surely too hot there to spend another half chasing the ball. #WALSUI. Fabian didn't believe in that last pass.#WALSUI. Need to get foothold in this game and Ramsey and Bale on the ball. Or it"&amp;" will end badly 🏴󠁧󠁢󠁷󠁬󠁳󠁿.")</f>
        <v>Wales badly outplayed there, lucky to be level and still in it. Surely too hot there to spend another half chasing the ball. #WALSUI. Fabian didn't believe in that last pass.#WALSUI. Need to get foothold in this game and Ramsey and Bale on the ball. Or it will end badly 🏴󠁧󠁢󠁷󠁬󠁳󠁿.</v>
      </c>
      <c r="S17" s="39" t="s">
        <v>18</v>
      </c>
      <c r="T17" s="40">
        <f>IFERROR(__xludf.DUMMYFUNCTION("""COMPUTED_VALUE"""),44359.61487268518)</f>
        <v>44359.61487</v>
      </c>
      <c r="U17" s="5" t="str">
        <f>IFERROR(__xludf.DUMMYFUNCTION("""COMPUTED_VALUE"""),"VAR and Xhaka ain't in the same WhatsApp group. VAR going to rule this one out... #WALSUI. Looks off, #SUI takes a lead, again. VAR checking. Tell me VAR are watching!!!??? EURO 2020 …. VAR will overturn this goal #WALSUI. First big VAR moment hope they g"&amp;"et it right EURO 2020.")</f>
        <v>VAR and Xhaka ain't in the same WhatsApp group. VAR going to rule this one out... #WALSUI. Looks off, #SUI takes a lead, again. VAR checking. Tell me VAR are watching!!!??? EURO 2020 …. VAR will overturn this goal #WALSUI. First big VAR moment hope they get it right EURO 2020.</v>
      </c>
      <c r="V17" s="39" t="s">
        <v>18</v>
      </c>
      <c r="Y17" s="5"/>
      <c r="Z17" s="40">
        <f>IFERROR(__xludf.DUMMYFUNCTION("""COMPUTED_VALUE"""),44359.621817129635)</f>
        <v>44359.62182</v>
      </c>
      <c r="AA17" s="5" t="str">
        <f>IFERROR(__xludf.DUMMYFUNCTION("""COMPUTED_VALUE"""),"90+2' Ramsey comes off and it's my star man for Wales Ethan Ampadu replacing him. 🏴󠁧󠁢󠁷󠁬󠁳󠁿 1 vs 1 🇨🇭 live UEFA EURO 2020. Oh baby it's you. Ethan Ampadu. That makes me love you. Now I'm living in ecstasy.")</f>
        <v>90+2' Ramsey comes off and it's my star man for Wales Ethan Ampadu replacing him. 🏴󠁧󠁢󠁷󠁬󠁳󠁿 1 vs 1 🇨🇭 live UEFA EURO 2020. Oh baby it's you. Ethan Ampadu. That makes me love you. Now I'm living in ecstasy.</v>
      </c>
      <c r="AB17" s="39" t="s">
        <v>17</v>
      </c>
      <c r="AC17" s="40">
        <f>IFERROR(__xludf.DUMMYFUNCTION("""COMPUTED_VALUE"""),44359.618425925924)</f>
        <v>44359.61843</v>
      </c>
      <c r="AD17" s="5" t="str">
        <f>IFERROR(__xludf.DUMMYFUNCTION("""COMPUTED_VALUE"""),"(90) - Another Embolo header from a corner is saved by Ward. #WALSUI. Embolo is bullying his mark on these corners. Embolo already scored a corner and now midget Joe Allen is covering him. There was no need for Brooks to give a corner away there. All thes"&amp;"e corners!!! EURO 2020.")</f>
        <v>(90) - Another Embolo header from a corner is saved by Ward. #WALSUI. Embolo is bullying his mark on these corners. Embolo already scored a corner and now midget Joe Allen is covering him. There was no need for Brooks to give a corner away there. All these corners!!! EURO 2020.</v>
      </c>
      <c r="AE17" s="39" t="s">
        <v>18</v>
      </c>
      <c r="AH17" s="5"/>
      <c r="AK17" s="5"/>
      <c r="AL17" s="40"/>
      <c r="AM17" s="5"/>
      <c r="AN17" s="5"/>
      <c r="AO17" s="40"/>
      <c r="AP17" s="5"/>
      <c r="AQ17" s="5"/>
      <c r="AR17" s="40"/>
      <c r="AS17" s="5"/>
      <c r="AT17" s="5"/>
      <c r="AU17" s="40"/>
      <c r="AV17" s="5"/>
      <c r="AW17" s="5"/>
      <c r="AX17" s="40"/>
      <c r="AY17" s="5"/>
      <c r="AZ17" s="5"/>
      <c r="BA17" s="40"/>
      <c r="BB17" s="5"/>
      <c r="BC17" s="5"/>
      <c r="BD17" s="40"/>
      <c r="BE17" s="5"/>
      <c r="BF17" s="5"/>
      <c r="BG17" s="40"/>
      <c r="BH17" s="5"/>
      <c r="BI17" s="5"/>
      <c r="BJ17" s="40"/>
      <c r="BK17" s="5"/>
      <c r="BL17" s="5"/>
      <c r="BM17" s="40"/>
      <c r="BN17" s="5"/>
      <c r="BO17" s="5"/>
      <c r="BP17" s="40"/>
      <c r="BQ17" s="5"/>
      <c r="BR17" s="5"/>
      <c r="BS17" s="40"/>
      <c r="BT17" s="5"/>
      <c r="BU17" s="5"/>
      <c r="BV17" s="40"/>
      <c r="BW17" s="5"/>
      <c r="BX17" s="5"/>
      <c r="BY17" s="40"/>
      <c r="BZ17" s="5"/>
      <c r="CA17" s="5"/>
      <c r="CB17" s="40"/>
      <c r="CC17" s="5"/>
      <c r="CD17" s="5"/>
      <c r="CE17" s="40"/>
      <c r="CF17" s="5"/>
      <c r="CG17" s="5"/>
      <c r="CH17" s="40"/>
      <c r="CI17" s="5"/>
      <c r="CJ17" s="5"/>
      <c r="CK17" s="40"/>
      <c r="CL17" s="5"/>
      <c r="CM17" s="5"/>
      <c r="CN17" s="40"/>
      <c r="CO17" s="5"/>
      <c r="CP17" s="5"/>
      <c r="CQ17" s="40"/>
      <c r="CR17" s="5"/>
      <c r="CS17" s="5"/>
      <c r="CT17" s="5"/>
      <c r="CU17" s="5"/>
      <c r="CV17" s="5"/>
      <c r="CW17" s="5"/>
      <c r="CX17" s="5"/>
      <c r="CY17" s="5"/>
      <c r="CZ17" s="5"/>
      <c r="DA17" s="5"/>
      <c r="DB17" s="5"/>
      <c r="DC17" s="5"/>
      <c r="DD17" s="5"/>
      <c r="DE17" s="5"/>
      <c r="DF17" s="5"/>
    </row>
    <row r="18">
      <c r="A18" s="14" t="s">
        <v>44</v>
      </c>
      <c r="B18" s="41" t="s">
        <v>340</v>
      </c>
      <c r="C18" s="33"/>
      <c r="D18" s="33"/>
      <c r="E18" s="40">
        <f>IFERROR(__xludf.DUMMYFUNCTION("""COMPUTED_VALUE"""),44359.57168981481)</f>
        <v>44359.57169</v>
      </c>
      <c r="F18" s="5" t="str">
        <f>IFERROR(__xludf.DUMMYFUNCTION("""COMPUTED_VALUE"""),"Final preparations ahead of #WALSUI ✅ EURO 2020. If Wales want to win this they should bring Bale on at halftime 😉. Switzerland have never been involved in an entertaining football match. EURO 2020 #WALSUI. Xhaka is a decent footballer you know. Seferovi"&amp;"c is a g league player.")</f>
        <v>Final preparations ahead of #WALSUI ✅ EURO 2020. If Wales want to win this they should bring Bale on at halftime 😉. Switzerland have never been involved in an entertaining football match. EURO 2020 #WALSUI. Xhaka is a decent footballer you know. Seferovic is a g league player.</v>
      </c>
      <c r="G18" s="39" t="s">
        <v>16</v>
      </c>
      <c r="H18" s="40">
        <f>IFERROR(__xludf.DUMMYFUNCTION("""COMPUTED_VALUE"""),44359.598773148144)</f>
        <v>44359.59877</v>
      </c>
      <c r="I18" s="5" t="str">
        <f>IFERROR(__xludf.DUMMYFUNCTION("""COMPUTED_VALUE"""),"No way Daniel James' taking their corners 🤡🤡. Why is Daniel James taking set pieces? He’s ass. Daniel James has been the best player for Wales today and you love to see it. Watching this game Emobolo looks like a class player liverpool should think of s"&amp;"igning🔥 #lfc #WALSUI.")</f>
        <v>No way Daniel James' taking their corners 🤡🤡. Why is Daniel James taking set pieces? He’s ass. Daniel James has been the best player for Wales today and you love to see it. Watching this game Emobolo looks like a class player liverpool should think of signing🔥 #lfc #WALSUI.</v>
      </c>
      <c r="J18" s="39" t="s">
        <v>14</v>
      </c>
      <c r="K18" s="40">
        <f>IFERROR(__xludf.DUMMYFUNCTION("""COMPUTED_VALUE"""),44359.576932870375)</f>
        <v>44359.57693</v>
      </c>
      <c r="L18" s="5" t="str">
        <f>IFERROR(__xludf.DUMMYFUNCTION("""COMPUTED_VALUE"""),"First half #WALSUI. I hope to see goal in 2nd half! Wales lucky to escape that half without conceding a penalty, that shirt pull 😳 #WAL #SUI. Switzerland on top, but Wales have come closest to scoring. Looking forward to the second half! EUROS 2020 #WALS"&amp;"UI.")</f>
        <v>First half #WALSUI. I hope to see goal in 2nd half! Wales lucky to escape that half without conceding a penalty, that shirt pull 😳 #WAL #SUI. Switzerland on top, but Wales have come closest to scoring. Looking forward to the second half! EUROS 2020 #WALSUI.</v>
      </c>
      <c r="M18" s="39" t="s">
        <v>17</v>
      </c>
      <c r="N18" s="40">
        <f>IFERROR(__xludf.DUMMYFUNCTION("""COMPUTED_VALUE"""),44359.60711805556)</f>
        <v>44359.60712</v>
      </c>
      <c r="O18" s="5" t="str">
        <f>IFERROR(__xludf.DUMMYFUNCTION("""COMPUTED_VALUE"""),"Wales needed to do Moore and up stood Moore 🤩🙌. That is a superb header from Moore. Wales deserve this. Much better second half. This is what happens when half of your fantasy league have Kieffer Moore. It helped that Moore got his ears untucked at half"&amp;"-time. C'mon Wales!")</f>
        <v>Wales needed to do Moore and up stood Moore 🤩🙌. That is a superb header from Moore. Wales deserve this. Much better second half. This is what happens when half of your fantasy league have Kieffer Moore. It helped that Moore got his ears untucked at half-time. C'mon Wales!</v>
      </c>
      <c r="P18" s="39" t="s">
        <v>18</v>
      </c>
      <c r="Q18" s="40">
        <f>IFERROR(__xludf.DUMMYFUNCTION("""COMPUTED_VALUE"""),44359.59043981481)</f>
        <v>44359.59044</v>
      </c>
      <c r="R18" s="5" t="str">
        <f>IFERROR(__xludf.DUMMYFUNCTION("""COMPUTED_VALUE"""),"Unreal touch and turn Embolo. And then the goal. Great stuff. Wales have been so poor , brilliant touch ,turn of pace and strike from embolo. Embolo been balling out. Breel Emboloooooo !! My Boy.... so strong with the ball EURO 2020. Embolo be strong pass"&amp;" Thanos.👿.")</f>
        <v>Unreal touch and turn Embolo. And then the goal. Great stuff. Wales have been so poor , brilliant touch ,turn of pace and strike from embolo. Embolo been balling out. Breel Emboloooooo !! My Boy.... so strong with the ball EURO 2020. Embolo be strong pass Thanos.👿.</v>
      </c>
      <c r="S18" s="39" t="s">
        <v>17</v>
      </c>
      <c r="T18" s="40">
        <f>IFERROR(__xludf.DUMMYFUNCTION("""COMPUTED_VALUE"""),44359.61866898148)</f>
        <v>44359.61867</v>
      </c>
      <c r="U18" s="5" t="str">
        <f>IFERROR(__xludf.DUMMYFUNCTION("""COMPUTED_VALUE"""),"#WALSUI savage said commit fouls hes encouraging cheering. Again typical BBC. Cringeworthy from Savage celebrating a var decision EURO 2020. Lol Robbie Savage advocating players using dark arts looooll (fouling) 🤣🤣😂 #WALSUI. ""Just commit fouls"" growl"&amp;"s Robbie Savage. #WAL #SUI.")</f>
        <v>#WALSUI savage said commit fouls hes encouraging cheering. Again typical BBC. Cringeworthy from Savage celebrating a var decision EURO 2020. Lol Robbie Savage advocating players using dark arts looooll (fouling) 🤣🤣😂 #WALSUI. "Just commit fouls" growls Robbie Savage. #WAL #SUI.</v>
      </c>
      <c r="V18" s="39" t="s">
        <v>18</v>
      </c>
      <c r="Y18" s="5"/>
      <c r="AB18" s="5"/>
      <c r="AE18" s="5"/>
      <c r="AH18" s="5"/>
      <c r="AK18" s="5"/>
      <c r="AL18" s="40"/>
      <c r="AM18" s="5"/>
      <c r="AN18" s="5"/>
      <c r="AO18" s="40"/>
      <c r="AP18" s="5"/>
      <c r="AQ18" s="5"/>
      <c r="AR18" s="40"/>
      <c r="AS18" s="5"/>
      <c r="AT18" s="5"/>
      <c r="AU18" s="40"/>
      <c r="AV18" s="5"/>
      <c r="AW18" s="5"/>
      <c r="AX18" s="40"/>
      <c r="AY18" s="5"/>
      <c r="AZ18" s="5"/>
      <c r="BA18" s="40"/>
      <c r="BB18" s="5"/>
      <c r="BC18" s="5"/>
      <c r="BD18" s="40"/>
      <c r="BE18" s="5"/>
      <c r="BF18" s="5"/>
      <c r="BG18" s="40"/>
      <c r="BH18" s="5"/>
      <c r="BI18" s="5"/>
      <c r="BJ18" s="40"/>
      <c r="BK18" s="5"/>
      <c r="BL18" s="5"/>
      <c r="BM18" s="40"/>
      <c r="BN18" s="5"/>
      <c r="BO18" s="5"/>
      <c r="BP18" s="40"/>
      <c r="BQ18" s="5"/>
      <c r="BR18" s="5"/>
      <c r="BS18" s="40"/>
      <c r="BT18" s="5"/>
      <c r="BU18" s="5"/>
      <c r="BV18" s="40"/>
      <c r="BW18" s="5"/>
      <c r="BX18" s="5"/>
      <c r="BY18" s="40"/>
      <c r="BZ18" s="5"/>
      <c r="CA18" s="5"/>
      <c r="CB18" s="40"/>
      <c r="CC18" s="5"/>
      <c r="CD18" s="5"/>
      <c r="CE18" s="40"/>
      <c r="CF18" s="5"/>
      <c r="CG18" s="5"/>
      <c r="CH18" s="40"/>
      <c r="CI18" s="5"/>
      <c r="CJ18" s="5"/>
      <c r="CK18" s="40"/>
      <c r="CL18" s="5"/>
      <c r="CM18" s="5"/>
      <c r="CN18" s="40"/>
      <c r="CO18" s="5"/>
      <c r="CP18" s="5"/>
      <c r="CQ18" s="40"/>
      <c r="CR18" s="5"/>
      <c r="CS18" s="5"/>
      <c r="CT18" s="5"/>
      <c r="CU18" s="5"/>
      <c r="CV18" s="5"/>
      <c r="CW18" s="5"/>
      <c r="CX18" s="5"/>
      <c r="CY18" s="5"/>
      <c r="CZ18" s="5"/>
      <c r="DA18" s="5"/>
      <c r="DB18" s="5"/>
      <c r="DC18" s="5"/>
      <c r="DD18" s="5"/>
      <c r="DE18" s="5"/>
      <c r="DF18" s="5"/>
    </row>
    <row r="19">
      <c r="A19" s="14" t="s">
        <v>46</v>
      </c>
      <c r="C19" s="14" t="s">
        <v>34</v>
      </c>
      <c r="D19" s="14" t="s">
        <v>35</v>
      </c>
      <c r="E19" s="40">
        <f>IFERROR(__xludf.DUMMYFUNCTION("""COMPUTED_VALUE"""),44359.57640046296)</f>
        <v>44359.5764</v>
      </c>
      <c r="F19" s="5" t="str">
        <f>IFERROR(__xludf.DUMMYFUNCTION("""COMPUTED_VALUE"""),"What time does the football start? #WALSUI. I just need either team to win noti ifyama draw. EURO 2020. Once again another dull game of football so far EURO 2020 Euros 2021. As halves of football go, that was of the less interesting variety EURO 2020.")</f>
        <v>What time does the football start? #WALSUI. I just need either team to win noti ifyama draw. EURO 2020. Once again another dull game of football so far EURO 2020 Euros 2021. As halves of football go, that was of the less interesting variety EURO 2020.</v>
      </c>
      <c r="G19" s="39" t="s">
        <v>18</v>
      </c>
      <c r="H19" s="40">
        <f>IFERROR(__xludf.DUMMYFUNCTION("""COMPUTED_VALUE"""),44359.60045138889)</f>
        <v>44359.60045</v>
      </c>
      <c r="I19" s="5" t="str">
        <f>IFERROR(__xludf.DUMMYFUNCTION("""COMPUTED_VALUE"""),"Kevin Mbabu the first non-England based player to be booked at EURO 2020 #WALSUI. I can't take Mbabu seriously knowing his first name is Kevin. Okay okay… 👀. The bet builder is shaping up, that wasn’t even a yellow but I’ll take it 😂. Mbabu Booked ✅.")</f>
        <v>Kevin Mbabu the first non-England based player to be booked at EURO 2020 #WALSUI. I can't take Mbabu seriously knowing his first name is Kevin. Okay okay… 👀. The bet builder is shaping up, that wasn’t even a yellow but I’ll take it 😂. Mbabu Booked ✅.</v>
      </c>
      <c r="J19" s="39" t="s">
        <v>17</v>
      </c>
      <c r="K19" s="40">
        <f>IFERROR(__xludf.DUMMYFUNCTION("""COMPUTED_VALUE"""),44359.58966435185)</f>
        <v>44359.58966</v>
      </c>
      <c r="L19" s="5" t="str">
        <f>IFERROR(__xludf.DUMMYFUNCTION("""COMPUTED_VALUE"""),"Fabulous turn from Embolo, now a goal for Embolo! That goal was coming. You can’t play that defensively and not go forward. #WALSUI. At last a goal EURO 2020 There goes my prediction. Deserved that. Especially after that turn and shot on goal! EURO 2020.")</f>
        <v>Fabulous turn from Embolo, now a goal for Embolo! That goal was coming. You can’t play that defensively and not go forward. #WALSUI. At last a goal EURO 2020 There goes my prediction. Deserved that. Especially after that turn and shot on goal! EURO 2020.</v>
      </c>
      <c r="M19" s="39" t="s">
        <v>17</v>
      </c>
      <c r="N19" s="40">
        <f>IFERROR(__xludf.DUMMYFUNCTION("""COMPUTED_VALUE"""),44359.61104166666)</f>
        <v>44359.61104</v>
      </c>
      <c r="O19" s="5" t="str">
        <f>IFERROR(__xludf.DUMMYFUNCTION("""COMPUTED_VALUE"""),"Gareth Bale I NEED you to score… NOW. Ben Davies needs to stop kicking the ball. Come on!!! We can get this second! Like Slovakia over again. All we need is Bale on a FK at the edge of the box👀😐. When you need him, Kieffer Moore is there. 🏴󠁧󠁢󠁷󠁬󠁳󠁿"&amp;". EURO 2020 | #WALSUI.")</f>
        <v>Gareth Bale I NEED you to score… NOW. Ben Davies needs to stop kicking the ball. Come on!!! We can get this second! Like Slovakia over again. All we need is Bale on a FK at the edge of the box👀😐. When you need him, Kieffer Moore is there. 🏴󠁧󠁢󠁷󠁬󠁳󠁿. EURO 2020 | #WALSUI.</v>
      </c>
      <c r="P19" s="39" t="s">
        <v>16</v>
      </c>
      <c r="Q19" s="40">
        <f>IFERROR(__xludf.DUMMYFUNCTION("""COMPUTED_VALUE"""),44359.593877314815)</f>
        <v>44359.59388</v>
      </c>
      <c r="R19" s="5" t="str">
        <f>IFERROR(__xludf.DUMMYFUNCTION("""COMPUTED_VALUE"""),"Akanji’s passing has been excellent today. He’s broken the lines on quite a few occasions. I'd take off Moore. Wales need to be passing through, Ramsay,Bale,etc. 3 key passes and an assist from Shaqiri when he has the freedom around the centre but Klopp t"&amp;"hinks he’s a winger 🤡.")</f>
        <v>Akanji’s passing has been excellent today. He’s broken the lines on quite a few occasions. I'd take off Moore. Wales need to be passing through, Ramsay,Bale,etc. 3 key passes and an assist from Shaqiri when he has the freedom around the centre but Klopp thinks he’s a winger 🤡.</v>
      </c>
      <c r="S19" s="39" t="s">
        <v>18</v>
      </c>
      <c r="T19" s="40">
        <f>IFERROR(__xludf.DUMMYFUNCTION("""COMPUTED_VALUE"""),44359.62258101851)</f>
        <v>44359.62258</v>
      </c>
      <c r="U19" s="5" t="str">
        <f>IFERROR(__xludf.DUMMYFUNCTION("""COMPUTED_VALUE"""),"Bale really washed. It's okay man, you've given the game all you needed to. #WAL 1-1 #SUI. Have to take that given how we played. Embolo’s the type of player that KSI would have given a career in 2012.")</f>
        <v>Bale really washed. It's okay man, you've given the game all you needed to. #WAL 1-1 #SUI. Have to take that given how we played. Embolo’s the type of player that KSI would have given a career in 2012.</v>
      </c>
      <c r="V19" s="39" t="s">
        <v>17</v>
      </c>
      <c r="Y19" s="5"/>
      <c r="AB19" s="5"/>
      <c r="AE19" s="5"/>
      <c r="AH19" s="5"/>
      <c r="AK19" s="5"/>
      <c r="AL19" s="40"/>
      <c r="AM19" s="5"/>
      <c r="AN19" s="5"/>
      <c r="AO19" s="40"/>
      <c r="AP19" s="5"/>
      <c r="AQ19" s="5"/>
      <c r="AR19" s="40"/>
      <c r="AS19" s="5"/>
      <c r="AT19" s="5"/>
      <c r="AU19" s="40"/>
      <c r="AV19" s="5"/>
      <c r="AW19" s="5"/>
      <c r="AX19" s="40"/>
      <c r="AY19" s="5"/>
      <c r="AZ19" s="5"/>
      <c r="BA19" s="40"/>
      <c r="BB19" s="5"/>
      <c r="BC19" s="5"/>
      <c r="BD19" s="40"/>
      <c r="BE19" s="5"/>
      <c r="BF19" s="5"/>
      <c r="BG19" s="40"/>
      <c r="BH19" s="5"/>
      <c r="BI19" s="5"/>
      <c r="BJ19" s="40"/>
      <c r="BK19" s="5"/>
      <c r="BL19" s="5"/>
      <c r="BM19" s="40"/>
      <c r="BN19" s="5"/>
      <c r="BO19" s="5"/>
      <c r="BP19" s="40"/>
      <c r="BQ19" s="5"/>
      <c r="BR19" s="5"/>
      <c r="BS19" s="40"/>
      <c r="BT19" s="5"/>
      <c r="BU19" s="5"/>
      <c r="BV19" s="40"/>
      <c r="BW19" s="5"/>
      <c r="BX19" s="5"/>
      <c r="BY19" s="40"/>
      <c r="BZ19" s="5"/>
      <c r="CA19" s="5"/>
      <c r="CB19" s="40"/>
      <c r="CC19" s="5"/>
      <c r="CD19" s="5"/>
      <c r="CE19" s="40"/>
      <c r="CF19" s="5"/>
      <c r="CG19" s="5"/>
      <c r="CH19" s="40"/>
      <c r="CI19" s="5"/>
      <c r="CJ19" s="5"/>
      <c r="CK19" s="40"/>
      <c r="CL19" s="5"/>
      <c r="CM19" s="5"/>
      <c r="CN19" s="40"/>
      <c r="CO19" s="5"/>
      <c r="CP19" s="5"/>
      <c r="CQ19" s="40"/>
      <c r="CR19" s="5"/>
      <c r="CS19" s="5"/>
      <c r="CT19" s="5"/>
      <c r="CU19" s="5"/>
      <c r="CV19" s="5"/>
      <c r="CW19" s="5"/>
      <c r="CX19" s="5"/>
      <c r="CY19" s="5"/>
      <c r="CZ19" s="5"/>
      <c r="DA19" s="5"/>
      <c r="DB19" s="5"/>
      <c r="DC19" s="5"/>
      <c r="DD19" s="5"/>
      <c r="DE19" s="5"/>
      <c r="DF19" s="5"/>
    </row>
    <row r="20">
      <c r="A20" s="19" t="s">
        <v>47</v>
      </c>
      <c r="B20" s="19" t="s">
        <v>48</v>
      </c>
      <c r="C20" s="21">
        <f t="shared" ref="C20:C23" si="65">COUNTIF($A$26:$A1007, A20)</f>
        <v>3</v>
      </c>
      <c r="D20" s="26">
        <f>IFERROR(__xludf.DUMMYFUNCTION("IF(C20, COUNTIF(FILTER($D$26:$D1007, $A$26:$A1007=A20), TRUE)/C20, 0)"),1.0)</f>
        <v>1</v>
      </c>
      <c r="E20" s="40">
        <f>IFERROR(__xludf.DUMMYFUNCTION("""COMPUTED_VALUE"""),44359.589837962965)</f>
        <v>44359.58984</v>
      </c>
      <c r="F20" s="5" t="str">
        <f>IFERROR(__xludf.DUMMYFUNCTION("""COMPUTED_VALUE"""),"Embolo finally doing his FIFA 16 career mode hype justice. Embolo might finally get his breakthrough. Embolo get in. Finally a goal. Finally!!!. EURO 2020. Embolo unstoppable!!! 1-0 finally. Embolo what a fucking footballer. Embolo! #SUI finally break thr"&amp;"ough! EURO 2020.")</f>
        <v>Embolo finally doing his FIFA 16 career mode hype justice. Embolo might finally get his breakthrough. Embolo get in. Finally a goal. Finally!!!. EURO 2020. Embolo unstoppable!!! 1-0 finally. Embolo what a fucking footballer. Embolo! #SUI finally break through! EURO 2020.</v>
      </c>
      <c r="G20" s="39" t="s">
        <v>17</v>
      </c>
      <c r="H20" s="40">
        <f>IFERROR(__xludf.DUMMYFUNCTION("""COMPUTED_VALUE"""),44359.601643518516)</f>
        <v>44359.60164</v>
      </c>
      <c r="I20" s="5" t="str">
        <f>IFERROR(__xludf.DUMMYFUNCTION("""COMPUTED_VALUE"""),"Embolo is some player 🔥. Zakaria is the player united should go for. Zakaria is not a good player and Zakaria got Shaqiri is not a good change. The Swiss NT is Borussia FC. Akanji, Sommer, Elvedi, Zakaria, Embolo on the pitch right now. 5/11 players. #SU"&amp;"I.")</f>
        <v>Embolo is some player 🔥. Zakaria is the player united should go for. Zakaria is not a good player and Zakaria got Shaqiri is not a good change. The Swiss NT is Borussia FC. Akanji, Sommer, Elvedi, Zakaria, Embolo on the pitch right now. 5/11 players. #SUI.</v>
      </c>
      <c r="J20" s="39" t="s">
        <v>17</v>
      </c>
      <c r="K20" s="40">
        <f>IFERROR(__xludf.DUMMYFUNCTION("""COMPUTED_VALUE"""),44359.60052083334)</f>
        <v>44359.60052</v>
      </c>
      <c r="L20" s="5" t="str">
        <f>IFERROR(__xludf.DUMMYFUNCTION("""COMPUTED_VALUE"""),"Ramsey robbed of an assist. Ramsey being robbed of assists I wanna cry. Ramsey should've score there. Imagine wales players knew how to head a wonderful ball in. Bale and Ramsey put 2 unbelievable crossed in and no fucker trying to score.")</f>
        <v>Ramsey robbed of an assist. Ramsey being robbed of assists I wanna cry. Ramsey should've score there. Imagine wales players knew how to head a wonderful ball in. Bale and Ramsey put 2 unbelievable crossed in and no fucker trying to score.</v>
      </c>
      <c r="M20" s="39" t="s">
        <v>18</v>
      </c>
      <c r="N20" s="40">
        <f>IFERROR(__xludf.DUMMYFUNCTION("""COMPUTED_VALUE"""),44359.61377314814)</f>
        <v>44359.61377</v>
      </c>
      <c r="O20" s="5" t="str">
        <f>IFERROR(__xludf.DUMMYFUNCTION("""COMPUTED_VALUE"""),"Where was this Wales side in the first half?! #WALSUI. Bale’s not even half the player from 2016. Embolo looks half about tbf. 2nd half very enjoyable than the 1st….. #WALSUI EURO 2020. The first half of this match vs The second half of this match 🤣🤣 #W"&amp;"ALSWI EURO 2020.")</f>
        <v>Where was this Wales side in the first half?! #WALSUI. Bale’s not even half the player from 2016. Embolo looks half about tbf. 2nd half very enjoyable than the 1st….. #WALSUI EURO 2020. The first half of this match vs The second half of this match 🤣🤣 #WALSWI EURO 2020.</v>
      </c>
      <c r="P20" s="39" t="s">
        <v>18</v>
      </c>
      <c r="Q20" s="40">
        <f>IFERROR(__xludf.DUMMYFUNCTION("""COMPUTED_VALUE"""),44359.59649305556)</f>
        <v>44359.59649</v>
      </c>
      <c r="R20" s="5" t="str">
        <f>IFERROR(__xludf.DUMMYFUNCTION("""COMPUTED_VALUE"""),"What a ball from bale to james. Cross from James, Connor Roberts manages to get on the end of it but Schär gets in the way of the shot. 0-1 (59) Loool bale only wants to pass to James. He knows. Bale’s cross field passes are quality EURO 2020. Embolo be s"&amp;"trong pass Thanos.👿.")</f>
        <v>What a ball from bale to james. Cross from James, Connor Roberts manages to get on the end of it but Schär gets in the way of the shot. 0-1 (59) Loool bale only wants to pass to James. He knows. Bale’s cross field passes are quality EURO 2020. Embolo be strong pass Thanos.👿.</v>
      </c>
      <c r="S20" s="39" t="s">
        <v>18</v>
      </c>
      <c r="V20" s="5"/>
      <c r="Y20" s="5"/>
      <c r="AB20" s="5"/>
      <c r="AE20" s="5"/>
      <c r="AH20" s="5"/>
      <c r="AK20" s="5"/>
      <c r="AL20" s="40"/>
      <c r="AM20" s="5"/>
      <c r="AN20" s="5"/>
      <c r="AO20" s="40"/>
      <c r="AP20" s="5"/>
      <c r="AQ20" s="5"/>
      <c r="AR20" s="40"/>
      <c r="AS20" s="5"/>
      <c r="AT20" s="5"/>
      <c r="AU20" s="40"/>
      <c r="AV20" s="5"/>
      <c r="AW20" s="5"/>
      <c r="AX20" s="40"/>
      <c r="AY20" s="5"/>
      <c r="AZ20" s="5"/>
      <c r="BA20" s="40"/>
      <c r="BB20" s="5"/>
      <c r="BC20" s="5"/>
      <c r="BD20" s="40"/>
      <c r="BE20" s="5"/>
      <c r="BF20" s="5"/>
      <c r="BG20" s="40"/>
      <c r="BH20" s="5"/>
      <c r="BI20" s="5"/>
      <c r="BJ20" s="40"/>
      <c r="BK20" s="5"/>
      <c r="BL20" s="5"/>
      <c r="BM20" s="40"/>
      <c r="BN20" s="5"/>
      <c r="BO20" s="5"/>
      <c r="BP20" s="40"/>
      <c r="BQ20" s="5"/>
      <c r="BR20" s="5"/>
      <c r="BS20" s="40"/>
      <c r="BT20" s="5"/>
      <c r="BU20" s="5"/>
      <c r="BV20" s="40"/>
      <c r="BW20" s="5"/>
      <c r="BX20" s="5"/>
      <c r="BY20" s="40"/>
      <c r="BZ20" s="5"/>
      <c r="CA20" s="5"/>
      <c r="CB20" s="40"/>
      <c r="CC20" s="5"/>
      <c r="CD20" s="5"/>
      <c r="CE20" s="40"/>
      <c r="CF20" s="5"/>
      <c r="CG20" s="5"/>
      <c r="CH20" s="40"/>
      <c r="CI20" s="5"/>
      <c r="CJ20" s="5"/>
      <c r="CK20" s="40"/>
      <c r="CL20" s="5"/>
      <c r="CM20" s="5"/>
      <c r="CN20" s="40"/>
      <c r="CO20" s="5"/>
      <c r="CP20" s="5"/>
      <c r="CQ20" s="40"/>
      <c r="CR20" s="5"/>
      <c r="CS20" s="5"/>
      <c r="CT20" s="5"/>
      <c r="CU20" s="5"/>
      <c r="CV20" s="5"/>
      <c r="CW20" s="5"/>
      <c r="CX20" s="5"/>
      <c r="CY20" s="5"/>
      <c r="CZ20" s="5"/>
      <c r="DA20" s="5"/>
      <c r="DB20" s="5"/>
      <c r="DC20" s="5"/>
      <c r="DD20" s="5"/>
      <c r="DE20" s="5"/>
      <c r="DF20" s="5"/>
    </row>
    <row r="21">
      <c r="A21" s="19" t="s">
        <v>49</v>
      </c>
      <c r="B21" s="19" t="s">
        <v>50</v>
      </c>
      <c r="C21" s="21">
        <f t="shared" si="65"/>
        <v>3</v>
      </c>
      <c r="D21" s="26">
        <f>IFERROR(__xludf.DUMMYFUNCTION("IF(C21, COUNTIF(FILTER($D$26:$D1007, $A$26:$A1007=A21), TRUE)/C21, 0)"),0.6666666666666666)</f>
        <v>0.6666666667</v>
      </c>
      <c r="E21" s="40">
        <f>IFERROR(__xludf.DUMMYFUNCTION("""COMPUTED_VALUE"""),44359.594305555554)</f>
        <v>44359.59431</v>
      </c>
      <c r="F21" s="5" t="str">
        <f>IFERROR(__xludf.DUMMYFUNCTION("""COMPUTED_VALUE"""),"MBABU IS WEARING ANKLE SOCKS IN A FOOTBALL GAME???? If literally every wales fan can see ampadu morrell and cabango mepham why can’t the actual football manager see it. Embolo the Football Manager legend... Who else knew Mbabu from Football manager??😂.")</f>
        <v>MBABU IS WEARING ANKLE SOCKS IN A FOOTBALL GAME???? If literally every wales fan can see ampadu morrell and cabango mepham why can’t the actual football manager see it. Embolo the Football Manager legend... Who else knew Mbabu from Football manager??😂.</v>
      </c>
      <c r="G21" s="39" t="s">
        <v>15</v>
      </c>
      <c r="H21" s="40">
        <f>IFERROR(__xludf.DUMMYFUNCTION("""COMPUTED_VALUE"""),44359.604571759264)</f>
        <v>44359.60457</v>
      </c>
      <c r="I21" s="5" t="str">
        <f>IFERROR(__xludf.DUMMYFUNCTION("""COMPUTED_VALUE"""),"How this Keifer Moore guy take get call up sef? Players don finish for Wales??? I'd take Bale off. Penaldo taking notes on this Seferovic disasterclass and learning new ways to fraud and get carried.. And again worst player on the pitch Kieffer Moore. Wal"&amp;"es 🏴󠁧󠁢󠁷󠁬󠁳󠁿.")</f>
        <v>How this Keifer Moore guy take get call up sef? Players don finish for Wales??? I'd take Bale off. Penaldo taking notes on this Seferovic disasterclass and learning new ways to fraud and get carried.. And again worst player on the pitch Kieffer Moore. Wales 🏴󠁧󠁢󠁷󠁬󠁳󠁿.</v>
      </c>
      <c r="J21" s="39" t="s">
        <v>16</v>
      </c>
      <c r="K21" s="40">
        <f>IFERROR(__xludf.DUMMYFUNCTION("""COMPUTED_VALUE"""),44359.60667824074)</f>
        <v>44359.60668</v>
      </c>
      <c r="L21" s="5" t="str">
        <f>IFERROR(__xludf.DUMMYFUNCTION("""COMPUTED_VALUE"""),"Get fuckin in!!! Moore you absolute beauty!. Finally some flair and passion and we score. I think Kieffer Moore deserved a goal only because BBC commentary referred to him by his full name KIEFFER MOORE like 90000 times? Big goal for Wales, great header b"&amp;"y Moore! EURO 2020.")</f>
        <v>Get fuckin in!!! Moore you absolute beauty!. Finally some flair and passion and we score. I think Kieffer Moore deserved a goal only because BBC commentary referred to him by his full name KIEFFER MOORE like 90000 times? Big goal for Wales, great header by Moore! EURO 2020.</v>
      </c>
      <c r="M21" s="39" t="s">
        <v>17</v>
      </c>
      <c r="N21" s="40">
        <f>IFERROR(__xludf.DUMMYFUNCTION("""COMPUTED_VALUE"""),44359.61578703704)</f>
        <v>44359.61579</v>
      </c>
      <c r="O21" s="5" t="str">
        <f>IFERROR(__xludf.DUMMYFUNCTION("""COMPUTED_VALUE"""),"Superb assist from Embolo. Switzerland leads 2-1 or VAR. THE SUB!!!! #SUI. (VAR pending?) How did that take more than 1 second for VAR and how did the linesman miss it. EURO 2020. Takes tv companies seconds to work out a offside but it take VAR a lifetime"&amp;" 🙄 EURO 2020 #walswi.")</f>
        <v>Superb assist from Embolo. Switzerland leads 2-1 or VAR. THE SUB!!!! #SUI. (VAR pending?) How did that take more than 1 second for VAR and how did the linesman miss it. EURO 2020. Takes tv companies seconds to work out a offside but it take VAR a lifetime 🙄 EURO 2020 #walswi.</v>
      </c>
      <c r="P21" s="39" t="s">
        <v>17</v>
      </c>
      <c r="Q21" s="40">
        <f>IFERROR(__xludf.DUMMYFUNCTION("""COMPUTED_VALUE"""),44359.599745370375)</f>
        <v>44359.59975</v>
      </c>
      <c r="R21" s="5" t="str">
        <f>IFERROR(__xludf.DUMMYFUNCTION("""COMPUTED_VALUE"""),"Mbabu won the ball cleanly how is that a foul? That was the harshest yellow for Mbabu. He got the ball.... Free kick to Wales and a yellow card for Mbabu after he has the audacity to win the ball. What a ball from Ramsey... Any chance???")</f>
        <v>Mbabu won the ball cleanly how is that a foul? That was the harshest yellow for Mbabu. He got the ball.... Free kick to Wales and a yellow card for Mbabu after he has the audacity to win the ball. What a ball from Ramsey... Any chance???</v>
      </c>
      <c r="S21" s="39" t="s">
        <v>17</v>
      </c>
      <c r="V21" s="5"/>
      <c r="Y21" s="5"/>
      <c r="AB21" s="5"/>
      <c r="AE21" s="5"/>
      <c r="AH21" s="5"/>
      <c r="AK21" s="5"/>
      <c r="AL21" s="40"/>
      <c r="AM21" s="5"/>
      <c r="AN21" s="5"/>
      <c r="AO21" s="40"/>
      <c r="AP21" s="5"/>
      <c r="AQ21" s="5"/>
      <c r="AR21" s="40"/>
      <c r="AS21" s="5"/>
      <c r="AT21" s="5"/>
      <c r="AU21" s="40"/>
      <c r="AV21" s="5"/>
      <c r="AW21" s="5"/>
      <c r="AX21" s="40"/>
      <c r="AY21" s="5"/>
      <c r="AZ21" s="5"/>
      <c r="BA21" s="40"/>
      <c r="BB21" s="5"/>
      <c r="BC21" s="5"/>
      <c r="BD21" s="40"/>
      <c r="BE21" s="5"/>
      <c r="BF21" s="5"/>
      <c r="BG21" s="40"/>
      <c r="BH21" s="5"/>
      <c r="BI21" s="5"/>
      <c r="BJ21" s="40"/>
      <c r="BK21" s="5"/>
      <c r="BL21" s="5"/>
      <c r="BM21" s="40"/>
      <c r="BN21" s="5"/>
      <c r="BO21" s="5"/>
      <c r="BP21" s="40"/>
      <c r="BQ21" s="5"/>
      <c r="BR21" s="5"/>
      <c r="BS21" s="40"/>
      <c r="BT21" s="5"/>
      <c r="BU21" s="5"/>
      <c r="BV21" s="40"/>
      <c r="BW21" s="5"/>
      <c r="BX21" s="5"/>
      <c r="BY21" s="40"/>
      <c r="BZ21" s="5"/>
      <c r="CA21" s="5"/>
      <c r="CB21" s="40"/>
      <c r="CC21" s="5"/>
      <c r="CD21" s="5"/>
      <c r="CE21" s="40"/>
      <c r="CF21" s="5"/>
      <c r="CG21" s="5"/>
      <c r="CH21" s="40"/>
      <c r="CI21" s="5"/>
      <c r="CJ21" s="5"/>
      <c r="CK21" s="40"/>
      <c r="CL21" s="5"/>
      <c r="CM21" s="5"/>
      <c r="CN21" s="40"/>
      <c r="CO21" s="5"/>
      <c r="CP21" s="5"/>
      <c r="CQ21" s="40"/>
      <c r="CR21" s="5"/>
      <c r="CS21" s="5"/>
      <c r="CT21" s="5"/>
      <c r="CU21" s="5"/>
      <c r="CV21" s="5"/>
      <c r="CW21" s="5"/>
      <c r="CX21" s="5"/>
      <c r="CY21" s="5"/>
      <c r="CZ21" s="5"/>
      <c r="DA21" s="5"/>
      <c r="DB21" s="5"/>
      <c r="DC21" s="5"/>
      <c r="DD21" s="5"/>
      <c r="DE21" s="5"/>
      <c r="DF21" s="5"/>
    </row>
    <row r="22">
      <c r="A22" s="19" t="s">
        <v>51</v>
      </c>
      <c r="B22" s="19" t="s">
        <v>52</v>
      </c>
      <c r="C22" s="21">
        <f t="shared" si="65"/>
        <v>4</v>
      </c>
      <c r="D22" s="26">
        <f>IFERROR(__xludf.DUMMYFUNCTION("IF(C22, COUNTIF(FILTER($D$26:$D1007, $A$26:$A1007=A22), TRUE)/C22, 0)"),0.75)</f>
        <v>0.75</v>
      </c>
      <c r="E22" s="40">
        <f>IFERROR(__xludf.DUMMYFUNCTION("""COMPUTED_VALUE"""),44359.5955324074)</f>
        <v>44359.59553</v>
      </c>
      <c r="F22" s="5" t="str">
        <f>IFERROR(__xludf.DUMMYFUNCTION("""COMPUTED_VALUE"""),"I FUCKING LOVE THE FOOTBALL EURO 2020. Mepham isn’t a footballer is he. I'd rather watch Shakira play football than Shaqiri Euros 2021. Daniel James is winning the mbabu battle. Unbelievable news! Joe Morrell plays to the ability of a League 1 player.")</f>
        <v>I FUCKING LOVE THE FOOTBALL EURO 2020. Mepham isn’t a footballer is he. I'd rather watch Shakira play football than Shaqiri Euros 2021. Daniel James is winning the mbabu battle. Unbelievable news! Joe Morrell plays to the ability of a League 1 player.</v>
      </c>
      <c r="G22" s="39" t="s">
        <v>16</v>
      </c>
      <c r="H22" s="40">
        <f>IFERROR(__xludf.DUMMYFUNCTION("""COMPUTED_VALUE"""),44359.607141203705)</f>
        <v>44359.60714</v>
      </c>
      <c r="I22" s="5" t="str">
        <f>IFERROR(__xludf.DUMMYFUNCTION("""COMPUTED_VALUE"""),"As I was saying, take Kiefer Moore off. Moore is a reyt player btw. Kieffer Moore some player to be fair to him. We so don't deserve that but I'll take it. That's the quality of Kieffer Moore! Best player in red scores. Nice header Moore ⚽️⚽️. #WALSWI #wa"&amp;"l.")</f>
        <v>As I was saying, take Kiefer Moore off. Moore is a reyt player btw. Kieffer Moore some player to be fair to him. We so don't deserve that but I'll take it. That's the quality of Kieffer Moore! Best player in red scores. Nice header Moore ⚽️⚽️. #WALSWI #wal.</v>
      </c>
      <c r="J22" s="39" t="s">
        <v>17</v>
      </c>
      <c r="K22" s="40">
        <f>IFERROR(__xludf.DUMMYFUNCTION("""COMPUTED_VALUE"""),44359.61009259259)</f>
        <v>44359.61009</v>
      </c>
      <c r="L22" s="5" t="str">
        <f>IFERROR(__xludf.DUMMYFUNCTION("""COMPUTED_VALUE"""),"#WAL are back in it! Kieffer Moore with the equaliser. Game on!. EURO 202.. The Swiss manager before Wales equalised. EURO 2020 #football. Finally an equaliser by Moore for Wales. EURO 2020. Switzerland went to sleep for a sec, good equaliser from Wales #"&amp;"WALSUI.")</f>
        <v>#WAL are back in it! Kieffer Moore with the equaliser. Game on!. EURO 202.. The Swiss manager before Wales equalised. EURO 2020 #football. Finally an equaliser by Moore for Wales. EURO 2020. Switzerland went to sleep for a sec, good equaliser from Wales #WALSUI.</v>
      </c>
      <c r="M22" s="39" t="s">
        <v>14</v>
      </c>
      <c r="N22" s="40">
        <f>IFERROR(__xludf.DUMMYFUNCTION("""COMPUTED_VALUE"""),44359.61991898148)</f>
        <v>44359.61992</v>
      </c>
      <c r="O22" s="5" t="str">
        <f>IFERROR(__xludf.DUMMYFUNCTION("""COMPUTED_VALUE"""),"Two excellent saves from Ward in the final minutes to keep a point for #WAL The offside flag was up for the second one, but still. Danny Ward been doing a madness this half. Danny ward needs to play first team football. Danny Ward needs a fucking knightho"&amp;"od.")</f>
        <v>Two excellent saves from Ward in the final minutes to keep a point for #WAL The offside flag was up for the second one, but still. Danny Ward been doing a madness this half. Danny ward needs to play first team football. Danny Ward needs a fucking knighthood.</v>
      </c>
      <c r="P22" s="39" t="s">
        <v>17</v>
      </c>
      <c r="Q22" s="40">
        <f>IFERROR(__xludf.DUMMYFUNCTION("""COMPUTED_VALUE"""),44359.603055555555)</f>
        <v>44359.60306</v>
      </c>
      <c r="R22" s="5" t="str">
        <f>IFERROR(__xludf.DUMMYFUNCTION("""COMPUTED_VALUE"""),"Stars of day one: ▪️#ITA. ▪️The little car that brings the match ball out. EURO 2020.")</f>
        <v>Stars of day one: ▪️#ITA. ▪️The little car that brings the match ball out. EURO 2020.</v>
      </c>
      <c r="S22" s="39" t="s">
        <v>15</v>
      </c>
      <c r="V22" s="5"/>
      <c r="Y22" s="5"/>
      <c r="AB22" s="5"/>
      <c r="AE22" s="5"/>
      <c r="AH22" s="5"/>
      <c r="AK22" s="5"/>
      <c r="AL22" s="40"/>
      <c r="AM22" s="5"/>
      <c r="AN22" s="5"/>
      <c r="AO22" s="40"/>
      <c r="AP22" s="5"/>
      <c r="AQ22" s="5"/>
      <c r="AR22" s="40"/>
      <c r="AS22" s="5"/>
      <c r="AT22" s="5"/>
      <c r="AU22" s="40"/>
      <c r="AV22" s="5"/>
      <c r="AW22" s="5"/>
      <c r="AX22" s="40"/>
      <c r="AY22" s="5"/>
      <c r="AZ22" s="5"/>
      <c r="BA22" s="40"/>
      <c r="BB22" s="5"/>
      <c r="BC22" s="5"/>
      <c r="BD22" s="40"/>
      <c r="BE22" s="5"/>
      <c r="BF22" s="5"/>
      <c r="BG22" s="40"/>
      <c r="BH22" s="5"/>
      <c r="BI22" s="5"/>
      <c r="BJ22" s="40"/>
      <c r="BK22" s="5"/>
      <c r="BL22" s="5"/>
      <c r="BM22" s="40"/>
      <c r="BN22" s="5"/>
      <c r="BO22" s="5"/>
      <c r="BP22" s="40"/>
      <c r="BQ22" s="5"/>
      <c r="BR22" s="5"/>
      <c r="BS22" s="40"/>
      <c r="BT22" s="5"/>
      <c r="BU22" s="5"/>
      <c r="BV22" s="40"/>
      <c r="BW22" s="5"/>
      <c r="BX22" s="5"/>
      <c r="BY22" s="40"/>
      <c r="BZ22" s="5"/>
      <c r="CA22" s="5"/>
      <c r="CB22" s="40"/>
      <c r="CC22" s="5"/>
      <c r="CD22" s="5"/>
      <c r="CE22" s="40"/>
      <c r="CF22" s="5"/>
      <c r="CG22" s="5"/>
      <c r="CH22" s="40"/>
      <c r="CI22" s="5"/>
      <c r="CJ22" s="5"/>
      <c r="CK22" s="40"/>
      <c r="CL22" s="5"/>
      <c r="CM22" s="5"/>
      <c r="CN22" s="40"/>
      <c r="CO22" s="5"/>
      <c r="CP22" s="5"/>
      <c r="CQ22" s="40"/>
      <c r="CR22" s="5"/>
      <c r="CS22" s="5"/>
      <c r="CT22" s="5"/>
      <c r="CU22" s="5"/>
      <c r="CV22" s="5"/>
      <c r="CW22" s="5"/>
      <c r="CX22" s="5"/>
      <c r="CY22" s="5"/>
      <c r="CZ22" s="5"/>
      <c r="DA22" s="5"/>
      <c r="DB22" s="5"/>
      <c r="DC22" s="5"/>
      <c r="DD22" s="5"/>
      <c r="DE22" s="5"/>
      <c r="DF22" s="5"/>
    </row>
    <row r="23">
      <c r="A23" s="19" t="s">
        <v>53</v>
      </c>
      <c r="B23" s="19" t="s">
        <v>54</v>
      </c>
      <c r="C23" s="21">
        <f t="shared" si="65"/>
        <v>4</v>
      </c>
      <c r="D23" s="26">
        <f>IFERROR(__xludf.DUMMYFUNCTION("IF(C23, COUNTIF(FILTER($D$26:$D1007, $A$26:$A1007=A23), TRUE)/C23, 0)"),0.75)</f>
        <v>0.75</v>
      </c>
      <c r="E23" s="40">
        <f>IFERROR(__xludf.DUMMYFUNCTION("""COMPUTED_VALUE"""),44359.5968287037)</f>
        <v>44359.59683</v>
      </c>
      <c r="F23" s="5" t="str">
        <f>IFERROR(__xludf.DUMMYFUNCTION("""COMPUTED_VALUE"""),"James is the only man on the pitch for Wales who likes like he wants to get in that final third. #WAL. Daniel James is winning the mbabu battle. Who's winning this one? EURO 2020. What am I supposed to do between 4-5pm, and 7-8pm each day? 🥺 EURO 2020 #f"&amp;"ootball.")</f>
        <v>James is the only man on the pitch for Wales who likes like he wants to get in that final third. #WAL. Daniel James is winning the mbabu battle. Who's winning this one? EURO 2020. What am I supposed to do between 4-5pm, and 7-8pm each day? 🥺 EURO 2020 #football.</v>
      </c>
      <c r="G23" s="39" t="s">
        <v>18</v>
      </c>
      <c r="H23" s="40">
        <f>IFERROR(__xludf.DUMMYFUNCTION("""COMPUTED_VALUE"""),44359.608715277776)</f>
        <v>44359.60872</v>
      </c>
      <c r="I23" s="5" t="str">
        <f>IFERROR(__xludf.DUMMYFUNCTION("""COMPUTED_VALUE"""),"Shut up James, Brooks is a better player than you anyway. Why did Wales take out Daniel James he was there most productive player? I can't believe that Robert page has taken off Dan James. He's been there best player without a doubt.")</f>
        <v>Shut up James, Brooks is a better player than you anyway. Why did Wales take out Daniel James he was there most productive player? I can't believe that Robert page has taken off Dan James. He's been there best player without a doubt.</v>
      </c>
      <c r="J23" s="39" t="s">
        <v>17</v>
      </c>
      <c r="K23" s="40">
        <f>IFERROR(__xludf.DUMMYFUNCTION("""COMPUTED_VALUE"""),44359.613530092596)</f>
        <v>44359.61353</v>
      </c>
      <c r="L23" s="5" t="str">
        <f>IFERROR(__xludf.DUMMYFUNCTION("""COMPUTED_VALUE"""),"Ramsey is scoring the winner truss. The Bale Ramsey combo prolly got a goal in this game🙏🏾. That would've been classic Ramsey goal maynnn. Ooof Ramsey almost catching that and scoring. Swiss have lost all momentum since Shaq was subbed off. Ramsey will "&amp;"score the winner EURO 2020.")</f>
        <v>Ramsey is scoring the winner truss. The Bale Ramsey combo prolly got a goal in this game🙏🏾. That would've been classic Ramsey goal maynnn. Ooof Ramsey almost catching that and scoring. Swiss have lost all momentum since Shaq was subbed off. Ramsey will score the winner EURO 2020.</v>
      </c>
      <c r="M23" s="39" t="s">
        <v>18</v>
      </c>
      <c r="P23" s="5"/>
      <c r="Q23" s="40">
        <f>IFERROR(__xludf.DUMMYFUNCTION("""COMPUTED_VALUE"""),44359.60766203704)</f>
        <v>44359.60766</v>
      </c>
      <c r="R23" s="5" t="str">
        <f>IFERROR(__xludf.DUMMYFUNCTION("""COMPUTED_VALUE"""),"KIEFFER MOORE EQUALISES! TALISMAN GETS ON THE END OF A CROSS WITH HIS HEAD! #WAL 1-1 #SUI. Cracking cross and lovely header from Kieffer Moore that 🙌 #WAL. Kieffer Moore lives to head the ball. Kieffer Moore scoring from crosses in red - some things neve"&amp;"r change! 🥺🥺. #WAFC.")</f>
        <v>KIEFFER MOORE EQUALISES! TALISMAN GETS ON THE END OF A CROSS WITH HIS HEAD! #WAL 1-1 #SUI. Cracking cross and lovely header from Kieffer Moore that 🙌 #WAL. Kieffer Moore lives to head the ball. Kieffer Moore scoring from crosses in red - some things never change! 🥺🥺. #WAFC.</v>
      </c>
      <c r="S23" s="39" t="s">
        <v>17</v>
      </c>
      <c r="V23" s="5"/>
      <c r="Y23" s="5"/>
      <c r="AB23" s="5"/>
      <c r="AE23" s="5"/>
      <c r="AH23" s="5"/>
      <c r="AK23" s="5"/>
      <c r="AL23" s="40"/>
      <c r="AM23" s="5"/>
      <c r="AN23" s="5"/>
      <c r="AO23" s="40"/>
      <c r="AP23" s="5"/>
      <c r="AQ23" s="5"/>
      <c r="AR23" s="40"/>
      <c r="AS23" s="5"/>
      <c r="AT23" s="5"/>
      <c r="AU23" s="40"/>
      <c r="AV23" s="5"/>
      <c r="AW23" s="5"/>
      <c r="AX23" s="40"/>
      <c r="AY23" s="5"/>
      <c r="AZ23" s="5"/>
      <c r="BA23" s="40"/>
      <c r="BB23" s="5"/>
      <c r="BC23" s="5"/>
      <c r="BD23" s="40"/>
      <c r="BE23" s="5"/>
      <c r="BF23" s="5"/>
      <c r="BG23" s="40"/>
      <c r="BH23" s="5"/>
      <c r="BI23" s="5"/>
      <c r="BJ23" s="40"/>
      <c r="BK23" s="5"/>
      <c r="BL23" s="5"/>
      <c r="BM23" s="40"/>
      <c r="BN23" s="5"/>
      <c r="BO23" s="5"/>
      <c r="BP23" s="40"/>
      <c r="BQ23" s="5"/>
      <c r="BR23" s="5"/>
      <c r="BS23" s="40"/>
      <c r="BT23" s="5"/>
      <c r="BU23" s="5"/>
      <c r="BV23" s="40"/>
      <c r="BW23" s="5"/>
      <c r="BX23" s="5"/>
      <c r="BY23" s="40"/>
      <c r="BZ23" s="5"/>
      <c r="CA23" s="5"/>
      <c r="CB23" s="40"/>
      <c r="CC23" s="5"/>
      <c r="CD23" s="5"/>
      <c r="CE23" s="40"/>
      <c r="CF23" s="5"/>
      <c r="CG23" s="5"/>
      <c r="CH23" s="40"/>
      <c r="CI23" s="5"/>
      <c r="CJ23" s="5"/>
      <c r="CK23" s="40"/>
      <c r="CL23" s="5"/>
      <c r="CM23" s="5"/>
      <c r="CN23" s="40"/>
      <c r="CO23" s="5"/>
      <c r="CP23" s="5"/>
      <c r="CQ23" s="40"/>
      <c r="CR23" s="5"/>
      <c r="CS23" s="5"/>
      <c r="CT23" s="5"/>
      <c r="CU23" s="5"/>
      <c r="CV23" s="5"/>
      <c r="CW23" s="5"/>
      <c r="CX23" s="5"/>
      <c r="CY23" s="5"/>
      <c r="CZ23" s="5"/>
      <c r="DA23" s="5"/>
      <c r="DB23" s="5"/>
      <c r="DC23" s="5"/>
      <c r="DD23" s="5"/>
      <c r="DE23" s="5"/>
      <c r="DF23" s="5"/>
    </row>
    <row r="24">
      <c r="A24" s="19"/>
      <c r="B24" s="14" t="s">
        <v>55</v>
      </c>
      <c r="C24" s="34">
        <f>SUM(C20:C23)</f>
        <v>14</v>
      </c>
      <c r="D24" s="26">
        <f>COUNTIF($D$26:$D1007, TRUE)/C24</f>
        <v>0.7857142857</v>
      </c>
      <c r="E24" s="40">
        <f>IFERROR(__xludf.DUMMYFUNCTION("""COMPUTED_VALUE"""),44359.59962962963)</f>
        <v>44359.59963</v>
      </c>
      <c r="F24" s="5" t="str">
        <f>IFERROR(__xludf.DUMMYFUNCTION("""COMPUTED_VALUE"""),"#WALSUI nice start to the football day. That was an incredible win from the #SUI player EURO 2020. If that is a yellow for Mbabu, football is dead. Mbabu booked for tackling and winning the ball. Game's gone. Perfect tackle, yellow card…Modern football 🙄"&amp;" #WALSWI EURO 2020.")</f>
        <v>#WALSUI nice start to the football day. That was an incredible win from the #SUI player EURO 2020. If that is a yellow for Mbabu, football is dead. Mbabu booked for tackling and winning the ball. Game's gone. Perfect tackle, yellow card…Modern football 🙄 #WALSWI EURO 2020.</v>
      </c>
      <c r="G24" s="39" t="s">
        <v>17</v>
      </c>
      <c r="H24" s="40">
        <f>IFERROR(__xludf.DUMMYFUNCTION("""COMPUTED_VALUE"""),44359.61273148148)</f>
        <v>44359.61273</v>
      </c>
      <c r="I24" s="5" t="str">
        <f>IFERROR(__xludf.DUMMYFUNCTION("""COMPUTED_VALUE"""),"Bale taking throw ins dkm. Gareth Bale taking a long throw is so weird. I never knew Bale could take a throw in like that 😳 #WALSWI EURO 2020. Bale taking throw ins bringing back those Kane taking corner vibes.")</f>
        <v>Bale taking throw ins dkm. Gareth Bale taking a long throw is so weird. I never knew Bale could take a throw in like that 😳 #WALSWI EURO 2020. Bale taking throw ins bringing back those Kane taking corner vibes.</v>
      </c>
      <c r="J24" s="39" t="s">
        <v>18</v>
      </c>
      <c r="K24" s="40">
        <f>IFERROR(__xludf.DUMMYFUNCTION("""COMPUTED_VALUE"""),44359.614699074074)</f>
        <v>44359.6147</v>
      </c>
      <c r="L24" s="5" t="str">
        <f>IFERROR(__xludf.DUMMYFUNCTION("""COMPUTED_VALUE"""),"What a decent match this has turned out to be.. Even if that goal was offside. 😂😂 EURO 2020. #SUI are back in front, however that is surely offside. Don’t need the lines to see he’s miles offside there EURO 2020. What a sub that would be if it wasn't of"&amp;"fside EURO 2020.")</f>
        <v>What a decent match this has turned out to be.. Even if that goal was offside. 😂😂 EURO 2020. #SUI are back in front, however that is surely offside. Don’t need the lines to see he’s miles offside there EURO 2020. What a sub that would be if it wasn't offside EURO 2020.</v>
      </c>
      <c r="M24" s="39" t="s">
        <v>17</v>
      </c>
      <c r="P24" s="5"/>
      <c r="Q24" s="40">
        <f>IFERROR(__xludf.DUMMYFUNCTION("""COMPUTED_VALUE"""),44359.609201388885)</f>
        <v>44359.6092</v>
      </c>
      <c r="R24" s="5" t="str">
        <f>IFERROR(__xludf.DUMMYFUNCTION("""COMPUTED_VALUE"""),"What a freaking ball by Zakaria. What a cross embolo should be scoring that. That ball from Zakaria 🤤🤤. Switzerland come again, Zakaria at the back door and puts a great ball back in but the offside flag went up against Embolo. 1-1 (78) What a cross fro"&amp;"m the zakaria.")</f>
        <v>What a freaking ball by Zakaria. What a cross embolo should be scoring that. That ball from Zakaria 🤤🤤. Switzerland come again, Zakaria at the back door and puts a great ball back in but the offside flag went up against Embolo. 1-1 (78) What a cross from the zakaria.</v>
      </c>
      <c r="S24" s="39" t="s">
        <v>18</v>
      </c>
      <c r="V24" s="5"/>
      <c r="Y24" s="5"/>
      <c r="AB24" s="5"/>
      <c r="AE24" s="5"/>
      <c r="AH24" s="5"/>
      <c r="AK24" s="5"/>
      <c r="AL24" s="40"/>
      <c r="AM24" s="5"/>
      <c r="AN24" s="5"/>
      <c r="AO24" s="40"/>
      <c r="AP24" s="5"/>
      <c r="AQ24" s="5"/>
      <c r="AR24" s="40"/>
      <c r="AS24" s="5"/>
      <c r="AT24" s="5"/>
      <c r="AU24" s="40"/>
      <c r="AV24" s="5"/>
      <c r="AW24" s="5"/>
      <c r="AX24" s="40"/>
      <c r="AY24" s="5"/>
      <c r="AZ24" s="5"/>
      <c r="BA24" s="40"/>
      <c r="BB24" s="5"/>
      <c r="BC24" s="5"/>
      <c r="BD24" s="40"/>
      <c r="BE24" s="5"/>
      <c r="BF24" s="5"/>
      <c r="BG24" s="40"/>
      <c r="BH24" s="5"/>
      <c r="BI24" s="5"/>
      <c r="BJ24" s="40"/>
      <c r="BK24" s="5"/>
      <c r="BL24" s="5"/>
      <c r="BM24" s="40"/>
      <c r="BN24" s="5"/>
      <c r="BO24" s="5"/>
      <c r="BP24" s="40"/>
      <c r="BQ24" s="5"/>
      <c r="BR24" s="5"/>
      <c r="BS24" s="40"/>
      <c r="BT24" s="5"/>
      <c r="BU24" s="5"/>
      <c r="BV24" s="40"/>
      <c r="BW24" s="5"/>
      <c r="BX24" s="5"/>
      <c r="BY24" s="40"/>
      <c r="BZ24" s="5"/>
      <c r="CA24" s="5"/>
      <c r="CB24" s="40"/>
      <c r="CC24" s="5"/>
      <c r="CD24" s="5"/>
      <c r="CE24" s="40"/>
      <c r="CF24" s="5"/>
      <c r="CG24" s="5"/>
      <c r="CH24" s="40"/>
      <c r="CI24" s="5"/>
      <c r="CJ24" s="5"/>
      <c r="CK24" s="40"/>
      <c r="CL24" s="5"/>
      <c r="CM24" s="5"/>
      <c r="CN24" s="40"/>
      <c r="CO24" s="5"/>
      <c r="CP24" s="5"/>
      <c r="CQ24" s="40"/>
      <c r="CR24" s="5"/>
      <c r="CS24" s="5"/>
      <c r="CT24" s="5"/>
      <c r="CU24" s="5"/>
      <c r="CV24" s="5"/>
      <c r="CW24" s="5"/>
      <c r="CX24" s="5"/>
      <c r="CY24" s="5"/>
      <c r="CZ24" s="5"/>
      <c r="DA24" s="5"/>
      <c r="DB24" s="5"/>
      <c r="DC24" s="5"/>
      <c r="DD24" s="5"/>
      <c r="DE24" s="5"/>
      <c r="DF24" s="5"/>
    </row>
    <row r="25">
      <c r="A25" s="14" t="s">
        <v>56</v>
      </c>
      <c r="B25" s="14" t="s">
        <v>57</v>
      </c>
      <c r="C25" s="14" t="s">
        <v>58</v>
      </c>
      <c r="D25" s="32" t="s">
        <v>59</v>
      </c>
      <c r="E25" s="40">
        <f>IFERROR(__xludf.DUMMYFUNCTION("""COMPUTED_VALUE"""),44359.60193287037)</f>
        <v>44359.60193</v>
      </c>
      <c r="F25" s="5" t="str">
        <f>IFERROR(__xludf.DUMMYFUNCTION("""COMPUTED_VALUE"""),"62' Mbabu booked for winning the ball. Gareth Bale is washed dont let Premier League PR fool you, we need to apply Premier league tax. I would say Breel Embolo will be a very good Premier League player. 🏴󠁧󠁢󠁷󠁬󠁳󠁿🆚🇨🇭 THE winning goal? ⚽️ Embolo. EU"&amp;"RO 2020.")</f>
        <v>62' Mbabu booked for winning the ball. Gareth Bale is washed dont let Premier League PR fool you, we need to apply Premier league tax. I would say Breel Embolo will be a very good Premier League player. 🏴󠁧󠁢󠁷󠁬󠁳󠁿🆚🇨🇭 THE winning goal? ⚽️ Embolo. EURO 2020.</v>
      </c>
      <c r="G25" s="39" t="s">
        <v>14</v>
      </c>
      <c r="H25" s="40">
        <f>IFERROR(__xludf.DUMMYFUNCTION("""COMPUTED_VALUE"""),44359.61519675926)</f>
        <v>44359.6152</v>
      </c>
      <c r="I25" s="5" t="str">
        <f>IFERROR(__xludf.DUMMYFUNCTION("""COMPUTED_VALUE"""),"The Switzerland players celebrating that goal as if VAR never existed. #walsui. VAR taking Embolo’s G/A away. How does it take VAR this long to see what took us 3 seconds!? Madness EURO 2020. Why did that VAR check take so long!? 😂 #WAL #WALSWI.")</f>
        <v>The Switzerland players celebrating that goal as if VAR never existed. #walsui. VAR taking Embolo’s G/A away. How does it take VAR this long to see what took us 3 seconds!? Madness EURO 2020. Why did that VAR check take so long!? 😂 #WAL #WALSWI.</v>
      </c>
      <c r="J25" s="39" t="s">
        <v>17</v>
      </c>
      <c r="K25" s="40">
        <f>IFERROR(__xludf.DUMMYFUNCTION("""COMPUTED_VALUE"""),44359.61851851852)</f>
        <v>44359.61852</v>
      </c>
      <c r="L25" s="5" t="str">
        <f>IFERROR(__xludf.DUMMYFUNCTION("""COMPUTED_VALUE"""),"GOAL! Wales 1-1 Switzerland (Moore 75').. EURO 2020. 📸 Kieffer Moore nets the equaliser in Baku ⚽️. EURO 2020. Keiffer Moore has more goals at EURO 2020 than Cristiano Ronaldo 👀 #WAL. 🏴󠁧󠁢󠁷󠁬󠁳󠁿🆚🇨🇭 Drop a GIF 📱👇 to react to Kieffer Moore's equa"&amp;"liser... EURO 2020.")</f>
        <v>GOAL! Wales 1-1 Switzerland (Moore 75').. EURO 2020. 📸 Kieffer Moore nets the equaliser in Baku ⚽️. EURO 2020. Keiffer Moore has more goals at EURO 2020 than Cristiano Ronaldo 👀 #WAL. 🏴󠁧󠁢󠁷󠁬󠁳󠁿🆚🇨🇭 Drop a GIF 📱👇 to react to Kieffer Moore's equaliser... EURO 2020.</v>
      </c>
      <c r="M25" s="39" t="s">
        <v>14</v>
      </c>
      <c r="P25" s="5"/>
      <c r="Q25" s="40">
        <f>IFERROR(__xludf.DUMMYFUNCTION("""COMPUTED_VALUE"""),44359.610821759255)</f>
        <v>44359.61082</v>
      </c>
      <c r="R25" s="5" t="str">
        <f>IFERROR(__xludf.DUMMYFUNCTION("""COMPUTED_VALUE"""),"Ben Davies can’t cross 🤦🏻‍♂️🏴󠁧󠁢󠁷󠁬󠁳󠁿. Ben Davies needs to stop kicking the ball. Even if Ben Davies plays for Macedonia he should never touch an international tournament. Ben Davies just absolutely hammering every ball. Not sure why. #WALSUI.")</f>
        <v>Ben Davies can’t cross 🤦🏻‍♂️🏴󠁧󠁢󠁷󠁬󠁳󠁿. Ben Davies needs to stop kicking the ball. Even if Ben Davies plays for Macedonia he should never touch an international tournament. Ben Davies just absolutely hammering every ball. Not sure why. #WALSUI.</v>
      </c>
      <c r="S25" s="39" t="s">
        <v>18</v>
      </c>
      <c r="V25" s="5"/>
      <c r="Y25" s="5"/>
      <c r="AB25" s="5"/>
      <c r="AE25" s="5"/>
      <c r="AH25" s="5"/>
      <c r="AK25" s="5"/>
      <c r="AL25" s="40"/>
      <c r="AM25" s="5"/>
      <c r="AN25" s="5"/>
      <c r="AO25" s="40"/>
      <c r="AP25" s="5"/>
      <c r="AQ25" s="5"/>
      <c r="AR25" s="40"/>
      <c r="AS25" s="5"/>
      <c r="AT25" s="5"/>
      <c r="AU25" s="40"/>
      <c r="AV25" s="5"/>
      <c r="AW25" s="5"/>
      <c r="AX25" s="40"/>
      <c r="AY25" s="5"/>
      <c r="AZ25" s="5"/>
      <c r="BA25" s="40"/>
      <c r="BB25" s="5"/>
      <c r="BC25" s="5"/>
      <c r="BD25" s="40"/>
      <c r="BE25" s="5"/>
      <c r="BF25" s="5"/>
      <c r="BG25" s="40"/>
      <c r="BH25" s="5"/>
      <c r="BI25" s="5"/>
      <c r="BJ25" s="40"/>
      <c r="BK25" s="5"/>
      <c r="BL25" s="5"/>
      <c r="BM25" s="40"/>
      <c r="BN25" s="5"/>
      <c r="BO25" s="5"/>
      <c r="BP25" s="40"/>
      <c r="BQ25" s="5"/>
      <c r="BR25" s="5"/>
      <c r="BS25" s="40"/>
      <c r="BT25" s="5"/>
      <c r="BU25" s="5"/>
      <c r="BV25" s="40"/>
      <c r="BW25" s="5"/>
      <c r="BX25" s="5"/>
      <c r="BY25" s="40"/>
      <c r="BZ25" s="5"/>
      <c r="CA25" s="5"/>
      <c r="CB25" s="40"/>
      <c r="CC25" s="5"/>
      <c r="CD25" s="5"/>
      <c r="CE25" s="40"/>
      <c r="CF25" s="5"/>
      <c r="CG25" s="5"/>
      <c r="CH25" s="40"/>
      <c r="CI25" s="5"/>
      <c r="CJ25" s="5"/>
      <c r="CK25" s="40"/>
      <c r="CL25" s="5"/>
      <c r="CM25" s="5"/>
      <c r="CN25" s="40"/>
      <c r="CO25" s="5"/>
      <c r="CP25" s="5"/>
      <c r="CQ25" s="40"/>
      <c r="CR25" s="5"/>
      <c r="CS25" s="5"/>
      <c r="CT25" s="5"/>
      <c r="CU25" s="5"/>
      <c r="CV25" s="5"/>
      <c r="CW25" s="5"/>
      <c r="CX25" s="5"/>
      <c r="CY25" s="5"/>
      <c r="CZ25" s="5"/>
      <c r="DA25" s="5"/>
      <c r="DB25" s="5"/>
      <c r="DC25" s="5"/>
      <c r="DD25" s="5"/>
      <c r="DE25" s="5"/>
      <c r="DF25" s="5"/>
    </row>
    <row r="26">
      <c r="A26" s="19" t="s">
        <v>51</v>
      </c>
      <c r="B26" s="19" t="s">
        <v>60</v>
      </c>
      <c r="C26" s="21">
        <v>1.0</v>
      </c>
      <c r="D26" s="35" t="b">
        <v>1</v>
      </c>
      <c r="E26" s="40">
        <f>IFERROR(__xludf.DUMMYFUNCTION("""COMPUTED_VALUE"""),44359.605844907404)</f>
        <v>44359.60584</v>
      </c>
      <c r="F26" s="5" t="str">
        <f>IFERROR(__xludf.DUMMYFUNCTION("""COMPUTED_VALUE"""),"Football is just a hobby for Bale #WALSUI. Joe Allen has absolutely stole a football career 🤯💩. A goal for Football Manager players everywhere 👌. EURO 2020 #WALSUI.. Wales would've been winning if Bale was playing. Ben Davies is a remarkably shit footb"&amp;"aller.")</f>
        <v>Football is just a hobby for Bale #WALSUI. Joe Allen has absolutely stole a football career 🤯💩. A goal for Football Manager players everywhere 👌. EURO 2020 #WALSUI.. Wales would've been winning if Bale was playing. Ben Davies is a remarkably shit footballer.</v>
      </c>
      <c r="G26" s="39" t="s">
        <v>16</v>
      </c>
      <c r="H26" s="40">
        <f>IFERROR(__xludf.DUMMYFUNCTION("""COMPUTED_VALUE"""),44359.61655092593)</f>
        <v>44359.61655</v>
      </c>
      <c r="I26" s="5" t="str">
        <f>IFERROR(__xludf.DUMMYFUNCTION("""COMPUTED_VALUE"""),"OFFSIDE. Why did they take so long over that? #WAL. Could see that was offside, had three beers, cooked a beef dinner and half asleep, why did it take so long #WALSUI. How did VAR take so long to check that when the majority of people seen it was offside "&amp;"in real time #WALSUI.")</f>
        <v>OFFSIDE. Why did they take so long over that? #WAL. Could see that was offside, had three beers, cooked a beef dinner and half asleep, why did it take so long #WALSUI. How did VAR take so long to check that when the majority of people seen it was offside in real time #WALSUI.</v>
      </c>
      <c r="J26" s="39" t="s">
        <v>18</v>
      </c>
      <c r="M26" s="5"/>
      <c r="P26" s="5"/>
      <c r="Q26" s="40">
        <f>IFERROR(__xludf.DUMMYFUNCTION("""COMPUTED_VALUE"""),44359.61288194444)</f>
        <v>44359.61288</v>
      </c>
      <c r="R26" s="5" t="str">
        <f>IFERROR(__xludf.DUMMYFUNCTION("""COMPUTED_VALUE"""),"What a cross by Brooks there. Some ball that in by Brooks. Lovely ball by ramsey. Ramsey half a yard from making contact, lovely ball across from Brooks. Aaron Ramsey would score loads of goals arriving late into the box if he had Tierney whipping in cros"&amp;"ses for him.")</f>
        <v>What a cross by Brooks there. Some ball that in by Brooks. Lovely ball by ramsey. Ramsey half a yard from making contact, lovely ball across from Brooks. Aaron Ramsey would score loads of goals arriving late into the box if he had Tierney whipping in crosses for him.</v>
      </c>
      <c r="S26" s="39" t="s">
        <v>18</v>
      </c>
      <c r="V26" s="5"/>
      <c r="Y26" s="5"/>
      <c r="AB26" s="5"/>
      <c r="AE26" s="5"/>
      <c r="AH26" s="5"/>
      <c r="AK26" s="5"/>
      <c r="AL26" s="40"/>
      <c r="AM26" s="5"/>
      <c r="AN26" s="5"/>
      <c r="AO26" s="40"/>
      <c r="AP26" s="5"/>
      <c r="AQ26" s="5"/>
      <c r="AR26" s="40"/>
      <c r="AS26" s="5"/>
      <c r="AT26" s="5"/>
      <c r="AU26" s="40"/>
      <c r="AV26" s="5"/>
      <c r="AW26" s="5"/>
      <c r="AX26" s="40"/>
      <c r="AY26" s="5"/>
      <c r="AZ26" s="5"/>
      <c r="BA26" s="40"/>
      <c r="BB26" s="5"/>
      <c r="BC26" s="5"/>
      <c r="BD26" s="40"/>
      <c r="BE26" s="5"/>
      <c r="BF26" s="5"/>
      <c r="BG26" s="40"/>
      <c r="BH26" s="5"/>
      <c r="BI26" s="5"/>
      <c r="BJ26" s="40"/>
      <c r="BK26" s="5"/>
      <c r="BL26" s="5"/>
      <c r="BM26" s="40"/>
      <c r="BN26" s="5"/>
      <c r="BO26" s="5"/>
      <c r="BP26" s="40"/>
      <c r="BQ26" s="5"/>
      <c r="BR26" s="5"/>
      <c r="BS26" s="40"/>
      <c r="BT26" s="5"/>
      <c r="BU26" s="5"/>
      <c r="BV26" s="40"/>
      <c r="BW26" s="5"/>
      <c r="BX26" s="5"/>
      <c r="BY26" s="40"/>
      <c r="BZ26" s="5"/>
      <c r="CA26" s="5"/>
      <c r="CB26" s="40"/>
      <c r="CC26" s="5"/>
      <c r="CD26" s="5"/>
      <c r="CE26" s="40"/>
      <c r="CF26" s="5"/>
      <c r="CG26" s="5"/>
      <c r="CH26" s="40"/>
      <c r="CI26" s="5"/>
      <c r="CJ26" s="5"/>
      <c r="CK26" s="40"/>
      <c r="CL26" s="5"/>
      <c r="CM26" s="5"/>
      <c r="CN26" s="40"/>
      <c r="CO26" s="5"/>
      <c r="CP26" s="5"/>
      <c r="CQ26" s="40"/>
      <c r="CR26" s="5"/>
      <c r="CS26" s="5"/>
      <c r="CT26" s="5"/>
      <c r="CU26" s="5"/>
      <c r="CV26" s="5"/>
      <c r="CW26" s="5"/>
      <c r="CX26" s="5"/>
      <c r="CY26" s="5"/>
      <c r="CZ26" s="5"/>
      <c r="DA26" s="5"/>
      <c r="DB26" s="5"/>
      <c r="DC26" s="5"/>
      <c r="DD26" s="5"/>
      <c r="DE26" s="5"/>
      <c r="DF26" s="5"/>
    </row>
    <row r="27">
      <c r="A27" s="19" t="s">
        <v>49</v>
      </c>
      <c r="B27" s="19" t="s">
        <v>341</v>
      </c>
      <c r="C27" s="21">
        <v>30.0</v>
      </c>
      <c r="D27" s="35" t="b">
        <v>0</v>
      </c>
      <c r="E27" s="40">
        <f>IFERROR(__xludf.DUMMYFUNCTION("""COMPUTED_VALUE"""),44359.606944444444)</f>
        <v>44359.60694</v>
      </c>
      <c r="F27" s="5" t="str">
        <f>IFERROR(__xludf.DUMMYFUNCTION("""COMPUTED_VALUE"""),"Wales can finally celebrate as key man keifer Moore equalises for Wales 🏴󠁧󠁢󠁷󠁬󠁳󠁿 EURO 2020. Get fuckin in!!! Moore you absolute beauty!. Finally some flair and passion and we score. What a bloody header! One Moore of those and you’ll win! #WAL.")</f>
        <v>Wales can finally celebrate as key man keifer Moore equalises for Wales 🏴󠁧󠁢󠁷󠁬󠁳󠁿 EURO 2020. Get fuckin in!!! Moore you absolute beauty!. Finally some flair and passion and we score. What a bloody header! One Moore of those and you’ll win! #WAL.</v>
      </c>
      <c r="G27" s="39" t="s">
        <v>17</v>
      </c>
      <c r="H27" s="40">
        <f>IFERROR(__xludf.DUMMYFUNCTION("""COMPUTED_VALUE"""),44359.61759259259)</f>
        <v>44359.61759</v>
      </c>
      <c r="I27" s="5" t="str">
        <f>IFERROR(__xludf.DUMMYFUNCTION("""COMPUTED_VALUE"""),"Ruled out but once again great play from Embolo, best player on the pitch today. Embolo is one of those players that will excel in tournaments but go and buy and see 😂😂 Betway At 5. Embolo for player of the year #embolo. Embolo. Top player. steven sandb"&amp;"ach football manager legend.")</f>
        <v>Ruled out but once again great play from Embolo, best player on the pitch today. Embolo is one of those players that will excel in tournaments but go and buy and see 😂😂 Betway At 5. Embolo for player of the year #embolo. Embolo. Top player. steven sandbach football manager legend.</v>
      </c>
      <c r="J27" s="39" t="s">
        <v>18</v>
      </c>
      <c r="M27" s="5"/>
      <c r="P27" s="5"/>
      <c r="Q27" s="40">
        <f>IFERROR(__xludf.DUMMYFUNCTION("""COMPUTED_VALUE"""),44359.61454861111)</f>
        <v>44359.61455</v>
      </c>
      <c r="R27" s="5" t="str">
        <f>IFERROR(__xludf.DUMMYFUNCTION("""COMPUTED_VALUE"""),"Bale touched his bun more times than he touched the ball...🤦🏾‍♂️. GAVRANOVIC SCORES WITH HIS FIRST TOUCH! BUT I THINK ITS OFFSIDE! #WAL 1-2 #SUI??? Lhuk one touch, one goal? 👀 gavranovic. Good pass from Xhaka tbh. Offside though. Offside, but Embolo is"&amp;" balling.")</f>
        <v>Bale touched his bun more times than he touched the ball...🤦🏾‍♂️. GAVRANOVIC SCORES WITH HIS FIRST TOUCH! BUT I THINK ITS OFFSIDE! #WAL 1-2 #SUI??? Lhuk one touch, one goal? 👀 gavranovic. Good pass from Xhaka tbh. Offside though. Offside, but Embolo is balling.</v>
      </c>
      <c r="S27" s="39" t="s">
        <v>17</v>
      </c>
      <c r="V27" s="5"/>
      <c r="Y27" s="5"/>
      <c r="AB27" s="5"/>
      <c r="AE27" s="5"/>
      <c r="AH27" s="5"/>
      <c r="AK27" s="5"/>
      <c r="AL27" s="40"/>
      <c r="AM27" s="5"/>
      <c r="AN27" s="5"/>
      <c r="AO27" s="40"/>
      <c r="AP27" s="5"/>
      <c r="AQ27" s="5"/>
      <c r="AR27" s="40"/>
      <c r="AS27" s="5"/>
      <c r="AT27" s="5"/>
      <c r="AU27" s="40"/>
      <c r="AV27" s="5"/>
      <c r="AW27" s="5"/>
      <c r="AX27" s="40"/>
      <c r="AY27" s="5"/>
      <c r="AZ27" s="5"/>
      <c r="BA27" s="40"/>
      <c r="BB27" s="5"/>
      <c r="BC27" s="5"/>
      <c r="BD27" s="40"/>
      <c r="BE27" s="5"/>
      <c r="BF27" s="5"/>
      <c r="BG27" s="40"/>
      <c r="BH27" s="5"/>
      <c r="BI27" s="5"/>
      <c r="BJ27" s="40"/>
      <c r="BK27" s="5"/>
      <c r="BL27" s="5"/>
      <c r="BM27" s="40"/>
      <c r="BN27" s="5"/>
      <c r="BO27" s="5"/>
      <c r="BP27" s="40"/>
      <c r="BQ27" s="5"/>
      <c r="BR27" s="5"/>
      <c r="BS27" s="40"/>
      <c r="BT27" s="5"/>
      <c r="BU27" s="5"/>
      <c r="BV27" s="40"/>
      <c r="BW27" s="5"/>
      <c r="BX27" s="5"/>
      <c r="BY27" s="40"/>
      <c r="BZ27" s="5"/>
      <c r="CA27" s="5"/>
      <c r="CB27" s="40"/>
      <c r="CC27" s="5"/>
      <c r="CD27" s="5"/>
      <c r="CE27" s="40"/>
      <c r="CF27" s="5"/>
      <c r="CG27" s="5"/>
      <c r="CH27" s="40"/>
      <c r="CI27" s="5"/>
      <c r="CJ27" s="5"/>
      <c r="CK27" s="40"/>
      <c r="CL27" s="5"/>
      <c r="CM27" s="5"/>
      <c r="CN27" s="40"/>
      <c r="CO27" s="5"/>
      <c r="CP27" s="5"/>
      <c r="CQ27" s="40"/>
      <c r="CR27" s="5"/>
      <c r="CS27" s="5"/>
      <c r="CT27" s="5"/>
      <c r="CU27" s="5"/>
      <c r="CV27" s="5"/>
      <c r="CW27" s="5"/>
      <c r="CX27" s="5"/>
      <c r="CY27" s="5"/>
      <c r="CZ27" s="5"/>
      <c r="DA27" s="5"/>
      <c r="DB27" s="5"/>
      <c r="DC27" s="5"/>
      <c r="DD27" s="5"/>
      <c r="DE27" s="5"/>
      <c r="DF27" s="5"/>
    </row>
    <row r="28">
      <c r="A28" s="19" t="s">
        <v>51</v>
      </c>
      <c r="B28" s="19" t="s">
        <v>64</v>
      </c>
      <c r="C28" s="21">
        <v>45.0</v>
      </c>
      <c r="D28" s="35" t="b">
        <v>1</v>
      </c>
      <c r="E28" s="40">
        <f>IFERROR(__xludf.DUMMYFUNCTION("""COMPUTED_VALUE"""),44359.60805555555)</f>
        <v>44359.60806</v>
      </c>
      <c r="F28" s="5" t="str">
        <f>IFERROR(__xludf.DUMMYFUNCTION("""COMPUTED_VALUE"""),"Get in Wales, now to get Tyler Roberts on to win it 🏴󠁧󠁢󠁷󠁬󠁳󠁿. 1-1 - playing with a belief you can win !! #Wal get in !!! Get Kiefer Moore in the premier league. FINALLY! Get in there! #WALSUI. Get Levitt on and go for the win.")</f>
        <v>Get in Wales, now to get Tyler Roberts on to win it 🏴󠁧󠁢󠁷󠁬󠁳󠁿. 1-1 - playing with a belief you can win !! #Wal get in !!! Get Kiefer Moore in the premier league. FINALLY! Get in there! #WALSUI. Get Levitt on and go for the win.</v>
      </c>
      <c r="G28" s="39" t="s">
        <v>14</v>
      </c>
      <c r="H28" s="40">
        <f>IFERROR(__xludf.DUMMYFUNCTION("""COMPUTED_VALUE"""),44359.619675925926)</f>
        <v>44359.61968</v>
      </c>
      <c r="I28" s="5" t="str">
        <f>IFERROR(__xludf.DUMMYFUNCTION("""COMPUTED_VALUE"""),"Danny Ward, what a player. Breel Embolo best player on the pitch for the Swiss and Danny Ward for Wales 🏴󠁧󠁢󠁷󠁬󠁳󠁿. Danny Ward is outstanding, sign Jim up someone he's too good to be a bench player. Danny Ward take a bow👏👏👏. Danny Ward take a bow. "&amp;"Some outstanding saves.")</f>
        <v>Danny Ward, what a player. Breel Embolo best player on the pitch for the Swiss and Danny Ward for Wales 🏴󠁧󠁢󠁷󠁬󠁳󠁿. Danny Ward is outstanding, sign Jim up someone he's too good to be a bench player. Danny Ward take a bow👏👏👏. Danny Ward take a bow. Some outstanding saves.</v>
      </c>
      <c r="J28" s="39" t="s">
        <v>16</v>
      </c>
      <c r="M28" s="5"/>
      <c r="P28" s="5"/>
      <c r="Q28" s="40">
        <f>IFERROR(__xludf.DUMMYFUNCTION("""COMPUTED_VALUE"""),44359.61678240741)</f>
        <v>44359.61678</v>
      </c>
      <c r="R28" s="5" t="str">
        <f>IFERROR(__xludf.DUMMYFUNCTION("""COMPUTED_VALUE"""),"VAR got that call was just a touch offside on that one... (85) - Gavranovic has the ball in the back of the net for Switzerland but VAR overturns it. #WALSUI.")</f>
        <v>VAR got that call was just a touch offside on that one... (85) - Gavranovic has the ball in the back of the net for Switzerland but VAR overturns it. #WALSUI.</v>
      </c>
      <c r="S28" s="39" t="s">
        <v>18</v>
      </c>
      <c r="V28" s="5"/>
      <c r="Y28" s="5"/>
      <c r="AB28" s="5"/>
      <c r="AE28" s="5"/>
      <c r="AH28" s="5"/>
      <c r="AK28" s="5"/>
      <c r="AL28" s="40"/>
      <c r="AM28" s="5"/>
      <c r="AN28" s="5"/>
      <c r="AO28" s="40"/>
      <c r="AP28" s="5"/>
      <c r="AQ28" s="5"/>
      <c r="AR28" s="40"/>
      <c r="AS28" s="5"/>
      <c r="AT28" s="5"/>
      <c r="AU28" s="40"/>
      <c r="AV28" s="5"/>
      <c r="AW28" s="5"/>
      <c r="AX28" s="40"/>
      <c r="AY28" s="5"/>
      <c r="AZ28" s="5"/>
      <c r="BA28" s="40"/>
      <c r="BB28" s="5"/>
      <c r="BC28" s="5"/>
      <c r="BD28" s="40"/>
      <c r="BE28" s="5"/>
      <c r="BF28" s="5"/>
      <c r="BG28" s="40"/>
      <c r="BH28" s="5"/>
      <c r="BI28" s="5"/>
      <c r="BJ28" s="40"/>
      <c r="BK28" s="5"/>
      <c r="BL28" s="5"/>
      <c r="BM28" s="40"/>
      <c r="BN28" s="5"/>
      <c r="BO28" s="5"/>
      <c r="BP28" s="40"/>
      <c r="BQ28" s="5"/>
      <c r="BR28" s="5"/>
      <c r="BS28" s="40"/>
      <c r="BT28" s="5"/>
      <c r="BU28" s="5"/>
      <c r="BV28" s="40"/>
      <c r="BW28" s="5"/>
      <c r="BX28" s="5"/>
      <c r="BY28" s="40"/>
      <c r="BZ28" s="5"/>
      <c r="CA28" s="5"/>
      <c r="CB28" s="40"/>
      <c r="CC28" s="5"/>
      <c r="CD28" s="5"/>
      <c r="CE28" s="40"/>
      <c r="CF28" s="5"/>
      <c r="CG28" s="5"/>
      <c r="CH28" s="40"/>
      <c r="CI28" s="5"/>
      <c r="CJ28" s="5"/>
      <c r="CK28" s="40"/>
      <c r="CL28" s="5"/>
      <c r="CM28" s="5"/>
      <c r="CN28" s="40"/>
      <c r="CO28" s="5"/>
      <c r="CP28" s="5"/>
      <c r="CQ28" s="40"/>
      <c r="CR28" s="5"/>
      <c r="CS28" s="5"/>
      <c r="CT28" s="5"/>
      <c r="CU28" s="5"/>
      <c r="CV28" s="5"/>
      <c r="CW28" s="5"/>
      <c r="CX28" s="5"/>
      <c r="CY28" s="5"/>
      <c r="CZ28" s="5"/>
      <c r="DA28" s="5"/>
      <c r="DB28" s="5"/>
      <c r="DC28" s="5"/>
      <c r="DD28" s="5"/>
      <c r="DE28" s="5"/>
      <c r="DF28" s="5"/>
    </row>
    <row r="29">
      <c r="A29" s="19" t="s">
        <v>51</v>
      </c>
      <c r="B29" s="19" t="s">
        <v>65</v>
      </c>
      <c r="C29" s="21">
        <v>45.0</v>
      </c>
      <c r="D29" s="35" t="b">
        <v>0</v>
      </c>
      <c r="E29" s="40">
        <f>IFERROR(__xludf.DUMMYFUNCTION("""COMPUTED_VALUE"""),44359.60996527778)</f>
        <v>44359.60997</v>
      </c>
      <c r="F29" s="5" t="str">
        <f>IFERROR(__xludf.DUMMYFUNCTION("""COMPUTED_VALUE"""),"Ben Davies isn’t a very good footballer. Now, we can we do everyone a favour and win this match pls 🥺 #wal. Ben Davies ruining football for me even when spurs aren’t playing😭🏴󠁧󠁢󠁷󠁬󠁳󠁿. Finally an equaliser by Moore for Wales. EURO 2020.")</f>
        <v>Ben Davies isn’t a very good footballer. Now, we can we do everyone a favour and win this match pls 🥺 #wal. Ben Davies ruining football for me even when spurs aren’t playing😭🏴󠁧󠁢󠁷󠁬󠁳󠁿. Finally an equaliser by Moore for Wales. EURO 2020.</v>
      </c>
      <c r="G29" s="39" t="s">
        <v>16</v>
      </c>
      <c r="H29" s="40">
        <f>IFERROR(__xludf.DUMMYFUNCTION("""COMPUTED_VALUE"""),44359.620729166665)</f>
        <v>44359.62073</v>
      </c>
      <c r="I29" s="5" t="str">
        <f>IFERROR(__xludf.DUMMYFUNCTION("""COMPUTED_VALUE"""),"Take a bow Aaron James Ramsey. Take Bale out... What a keeper Danny Ward is. Still hate Klopp for taking him back. This Welsh squad always take the piss with their team photos. #WAL 😂. WHY take Daniel James off. Craziest decision ever. Take THAT powerade"&amp;" cooler. Euro 2020.")</f>
        <v>Take a bow Aaron James Ramsey. Take Bale out... What a keeper Danny Ward is. Still hate Klopp for taking him back. This Welsh squad always take the piss with their team photos. #WAL 😂. WHY take Daniel James off. Craziest decision ever. Take THAT powerade cooler. Euro 2020.</v>
      </c>
      <c r="J29" s="39" t="s">
        <v>16</v>
      </c>
      <c r="M29" s="5"/>
      <c r="P29" s="5"/>
      <c r="Q29" s="40">
        <f>IFERROR(__xludf.DUMMYFUNCTION("""COMPUTED_VALUE"""),44359.61785879629)</f>
        <v>44359.61786</v>
      </c>
      <c r="R29" s="5" t="str">
        <f>IFERROR(__xludf.DUMMYFUNCTION("""COMPUTED_VALUE"""),"Why a DM with no ability on the ball so high up the pitch?? Zakaria should be deeper. Lol that ball was way too heavy from Embolo, could’ve put Zakaria through on goal. Tell you what, Zakaria ball distribution is fantastic. Love him at CDM.")</f>
        <v>Why a DM with no ability on the ball so high up the pitch?? Zakaria should be deeper. Lol that ball was way too heavy from Embolo, could’ve put Zakaria through on goal. Tell you what, Zakaria ball distribution is fantastic. Love him at CDM.</v>
      </c>
      <c r="S29" s="39" t="s">
        <v>18</v>
      </c>
      <c r="V29" s="5"/>
      <c r="Y29" s="5"/>
      <c r="AB29" s="5"/>
      <c r="AE29" s="5"/>
      <c r="AH29" s="5"/>
      <c r="AK29" s="5"/>
      <c r="AL29" s="40"/>
      <c r="AM29" s="5"/>
      <c r="AN29" s="5"/>
      <c r="AO29" s="40"/>
      <c r="AP29" s="5"/>
      <c r="AQ29" s="5"/>
      <c r="AR29" s="40"/>
      <c r="AS29" s="5"/>
      <c r="AT29" s="5"/>
      <c r="AU29" s="40"/>
      <c r="AV29" s="5"/>
      <c r="AW29" s="5"/>
      <c r="AX29" s="40"/>
      <c r="AY29" s="5"/>
      <c r="AZ29" s="5"/>
      <c r="BA29" s="40"/>
      <c r="BB29" s="5"/>
      <c r="BC29" s="5"/>
      <c r="BD29" s="40"/>
      <c r="BE29" s="5"/>
      <c r="BF29" s="5"/>
      <c r="BG29" s="40"/>
      <c r="BH29" s="5"/>
      <c r="BI29" s="5"/>
      <c r="BJ29" s="40"/>
      <c r="BK29" s="5"/>
      <c r="BL29" s="5"/>
      <c r="BM29" s="40"/>
      <c r="BN29" s="5"/>
      <c r="BO29" s="5"/>
      <c r="BP29" s="40"/>
      <c r="BQ29" s="5"/>
      <c r="BR29" s="5"/>
      <c r="BS29" s="40"/>
      <c r="BT29" s="5"/>
      <c r="BU29" s="5"/>
      <c r="BV29" s="40"/>
      <c r="BW29" s="5"/>
      <c r="BX29" s="5"/>
      <c r="BY29" s="40"/>
      <c r="BZ29" s="5"/>
      <c r="CA29" s="5"/>
      <c r="CB29" s="40"/>
      <c r="CC29" s="5"/>
      <c r="CD29" s="5"/>
      <c r="CE29" s="40"/>
      <c r="CF29" s="5"/>
      <c r="CG29" s="5"/>
      <c r="CH29" s="40"/>
      <c r="CI29" s="5"/>
      <c r="CJ29" s="5"/>
      <c r="CK29" s="40"/>
      <c r="CL29" s="5"/>
      <c r="CM29" s="5"/>
      <c r="CN29" s="40"/>
      <c r="CO29" s="5"/>
      <c r="CP29" s="5"/>
      <c r="CQ29" s="40"/>
      <c r="CR29" s="5"/>
      <c r="CS29" s="5"/>
      <c r="CT29" s="5"/>
      <c r="CU29" s="5"/>
      <c r="CV29" s="5"/>
      <c r="CW29" s="5"/>
      <c r="CX29" s="5"/>
      <c r="CY29" s="5"/>
      <c r="CZ29" s="5"/>
      <c r="DA29" s="5"/>
      <c r="DB29" s="5"/>
      <c r="DC29" s="5"/>
      <c r="DD29" s="5"/>
      <c r="DE29" s="5"/>
      <c r="DF29" s="5"/>
    </row>
    <row r="30">
      <c r="A30" s="19" t="s">
        <v>49</v>
      </c>
      <c r="B30" s="19" t="s">
        <v>342</v>
      </c>
      <c r="C30" s="21">
        <v>47.0</v>
      </c>
      <c r="D30" s="35" t="b">
        <v>1</v>
      </c>
      <c r="E30" s="40">
        <f>IFERROR(__xludf.DUMMYFUNCTION("""COMPUTED_VALUE"""),44359.61106481482)</f>
        <v>44359.61106</v>
      </c>
      <c r="F30" s="5" t="str">
        <f>IFERROR(__xludf.DUMMYFUNCTION("""COMPUTED_VALUE"""),"Ben Davies is a horrific footballer. Ben Davies is a shocking footballer. Ben Davies is honestly an embarrassment to football. Ben Davies very poor at football. No wonder Spurs haven't won anything 😂😂😂. Bloody hell Ben Davies' final product has been aw"&amp;"ful #WALSUI EURO 2020.")</f>
        <v>Ben Davies is a horrific footballer. Ben Davies is a shocking footballer. Ben Davies is honestly an embarrassment to football. Ben Davies very poor at football. No wonder Spurs haven't won anything 😂😂😂. Bloody hell Ben Davies' final product has been awful #WALSUI EURO 2020.</v>
      </c>
      <c r="G30" s="39" t="s">
        <v>16</v>
      </c>
      <c r="J30" s="5"/>
      <c r="M30" s="5"/>
      <c r="P30" s="5"/>
      <c r="Q30" s="40">
        <f>IFERROR(__xludf.DUMMYFUNCTION("""COMPUTED_VALUE"""),44359.622083333335)</f>
        <v>44359.62208</v>
      </c>
      <c r="R30" s="5" t="str">
        <f>IFERROR(__xludf.DUMMYFUNCTION("""COMPUTED_VALUE"""),"Balls To The Ward... #WALSUI. Considering That The 4 bests third Will pass The turn, It's a Good draw for both! Wales Switzerland. EURO 2020. Everyone buy Danny Ward a pint on June 21st pass it on.")</f>
        <v>Balls To The Ward... #WALSUI. Considering That The 4 bests third Will pass The turn, It's a Good draw for both! Wales Switzerland. EURO 2020. Everyone buy Danny Ward a pint on June 21st pass it on.</v>
      </c>
      <c r="S30" s="39" t="s">
        <v>17</v>
      </c>
      <c r="V30" s="5"/>
      <c r="Y30" s="5"/>
      <c r="AB30" s="5"/>
      <c r="AE30" s="5"/>
      <c r="AH30" s="5"/>
      <c r="AK30" s="5"/>
      <c r="AL30" s="40"/>
      <c r="AM30" s="5"/>
      <c r="AN30" s="5"/>
      <c r="AO30" s="40"/>
      <c r="AP30" s="5"/>
      <c r="AQ30" s="5"/>
      <c r="AR30" s="40"/>
      <c r="AS30" s="5"/>
      <c r="AT30" s="5"/>
      <c r="AU30" s="40"/>
      <c r="AV30" s="5"/>
      <c r="AW30" s="5"/>
      <c r="AX30" s="40"/>
      <c r="AY30" s="5"/>
      <c r="AZ30" s="5"/>
      <c r="BA30" s="40"/>
      <c r="BB30" s="5"/>
      <c r="BC30" s="5"/>
      <c r="BD30" s="40"/>
      <c r="BE30" s="5"/>
      <c r="BF30" s="5"/>
      <c r="BG30" s="40"/>
      <c r="BH30" s="5"/>
      <c r="BI30" s="5"/>
      <c r="BJ30" s="40"/>
      <c r="BK30" s="5"/>
      <c r="BL30" s="5"/>
      <c r="BM30" s="40"/>
      <c r="BN30" s="5"/>
      <c r="BO30" s="5"/>
      <c r="BP30" s="40"/>
      <c r="BQ30" s="5"/>
      <c r="BR30" s="5"/>
      <c r="BS30" s="40"/>
      <c r="BT30" s="5"/>
      <c r="BU30" s="5"/>
      <c r="BV30" s="40"/>
      <c r="BW30" s="5"/>
      <c r="BX30" s="5"/>
      <c r="BY30" s="40"/>
      <c r="BZ30" s="5"/>
      <c r="CA30" s="5"/>
      <c r="CB30" s="40"/>
      <c r="CC30" s="5"/>
      <c r="CD30" s="5"/>
      <c r="CE30" s="40"/>
      <c r="CF30" s="5"/>
      <c r="CG30" s="5"/>
      <c r="CH30" s="40"/>
      <c r="CI30" s="5"/>
      <c r="CJ30" s="5"/>
      <c r="CK30" s="40"/>
      <c r="CL30" s="5"/>
      <c r="CM30" s="5"/>
      <c r="CN30" s="40"/>
      <c r="CO30" s="5"/>
      <c r="CP30" s="5"/>
      <c r="CQ30" s="40"/>
      <c r="CR30" s="5"/>
      <c r="CS30" s="5"/>
      <c r="CT30" s="5"/>
      <c r="CU30" s="5"/>
      <c r="CV30" s="5"/>
      <c r="CW30" s="5"/>
      <c r="CX30" s="5"/>
      <c r="CY30" s="5"/>
      <c r="CZ30" s="5"/>
      <c r="DA30" s="5"/>
      <c r="DB30" s="5"/>
      <c r="DC30" s="5"/>
      <c r="DD30" s="5"/>
      <c r="DE30" s="5"/>
      <c r="DF30" s="5"/>
    </row>
    <row r="31">
      <c r="A31" s="19" t="s">
        <v>47</v>
      </c>
      <c r="B31" s="42" t="s">
        <v>343</v>
      </c>
      <c r="C31" s="21">
        <v>49.0</v>
      </c>
      <c r="D31" s="35" t="b">
        <v>1</v>
      </c>
      <c r="E31" s="40">
        <f>IFERROR(__xludf.DUMMYFUNCTION("""COMPUTED_VALUE"""),44359.612164351856)</f>
        <v>44359.61216</v>
      </c>
      <c r="F31" s="5" t="str">
        <f>IFERROR(__xludf.DUMMYFUNCTION("""COMPUTED_VALUE"""),"Can Wales please score one Moore to win the match. Brooks has a sick final ball. Wales are finally really trying to go for this win EURO 2020. Wales have finally woken up. EURO 2020.")</f>
        <v>Can Wales please score one Moore to win the match. Brooks has a sick final ball. Wales are finally really trying to go for this win EURO 2020. Wales have finally woken up. EURO 2020.</v>
      </c>
      <c r="G31" s="39" t="s">
        <v>18</v>
      </c>
      <c r="J31" s="5"/>
      <c r="M31" s="5"/>
      <c r="P31" s="5"/>
      <c r="S31" s="5"/>
      <c r="V31" s="5"/>
      <c r="Y31" s="5"/>
      <c r="AB31" s="5"/>
      <c r="AE31" s="5"/>
      <c r="AH31" s="5"/>
      <c r="AK31" s="5"/>
      <c r="AL31" s="40"/>
      <c r="AM31" s="5"/>
      <c r="AN31" s="5"/>
      <c r="AO31" s="40"/>
      <c r="AP31" s="5"/>
      <c r="AQ31" s="5"/>
      <c r="AR31" s="40"/>
      <c r="AS31" s="5"/>
      <c r="AT31" s="5"/>
      <c r="AU31" s="40"/>
      <c r="AV31" s="5"/>
      <c r="AW31" s="5"/>
      <c r="AX31" s="40"/>
      <c r="AY31" s="5"/>
      <c r="AZ31" s="5"/>
      <c r="BA31" s="40"/>
      <c r="BB31" s="5"/>
      <c r="BC31" s="5"/>
      <c r="BD31" s="40"/>
      <c r="BE31" s="5"/>
      <c r="BF31" s="5"/>
      <c r="BG31" s="40"/>
      <c r="BH31" s="5"/>
      <c r="BI31" s="5"/>
      <c r="BJ31" s="40"/>
      <c r="BK31" s="5"/>
      <c r="BL31" s="5"/>
      <c r="BM31" s="40"/>
      <c r="BN31" s="5"/>
      <c r="BO31" s="5"/>
      <c r="BP31" s="40"/>
      <c r="BQ31" s="5"/>
      <c r="BR31" s="5"/>
      <c r="BS31" s="40"/>
      <c r="BT31" s="5"/>
      <c r="BU31" s="5"/>
      <c r="BV31" s="40"/>
      <c r="BW31" s="5"/>
      <c r="BX31" s="5"/>
      <c r="BY31" s="40"/>
      <c r="BZ31" s="5"/>
      <c r="CA31" s="5"/>
      <c r="CB31" s="40"/>
      <c r="CC31" s="5"/>
      <c r="CD31" s="5"/>
      <c r="CE31" s="40"/>
      <c r="CF31" s="5"/>
      <c r="CG31" s="5"/>
      <c r="CH31" s="40"/>
      <c r="CI31" s="5"/>
      <c r="CJ31" s="5"/>
      <c r="CK31" s="40"/>
      <c r="CL31" s="5"/>
      <c r="CM31" s="5"/>
      <c r="CN31" s="40"/>
      <c r="CO31" s="5"/>
      <c r="CP31" s="5"/>
      <c r="CQ31" s="40"/>
      <c r="CR31" s="5"/>
      <c r="CS31" s="5"/>
      <c r="CT31" s="5"/>
      <c r="CU31" s="5"/>
      <c r="CV31" s="5"/>
      <c r="CW31" s="5"/>
      <c r="CX31" s="5"/>
      <c r="CY31" s="5"/>
      <c r="CZ31" s="5"/>
      <c r="DA31" s="5"/>
      <c r="DB31" s="5"/>
      <c r="DC31" s="5"/>
      <c r="DD31" s="5"/>
      <c r="DE31" s="5"/>
      <c r="DF31" s="5"/>
    </row>
    <row r="32">
      <c r="A32" s="19" t="s">
        <v>49</v>
      </c>
      <c r="B32" s="42" t="s">
        <v>344</v>
      </c>
      <c r="C32" s="21">
        <v>63.0</v>
      </c>
      <c r="D32" s="35" t="b">
        <v>1</v>
      </c>
      <c r="E32" s="40">
        <f>IFERROR(__xludf.DUMMYFUNCTION("""COMPUTED_VALUE"""),44359.61347222222)</f>
        <v>44359.61347</v>
      </c>
      <c r="F32" s="5" t="str">
        <f>IFERROR(__xludf.DUMMYFUNCTION("""COMPUTED_VALUE"""),"From non-league in 2017, to a goalscorer at the EUROs... Kieffer Moore, what a story 👏. EURO 2020 #WAL.")</f>
        <v>From non-league in 2017, to a goalscorer at the EUROs... Kieffer Moore, what a story 👏. EURO 2020 #WAL.</v>
      </c>
      <c r="G32" s="39" t="s">
        <v>18</v>
      </c>
      <c r="J32" s="5"/>
      <c r="M32" s="5"/>
      <c r="P32" s="5"/>
      <c r="S32" s="5"/>
      <c r="V32" s="5"/>
      <c r="Y32" s="5"/>
      <c r="AB32" s="5"/>
      <c r="AE32" s="5"/>
      <c r="AH32" s="5"/>
      <c r="AK32" s="5"/>
      <c r="AL32" s="40"/>
      <c r="AM32" s="5"/>
      <c r="AN32" s="5"/>
      <c r="AO32" s="40"/>
      <c r="AP32" s="5"/>
      <c r="AQ32" s="5"/>
      <c r="AR32" s="40"/>
      <c r="AS32" s="5"/>
      <c r="AT32" s="5"/>
      <c r="AU32" s="40"/>
      <c r="AV32" s="5"/>
      <c r="AW32" s="5"/>
      <c r="AX32" s="40"/>
      <c r="AY32" s="5"/>
      <c r="AZ32" s="5"/>
      <c r="BA32" s="40"/>
      <c r="BB32" s="5"/>
      <c r="BC32" s="5"/>
      <c r="BD32" s="40"/>
      <c r="BE32" s="5"/>
      <c r="BF32" s="5"/>
      <c r="BG32" s="40"/>
      <c r="BH32" s="5"/>
      <c r="BI32" s="5"/>
      <c r="BJ32" s="40"/>
      <c r="BK32" s="5"/>
      <c r="BL32" s="5"/>
      <c r="BM32" s="40"/>
      <c r="BN32" s="5"/>
      <c r="BO32" s="5"/>
      <c r="BP32" s="40"/>
      <c r="BQ32" s="5"/>
      <c r="BR32" s="5"/>
      <c r="BS32" s="40"/>
      <c r="BT32" s="5"/>
      <c r="BU32" s="5"/>
      <c r="BV32" s="40"/>
      <c r="BW32" s="5"/>
      <c r="BX32" s="5"/>
      <c r="BY32" s="40"/>
      <c r="BZ32" s="5"/>
      <c r="CA32" s="5"/>
      <c r="CB32" s="40"/>
      <c r="CC32" s="5"/>
      <c r="CD32" s="5"/>
      <c r="CE32" s="40"/>
      <c r="CF32" s="5"/>
      <c r="CG32" s="5"/>
      <c r="CH32" s="40"/>
      <c r="CI32" s="5"/>
      <c r="CJ32" s="5"/>
      <c r="CK32" s="40"/>
      <c r="CL32" s="5"/>
      <c r="CM32" s="5"/>
      <c r="CN32" s="40"/>
      <c r="CO32" s="5"/>
      <c r="CP32" s="5"/>
      <c r="CQ32" s="40"/>
      <c r="CR32" s="5"/>
      <c r="CS32" s="5"/>
      <c r="CT32" s="5"/>
      <c r="CU32" s="5"/>
      <c r="CV32" s="5"/>
      <c r="CW32" s="5"/>
      <c r="CX32" s="5"/>
      <c r="CY32" s="5"/>
      <c r="CZ32" s="5"/>
      <c r="DA32" s="5"/>
      <c r="DB32" s="5"/>
      <c r="DC32" s="5"/>
      <c r="DD32" s="5"/>
      <c r="DE32" s="5"/>
      <c r="DF32" s="5"/>
    </row>
    <row r="33">
      <c r="A33" s="19" t="s">
        <v>53</v>
      </c>
      <c r="B33" s="42" t="s">
        <v>345</v>
      </c>
      <c r="C33" s="21">
        <v>66.0</v>
      </c>
      <c r="D33" s="35" t="b">
        <v>1</v>
      </c>
      <c r="E33" s="40">
        <f>IFERROR(__xludf.DUMMYFUNCTION("""COMPUTED_VALUE"""),44359.616388888884)</f>
        <v>44359.61639</v>
      </c>
      <c r="F33" s="5" t="str">
        <f>IFERROR(__xludf.DUMMYFUNCTION("""COMPUTED_VALUE"""),"Well done VAR! Finally it works! EURO 2020. I am actually wanting Wales to win (or at least draw) but inspire of that I hate VAR! We really need to get rid of it! #VAR EURO 2020. If Bale scores in the final minutes, I win peas. International Football Tour"&amp;"naments. Euro 2020.")</f>
        <v>Well done VAR! Finally it works! EURO 2020. I am actually wanting Wales to win (or at least draw) but inspire of that I hate VAR! We really need to get rid of it! #VAR EURO 2020. If Bale scores in the final minutes, I win peas. International Football Tournaments. Euro 2020.</v>
      </c>
      <c r="G33" s="39" t="s">
        <v>15</v>
      </c>
      <c r="J33" s="5"/>
      <c r="M33" s="5"/>
      <c r="P33" s="5"/>
      <c r="S33" s="5"/>
      <c r="V33" s="5"/>
      <c r="Y33" s="5"/>
      <c r="AB33" s="5"/>
      <c r="AE33" s="5"/>
      <c r="AH33" s="5"/>
      <c r="AK33" s="5"/>
      <c r="AL33" s="40"/>
      <c r="AM33" s="5"/>
      <c r="AN33" s="5"/>
      <c r="AO33" s="40"/>
      <c r="AP33" s="5"/>
      <c r="AQ33" s="5"/>
      <c r="AR33" s="40"/>
      <c r="AS33" s="5"/>
      <c r="AT33" s="5"/>
      <c r="AU33" s="40"/>
      <c r="AV33" s="5"/>
      <c r="AW33" s="5"/>
      <c r="AX33" s="40"/>
      <c r="AY33" s="5"/>
      <c r="AZ33" s="5"/>
      <c r="BA33" s="40"/>
      <c r="BB33" s="5"/>
      <c r="BC33" s="5"/>
      <c r="BD33" s="40"/>
      <c r="BE33" s="5"/>
      <c r="BF33" s="5"/>
      <c r="BG33" s="40"/>
      <c r="BH33" s="5"/>
      <c r="BI33" s="5"/>
      <c r="BJ33" s="40"/>
      <c r="BK33" s="5"/>
      <c r="BL33" s="5"/>
      <c r="BM33" s="40"/>
      <c r="BN33" s="5"/>
      <c r="BO33" s="5"/>
      <c r="BP33" s="40"/>
      <c r="BQ33" s="5"/>
      <c r="BR33" s="5"/>
      <c r="BS33" s="40"/>
      <c r="BT33" s="5"/>
      <c r="BU33" s="5"/>
      <c r="BV33" s="40"/>
      <c r="BW33" s="5"/>
      <c r="BX33" s="5"/>
      <c r="BY33" s="40"/>
      <c r="BZ33" s="5"/>
      <c r="CA33" s="5"/>
      <c r="CB33" s="40"/>
      <c r="CC33" s="5"/>
      <c r="CD33" s="5"/>
      <c r="CE33" s="40"/>
      <c r="CF33" s="5"/>
      <c r="CG33" s="5"/>
      <c r="CH33" s="40"/>
      <c r="CI33" s="5"/>
      <c r="CJ33" s="5"/>
      <c r="CK33" s="40"/>
      <c r="CL33" s="5"/>
      <c r="CM33" s="5"/>
      <c r="CN33" s="40"/>
      <c r="CO33" s="5"/>
      <c r="CP33" s="5"/>
      <c r="CQ33" s="40"/>
      <c r="CR33" s="5"/>
      <c r="CS33" s="5"/>
      <c r="CT33" s="5"/>
      <c r="CU33" s="5"/>
      <c r="CV33" s="5"/>
      <c r="CW33" s="5"/>
      <c r="CX33" s="5"/>
      <c r="CY33" s="5"/>
      <c r="CZ33" s="5"/>
      <c r="DA33" s="5"/>
      <c r="DB33" s="5"/>
      <c r="DC33" s="5"/>
      <c r="DD33" s="5"/>
      <c r="DE33" s="5"/>
      <c r="DF33" s="5"/>
    </row>
    <row r="34">
      <c r="A34" s="19" t="s">
        <v>47</v>
      </c>
      <c r="B34" s="42" t="s">
        <v>342</v>
      </c>
      <c r="C34" s="21">
        <v>74.0</v>
      </c>
      <c r="D34" s="35" t="b">
        <v>1</v>
      </c>
      <c r="E34" s="40">
        <f>IFERROR(__xludf.DUMMYFUNCTION("""COMPUTED_VALUE"""),44359.6181712963)</f>
        <v>44359.61817</v>
      </c>
      <c r="F34" s="5" t="str">
        <f>IFERROR(__xludf.DUMMYFUNCTION("""COMPUTED_VALUE"""),"Superb performance from Breel Embolo. Premier League transfer links surely incoming. Fair play there, should of been 4-1! Not gonna win much playing like that but fair play EURO 2020. Kieffer Moore was playing in the Vanarama National League during the la"&amp;"st Euros….")</f>
        <v>Superb performance from Breel Embolo. Premier League transfer links surely incoming. Fair play there, should of been 4-1! Not gonna win much playing like that but fair play EURO 2020. Kieffer Moore was playing in the Vanarama National League during the last Euros….</v>
      </c>
      <c r="G34" s="39" t="s">
        <v>18</v>
      </c>
      <c r="J34" s="5"/>
      <c r="M34" s="5"/>
      <c r="P34" s="5"/>
      <c r="S34" s="5"/>
      <c r="V34" s="5"/>
      <c r="Y34" s="5"/>
      <c r="AB34" s="5"/>
      <c r="AE34" s="5"/>
      <c r="AH34" s="5"/>
      <c r="AK34" s="5"/>
      <c r="AL34" s="40"/>
      <c r="AM34" s="5"/>
      <c r="AN34" s="5"/>
      <c r="AO34" s="40"/>
      <c r="AP34" s="5"/>
      <c r="AQ34" s="5"/>
      <c r="AR34" s="40"/>
      <c r="AS34" s="5"/>
      <c r="AT34" s="5"/>
      <c r="AU34" s="40"/>
      <c r="AV34" s="5"/>
      <c r="AW34" s="5"/>
      <c r="AX34" s="40"/>
      <c r="AY34" s="5"/>
      <c r="AZ34" s="5"/>
      <c r="BA34" s="40"/>
      <c r="BB34" s="5"/>
      <c r="BC34" s="5"/>
      <c r="BD34" s="40"/>
      <c r="BE34" s="5"/>
      <c r="BF34" s="5"/>
      <c r="BG34" s="40"/>
      <c r="BH34" s="5"/>
      <c r="BI34" s="5"/>
      <c r="BJ34" s="40"/>
      <c r="BK34" s="5"/>
      <c r="BL34" s="5"/>
      <c r="BM34" s="40"/>
      <c r="BN34" s="5"/>
      <c r="BO34" s="5"/>
      <c r="BP34" s="40"/>
      <c r="BQ34" s="5"/>
      <c r="BR34" s="5"/>
      <c r="BS34" s="40"/>
      <c r="BT34" s="5"/>
      <c r="BU34" s="5"/>
      <c r="BV34" s="40"/>
      <c r="BW34" s="5"/>
      <c r="BX34" s="5"/>
      <c r="BY34" s="40"/>
      <c r="BZ34" s="5"/>
      <c r="CA34" s="5"/>
      <c r="CB34" s="40"/>
      <c r="CC34" s="5"/>
      <c r="CD34" s="5"/>
      <c r="CE34" s="40"/>
      <c r="CF34" s="5"/>
      <c r="CG34" s="5"/>
      <c r="CH34" s="40"/>
      <c r="CI34" s="5"/>
      <c r="CJ34" s="5"/>
      <c r="CK34" s="40"/>
      <c r="CL34" s="5"/>
      <c r="CM34" s="5"/>
      <c r="CN34" s="40"/>
      <c r="CO34" s="5"/>
      <c r="CP34" s="5"/>
      <c r="CQ34" s="40"/>
      <c r="CR34" s="5"/>
      <c r="CS34" s="5"/>
      <c r="CT34" s="5"/>
      <c r="CU34" s="5"/>
      <c r="CV34" s="5"/>
      <c r="CW34" s="5"/>
      <c r="CX34" s="5"/>
      <c r="CY34" s="5"/>
      <c r="CZ34" s="5"/>
      <c r="DA34" s="5"/>
      <c r="DB34" s="5"/>
      <c r="DC34" s="5"/>
      <c r="DD34" s="5"/>
      <c r="DE34" s="5"/>
      <c r="DF34" s="5"/>
    </row>
    <row r="35">
      <c r="A35" s="19" t="s">
        <v>53</v>
      </c>
      <c r="B35" s="42" t="s">
        <v>346</v>
      </c>
      <c r="C35" s="21">
        <v>75.0</v>
      </c>
      <c r="D35" s="35" t="b">
        <v>1</v>
      </c>
      <c r="E35" s="40">
        <f>IFERROR(__xludf.DUMMYFUNCTION("""COMPUTED_VALUE"""),44359.61934027778)</f>
        <v>44359.61934</v>
      </c>
      <c r="F35" s="5" t="str">
        <f>IFERROR(__xludf.DUMMYFUNCTION("""COMPUTED_VALUE"""),"From non-league in 2017, to a goalscorer at the EUROs... Kieffer Moore, what a story. EURO 2020. #sui deserves to win this. Celtic Football Club im not saying sign danny ward but... This took a while but its finally alive #WALSWI EURO 2020.")</f>
        <v>From non-league in 2017, to a goalscorer at the EUROs... Kieffer Moore, what a story. EURO 2020. #sui deserves to win this. Celtic Football Club im not saying sign danny ward but... This took a while but its finally alive #WALSWI EURO 2020.</v>
      </c>
      <c r="G35" s="39" t="s">
        <v>14</v>
      </c>
      <c r="J35" s="5"/>
      <c r="M35" s="5"/>
      <c r="P35" s="5"/>
      <c r="S35" s="5"/>
      <c r="V35" s="5"/>
      <c r="Y35" s="5"/>
      <c r="AB35" s="5"/>
      <c r="AE35" s="5"/>
      <c r="AH35" s="5"/>
      <c r="AK35" s="5"/>
      <c r="AL35" s="40"/>
      <c r="AM35" s="5"/>
      <c r="AN35" s="5"/>
      <c r="AO35" s="40"/>
      <c r="AP35" s="5"/>
      <c r="AQ35" s="5"/>
      <c r="AR35" s="40"/>
      <c r="AS35" s="5"/>
      <c r="AT35" s="5"/>
      <c r="AU35" s="40"/>
      <c r="AV35" s="5"/>
      <c r="AW35" s="5"/>
      <c r="AX35" s="40"/>
      <c r="AY35" s="5"/>
      <c r="AZ35" s="5"/>
      <c r="BA35" s="40"/>
      <c r="BB35" s="5"/>
      <c r="BC35" s="5"/>
      <c r="BD35" s="40"/>
      <c r="BE35" s="5"/>
      <c r="BF35" s="5"/>
      <c r="BG35" s="40"/>
      <c r="BH35" s="5"/>
      <c r="BI35" s="5"/>
      <c r="BJ35" s="40"/>
      <c r="BK35" s="5"/>
      <c r="BL35" s="5"/>
      <c r="BM35" s="40"/>
      <c r="BN35" s="5"/>
      <c r="BO35" s="5"/>
      <c r="BP35" s="40"/>
      <c r="BQ35" s="5"/>
      <c r="BR35" s="5"/>
      <c r="BS35" s="40"/>
      <c r="BT35" s="5"/>
      <c r="BU35" s="5"/>
      <c r="BV35" s="40"/>
      <c r="BW35" s="5"/>
      <c r="BX35" s="5"/>
      <c r="BY35" s="40"/>
      <c r="BZ35" s="5"/>
      <c r="CA35" s="5"/>
      <c r="CB35" s="40"/>
      <c r="CC35" s="5"/>
      <c r="CD35" s="5"/>
      <c r="CE35" s="40"/>
      <c r="CF35" s="5"/>
      <c r="CG35" s="5"/>
      <c r="CH35" s="40"/>
      <c r="CI35" s="5"/>
      <c r="CJ35" s="5"/>
      <c r="CK35" s="40"/>
      <c r="CL35" s="5"/>
      <c r="CM35" s="5"/>
      <c r="CN35" s="40"/>
      <c r="CO35" s="5"/>
      <c r="CP35" s="5"/>
      <c r="CQ35" s="40"/>
      <c r="CR35" s="5"/>
      <c r="CS35" s="5"/>
      <c r="CT35" s="5"/>
      <c r="CU35" s="5"/>
      <c r="CV35" s="5"/>
      <c r="CW35" s="5"/>
      <c r="CX35" s="5"/>
      <c r="CY35" s="5"/>
      <c r="CZ35" s="5"/>
      <c r="DA35" s="5"/>
      <c r="DB35" s="5"/>
      <c r="DC35" s="5"/>
      <c r="DD35" s="5"/>
      <c r="DE35" s="5"/>
      <c r="DF35" s="5"/>
    </row>
    <row r="36">
      <c r="A36" s="19" t="s">
        <v>53</v>
      </c>
      <c r="B36" s="42" t="s">
        <v>347</v>
      </c>
      <c r="C36" s="21">
        <v>84.0</v>
      </c>
      <c r="D36" s="35" t="b">
        <v>0</v>
      </c>
      <c r="E36" s="40">
        <f>IFERROR(__xludf.DUMMYFUNCTION("""COMPUTED_VALUE"""),44359.62065972222)</f>
        <v>44359.62066</v>
      </c>
      <c r="F36" s="5" t="str">
        <f>IFERROR(__xludf.DUMMYFUNCTION("""COMPUTED_VALUE"""),"Danny ward has been exceptional today. but Switzerland should be winning. #WALSUI Gavranovic would be a class player if there was no offside rule in football. The 25% of Swiss in me is screaming for a winning goal #SUI. Wife ""How long is the Football on "&amp;"for?"" Me... EURO 2020.")</f>
        <v>Danny ward has been exceptional today. but Switzerland should be winning. #WALSUI Gavranovic would be a class player if there was no offside rule in football. The 25% of Swiss in me is screaming for a winning goal #SUI. Wife "How long is the Football on for?" Me... EURO 2020.</v>
      </c>
      <c r="G36" s="39" t="s">
        <v>18</v>
      </c>
      <c r="J36" s="5"/>
      <c r="M36" s="5"/>
      <c r="P36" s="5"/>
      <c r="S36" s="5"/>
      <c r="V36" s="5"/>
      <c r="Y36" s="5"/>
      <c r="AB36" s="5"/>
      <c r="AE36" s="5"/>
      <c r="AH36" s="5"/>
      <c r="AK36" s="5"/>
      <c r="AL36" s="40"/>
      <c r="AM36" s="5"/>
      <c r="AN36" s="5"/>
      <c r="AO36" s="40"/>
      <c r="AP36" s="5"/>
      <c r="AQ36" s="5"/>
      <c r="AR36" s="40"/>
      <c r="AS36" s="5"/>
      <c r="AT36" s="5"/>
      <c r="AU36" s="40"/>
      <c r="AV36" s="5"/>
      <c r="AW36" s="5"/>
      <c r="AX36" s="40"/>
      <c r="AY36" s="5"/>
      <c r="AZ36" s="5"/>
      <c r="BA36" s="40"/>
      <c r="BB36" s="5"/>
      <c r="BC36" s="5"/>
      <c r="BD36" s="40"/>
      <c r="BE36" s="5"/>
      <c r="BF36" s="5"/>
      <c r="BG36" s="40"/>
      <c r="BH36" s="5"/>
      <c r="BI36" s="5"/>
      <c r="BJ36" s="40"/>
      <c r="BK36" s="5"/>
      <c r="BL36" s="5"/>
      <c r="BM36" s="40"/>
      <c r="BN36" s="5"/>
      <c r="BO36" s="5"/>
      <c r="BP36" s="40"/>
      <c r="BQ36" s="5"/>
      <c r="BR36" s="5"/>
      <c r="BS36" s="40"/>
      <c r="BT36" s="5"/>
      <c r="BU36" s="5"/>
      <c r="BV36" s="40"/>
      <c r="BW36" s="5"/>
      <c r="BX36" s="5"/>
      <c r="BY36" s="40"/>
      <c r="BZ36" s="5"/>
      <c r="CA36" s="5"/>
      <c r="CB36" s="40"/>
      <c r="CC36" s="5"/>
      <c r="CD36" s="5"/>
      <c r="CE36" s="40"/>
      <c r="CF36" s="5"/>
      <c r="CG36" s="5"/>
      <c r="CH36" s="40"/>
      <c r="CI36" s="5"/>
      <c r="CJ36" s="5"/>
      <c r="CK36" s="40"/>
      <c r="CL36" s="5"/>
      <c r="CM36" s="5"/>
      <c r="CN36" s="40"/>
      <c r="CO36" s="5"/>
      <c r="CP36" s="5"/>
      <c r="CQ36" s="40"/>
      <c r="CR36" s="5"/>
      <c r="CS36" s="5"/>
      <c r="CT36" s="5"/>
      <c r="CU36" s="5"/>
      <c r="CV36" s="5"/>
      <c r="CW36" s="5"/>
      <c r="CX36" s="5"/>
      <c r="CY36" s="5"/>
      <c r="CZ36" s="5"/>
      <c r="DA36" s="5"/>
      <c r="DB36" s="5"/>
      <c r="DC36" s="5"/>
      <c r="DD36" s="5"/>
      <c r="DE36" s="5"/>
      <c r="DF36" s="5"/>
    </row>
    <row r="37">
      <c r="A37" s="19" t="s">
        <v>47</v>
      </c>
      <c r="B37" s="42" t="s">
        <v>348</v>
      </c>
      <c r="C37" s="21">
        <v>85.0</v>
      </c>
      <c r="D37" s="35" t="b">
        <v>1</v>
      </c>
      <c r="E37" s="40">
        <f>IFERROR(__xludf.DUMMYFUNCTION("""COMPUTED_VALUE"""),44359.62211805556)</f>
        <v>44359.62212</v>
      </c>
      <c r="F37" s="5" t="str">
        <f>IFERROR(__xludf.DUMMYFUNCTION("""COMPUTED_VALUE"""),"90 minutes of Gareth Bale going missing in a key game of football. Even though it's a draw this was a win for Wales #walsui. What a terrible game of football #WAL #SUI. Danny Ward hasn't played a league game since 2017. He's produced a masterclass for Wal"&amp;"es at Euro 2020! 🏴󠁧󠁢󠁷󠁬󠁳󠁿.")</f>
        <v>90 minutes of Gareth Bale going missing in a key game of football. Even though it's a draw this was a win for Wales #walsui. What a terrible game of football #WAL #SUI. Danny Ward hasn't played a league game since 2017. He's produced a masterclass for Wales at Euro 2020! 🏴󠁧󠁢󠁷󠁬󠁳󠁿.</v>
      </c>
      <c r="G37" s="39" t="s">
        <v>17</v>
      </c>
      <c r="J37" s="5"/>
      <c r="M37" s="5"/>
      <c r="P37" s="5"/>
      <c r="S37" s="5"/>
      <c r="V37" s="5"/>
      <c r="Y37" s="5"/>
      <c r="AB37" s="5"/>
      <c r="AE37" s="5"/>
      <c r="AH37" s="5"/>
      <c r="AK37" s="5"/>
      <c r="AL37" s="40"/>
      <c r="AM37" s="5"/>
      <c r="AN37" s="5"/>
      <c r="AO37" s="40"/>
      <c r="AP37" s="5"/>
      <c r="AQ37" s="5"/>
      <c r="AR37" s="40"/>
      <c r="AS37" s="5"/>
      <c r="AT37" s="5"/>
      <c r="AU37" s="40"/>
      <c r="AV37" s="5"/>
      <c r="AW37" s="5"/>
      <c r="AX37" s="40"/>
      <c r="AY37" s="5"/>
      <c r="AZ37" s="5"/>
      <c r="BA37" s="40"/>
      <c r="BB37" s="5"/>
      <c r="BC37" s="5"/>
      <c r="BD37" s="40"/>
      <c r="BE37" s="5"/>
      <c r="BF37" s="5"/>
      <c r="BG37" s="40"/>
      <c r="BH37" s="5"/>
      <c r="BI37" s="5"/>
      <c r="BJ37" s="40"/>
      <c r="BK37" s="5"/>
      <c r="BL37" s="5"/>
      <c r="BM37" s="40"/>
      <c r="BN37" s="5"/>
      <c r="BO37" s="5"/>
      <c r="BP37" s="40"/>
      <c r="BQ37" s="5"/>
      <c r="BR37" s="5"/>
      <c r="BS37" s="40"/>
      <c r="BT37" s="5"/>
      <c r="BU37" s="5"/>
      <c r="BV37" s="40"/>
      <c r="BW37" s="5"/>
      <c r="BX37" s="5"/>
      <c r="BY37" s="40"/>
      <c r="BZ37" s="5"/>
      <c r="CA37" s="5"/>
      <c r="CB37" s="40"/>
      <c r="CC37" s="5"/>
      <c r="CD37" s="5"/>
      <c r="CE37" s="40"/>
      <c r="CF37" s="5"/>
      <c r="CG37" s="5"/>
      <c r="CH37" s="40"/>
      <c r="CI37" s="5"/>
      <c r="CJ37" s="5"/>
      <c r="CK37" s="40"/>
      <c r="CL37" s="5"/>
      <c r="CM37" s="5"/>
      <c r="CN37" s="40"/>
      <c r="CO37" s="5"/>
      <c r="CP37" s="5"/>
      <c r="CQ37" s="40"/>
      <c r="CR37" s="5"/>
      <c r="CS37" s="5"/>
      <c r="CT37" s="5"/>
      <c r="CU37" s="5"/>
      <c r="CV37" s="5"/>
      <c r="CW37" s="5"/>
      <c r="CX37" s="5"/>
      <c r="CY37" s="5"/>
      <c r="CZ37" s="5"/>
      <c r="DA37" s="5"/>
      <c r="DB37" s="5"/>
      <c r="DC37" s="5"/>
      <c r="DD37" s="5"/>
      <c r="DE37" s="5"/>
      <c r="DF37" s="5"/>
    </row>
    <row r="38">
      <c r="A38" s="19" t="s">
        <v>53</v>
      </c>
      <c r="B38" s="42" t="s">
        <v>349</v>
      </c>
      <c r="C38" s="21">
        <v>93.0</v>
      </c>
      <c r="D38" s="35" t="b">
        <v>1</v>
      </c>
      <c r="E38" s="40">
        <f>IFERROR(__xludf.DUMMYFUNCTION("""COMPUTED_VALUE"""),44359.623506944445)</f>
        <v>44359.62351</v>
      </c>
      <c r="F38" s="5" t="str">
        <f>IFERROR(__xludf.DUMMYFUNCTION("""COMPUTED_VALUE"""),"Danny ward has been no.1 for a long time, glad roberto page finally stuck to his guns. what a display. Kieffer Moore was playing in the Vanarama National League during the last Euros…. Final. #WAL 1-1 #SUI. Final preparations ahead of #WALSUI ✅ EURO 2020.")</f>
        <v>Danny ward has been no.1 for a long time, glad roberto page finally stuck to his guns. what a display. Kieffer Moore was playing in the Vanarama National League during the last Euros…. Final. #WAL 1-1 #SUI. Final preparations ahead of #WALSUI ✅ EURO 2020.</v>
      </c>
      <c r="G38" s="5"/>
      <c r="J38" s="5"/>
      <c r="M38" s="5"/>
      <c r="P38" s="5"/>
      <c r="S38" s="5"/>
      <c r="V38" s="5"/>
      <c r="Y38" s="5"/>
      <c r="AB38" s="5"/>
      <c r="AE38" s="5"/>
      <c r="AH38" s="5"/>
      <c r="AK38" s="5"/>
      <c r="AL38" s="40"/>
      <c r="AM38" s="5"/>
      <c r="AN38" s="5"/>
      <c r="AO38" s="40"/>
      <c r="AP38" s="5"/>
      <c r="AQ38" s="5"/>
      <c r="AR38" s="40"/>
      <c r="AS38" s="5"/>
      <c r="AT38" s="5"/>
      <c r="AU38" s="40"/>
      <c r="AV38" s="5"/>
      <c r="AW38" s="5"/>
      <c r="AX38" s="40"/>
      <c r="AY38" s="5"/>
      <c r="AZ38" s="5"/>
      <c r="BA38" s="40"/>
      <c r="BB38" s="5"/>
      <c r="BC38" s="5"/>
      <c r="BD38" s="40"/>
      <c r="BE38" s="5"/>
      <c r="BF38" s="5"/>
      <c r="BG38" s="40"/>
      <c r="BH38" s="5"/>
      <c r="BI38" s="5"/>
      <c r="BJ38" s="40"/>
      <c r="BK38" s="5"/>
      <c r="BL38" s="5"/>
      <c r="BM38" s="40"/>
      <c r="BN38" s="5"/>
      <c r="BO38" s="5"/>
      <c r="BP38" s="40"/>
      <c r="BQ38" s="5"/>
      <c r="BR38" s="5"/>
      <c r="BS38" s="40"/>
      <c r="BT38" s="5"/>
      <c r="BU38" s="5"/>
      <c r="BV38" s="40"/>
      <c r="BW38" s="5"/>
      <c r="BX38" s="5"/>
      <c r="BY38" s="40"/>
      <c r="BZ38" s="5"/>
      <c r="CA38" s="5"/>
      <c r="CB38" s="40"/>
      <c r="CC38" s="5"/>
      <c r="CD38" s="5"/>
      <c r="CE38" s="40"/>
      <c r="CF38" s="5"/>
      <c r="CG38" s="5"/>
      <c r="CH38" s="40"/>
      <c r="CI38" s="5"/>
      <c r="CJ38" s="5"/>
      <c r="CK38" s="40"/>
      <c r="CL38" s="5"/>
      <c r="CM38" s="5"/>
      <c r="CN38" s="40"/>
      <c r="CO38" s="5"/>
      <c r="CP38" s="5"/>
      <c r="CQ38" s="40"/>
      <c r="CR38" s="5"/>
      <c r="CS38" s="5"/>
      <c r="CT38" s="5"/>
      <c r="CU38" s="5"/>
      <c r="CV38" s="5"/>
      <c r="CW38" s="5"/>
      <c r="CX38" s="5"/>
      <c r="CY38" s="5"/>
      <c r="CZ38" s="5"/>
      <c r="DA38" s="5"/>
      <c r="DB38" s="5"/>
      <c r="DC38" s="5"/>
      <c r="DD38" s="5"/>
      <c r="DE38" s="5"/>
      <c r="DF38" s="5"/>
    </row>
    <row r="39">
      <c r="A39" s="19" t="s">
        <v>51</v>
      </c>
      <c r="B39" s="42" t="s">
        <v>74</v>
      </c>
      <c r="C39" s="21">
        <v>90.0</v>
      </c>
      <c r="D39" s="35" t="b">
        <v>1</v>
      </c>
      <c r="G39" s="5"/>
      <c r="J39" s="5"/>
      <c r="M39" s="5"/>
      <c r="P39" s="5"/>
      <c r="S39" s="5"/>
      <c r="V39" s="5"/>
      <c r="Y39" s="5"/>
      <c r="AB39" s="5"/>
      <c r="AE39" s="5"/>
      <c r="AH39" s="5"/>
      <c r="AK39" s="5"/>
      <c r="AL39" s="40"/>
      <c r="AM39" s="5"/>
      <c r="AN39" s="5"/>
      <c r="AO39" s="40"/>
      <c r="AP39" s="5"/>
      <c r="AQ39" s="5"/>
      <c r="AR39" s="40"/>
      <c r="AS39" s="5"/>
      <c r="AT39" s="5"/>
      <c r="AU39" s="40"/>
      <c r="AV39" s="5"/>
      <c r="AW39" s="5"/>
      <c r="AX39" s="40"/>
      <c r="AY39" s="5"/>
      <c r="AZ39" s="5"/>
      <c r="BA39" s="40"/>
      <c r="BB39" s="5"/>
      <c r="BC39" s="5"/>
      <c r="BD39" s="40"/>
      <c r="BE39" s="5"/>
      <c r="BF39" s="5"/>
      <c r="BG39" s="40"/>
      <c r="BH39" s="5"/>
      <c r="BI39" s="5"/>
      <c r="BJ39" s="40"/>
      <c r="BK39" s="5"/>
      <c r="BL39" s="5"/>
      <c r="BM39" s="40"/>
      <c r="BN39" s="5"/>
      <c r="BO39" s="5"/>
      <c r="BP39" s="40"/>
      <c r="BQ39" s="5"/>
      <c r="BR39" s="5"/>
      <c r="BS39" s="40"/>
      <c r="BT39" s="5"/>
      <c r="BU39" s="5"/>
      <c r="BV39" s="40"/>
      <c r="BW39" s="5"/>
      <c r="BX39" s="5"/>
      <c r="BY39" s="40"/>
      <c r="BZ39" s="5"/>
      <c r="CA39" s="5"/>
      <c r="CB39" s="40"/>
      <c r="CC39" s="5"/>
      <c r="CD39" s="5"/>
      <c r="CE39" s="40"/>
      <c r="CF39" s="5"/>
      <c r="CG39" s="5"/>
      <c r="CH39" s="40"/>
      <c r="CI39" s="5"/>
      <c r="CJ39" s="5"/>
      <c r="CK39" s="40"/>
      <c r="CL39" s="5"/>
      <c r="CM39" s="5"/>
      <c r="CN39" s="40"/>
      <c r="CO39" s="5"/>
      <c r="CP39" s="5"/>
      <c r="CQ39" s="40"/>
      <c r="CR39" s="5"/>
      <c r="CS39" s="5"/>
      <c r="CT39" s="5"/>
      <c r="CU39" s="5"/>
      <c r="CV39" s="5"/>
      <c r="CW39" s="5"/>
      <c r="CX39" s="5"/>
      <c r="CY39" s="5"/>
      <c r="CZ39" s="5"/>
      <c r="DA39" s="5"/>
      <c r="DB39" s="5"/>
      <c r="DC39" s="5"/>
      <c r="DD39" s="5"/>
      <c r="DE39" s="5"/>
      <c r="DF39" s="5"/>
    </row>
    <row r="40">
      <c r="A40" s="19"/>
      <c r="B40" s="42"/>
      <c r="C40" s="21"/>
      <c r="D40" s="35"/>
      <c r="G40" s="5"/>
      <c r="J40" s="5"/>
      <c r="M40" s="5"/>
      <c r="P40" s="5"/>
      <c r="S40" s="5"/>
      <c r="V40" s="5"/>
      <c r="Y40" s="5"/>
      <c r="AB40" s="5"/>
      <c r="AE40" s="5"/>
      <c r="AH40" s="5"/>
      <c r="AK40" s="5"/>
      <c r="AL40" s="40"/>
      <c r="AM40" s="5"/>
      <c r="AN40" s="5"/>
      <c r="AO40" s="40"/>
      <c r="AP40" s="5"/>
      <c r="AQ40" s="5"/>
      <c r="AR40" s="40"/>
      <c r="AS40" s="5"/>
      <c r="AT40" s="5"/>
      <c r="AU40" s="40"/>
      <c r="AV40" s="5"/>
      <c r="AW40" s="5"/>
      <c r="AX40" s="40"/>
      <c r="AY40" s="5"/>
      <c r="AZ40" s="5"/>
      <c r="BA40" s="40"/>
      <c r="BB40" s="5"/>
      <c r="BC40" s="5"/>
      <c r="BD40" s="40"/>
      <c r="BE40" s="5"/>
      <c r="BF40" s="5"/>
      <c r="BG40" s="40"/>
      <c r="BH40" s="5"/>
      <c r="BI40" s="5"/>
      <c r="BJ40" s="40"/>
      <c r="BK40" s="5"/>
      <c r="BL40" s="5"/>
      <c r="BM40" s="40"/>
      <c r="BN40" s="5"/>
      <c r="BO40" s="5"/>
      <c r="BP40" s="40"/>
      <c r="BQ40" s="5"/>
      <c r="BR40" s="5"/>
      <c r="BS40" s="40"/>
      <c r="BT40" s="5"/>
      <c r="BU40" s="5"/>
      <c r="BV40" s="40"/>
      <c r="BW40" s="5"/>
      <c r="BX40" s="5"/>
      <c r="BY40" s="40"/>
      <c r="BZ40" s="5"/>
      <c r="CA40" s="5"/>
      <c r="CB40" s="40"/>
      <c r="CC40" s="5"/>
      <c r="CD40" s="5"/>
      <c r="CE40" s="40"/>
      <c r="CF40" s="5"/>
      <c r="CG40" s="5"/>
      <c r="CH40" s="40"/>
      <c r="CI40" s="5"/>
      <c r="CJ40" s="5"/>
      <c r="CK40" s="40"/>
      <c r="CL40" s="5"/>
      <c r="CM40" s="5"/>
      <c r="CN40" s="40"/>
      <c r="CO40" s="5"/>
      <c r="CP40" s="5"/>
      <c r="CQ40" s="40"/>
      <c r="CR40" s="5"/>
      <c r="CS40" s="5"/>
      <c r="CT40" s="5"/>
      <c r="CU40" s="5"/>
      <c r="CV40" s="5"/>
      <c r="CW40" s="5"/>
      <c r="CX40" s="5"/>
      <c r="CY40" s="5"/>
      <c r="CZ40" s="5"/>
      <c r="DA40" s="5"/>
      <c r="DB40" s="5"/>
      <c r="DC40" s="5"/>
      <c r="DD40" s="5"/>
      <c r="DE40" s="5"/>
      <c r="DF40" s="5"/>
    </row>
    <row r="41">
      <c r="G41" s="5"/>
      <c r="J41" s="5"/>
      <c r="M41" s="5"/>
      <c r="P41" s="5"/>
      <c r="S41" s="5"/>
      <c r="V41" s="5"/>
      <c r="Y41" s="5"/>
      <c r="AB41" s="5"/>
      <c r="AE41" s="5"/>
      <c r="AH41" s="5"/>
      <c r="AK41" s="5"/>
      <c r="AL41" s="40"/>
      <c r="AM41" s="5"/>
      <c r="AN41" s="5"/>
      <c r="AO41" s="40"/>
      <c r="AP41" s="5"/>
      <c r="AQ41" s="5"/>
      <c r="AR41" s="40"/>
      <c r="AS41" s="5"/>
      <c r="AT41" s="5"/>
      <c r="AU41" s="40"/>
      <c r="AV41" s="5"/>
      <c r="AW41" s="5"/>
      <c r="AX41" s="40"/>
      <c r="AY41" s="5"/>
      <c r="AZ41" s="5"/>
      <c r="BA41" s="40"/>
      <c r="BB41" s="5"/>
      <c r="BC41" s="5"/>
      <c r="BD41" s="40"/>
      <c r="BE41" s="5"/>
      <c r="BF41" s="5"/>
      <c r="BG41" s="40"/>
      <c r="BH41" s="5"/>
      <c r="BI41" s="5"/>
      <c r="BJ41" s="40"/>
      <c r="BK41" s="5"/>
      <c r="BL41" s="5"/>
      <c r="BM41" s="40"/>
      <c r="BN41" s="5"/>
      <c r="BO41" s="5"/>
      <c r="BP41" s="40"/>
      <c r="BQ41" s="5"/>
      <c r="BR41" s="5"/>
      <c r="BS41" s="40"/>
      <c r="BT41" s="5"/>
      <c r="BU41" s="5"/>
      <c r="BV41" s="40"/>
      <c r="BW41" s="5"/>
      <c r="BX41" s="5"/>
      <c r="BY41" s="40"/>
      <c r="BZ41" s="5"/>
      <c r="CA41" s="5"/>
      <c r="CB41" s="40"/>
      <c r="CC41" s="5"/>
      <c r="CD41" s="5"/>
      <c r="CE41" s="40"/>
      <c r="CF41" s="5"/>
      <c r="CG41" s="5"/>
      <c r="CH41" s="40"/>
      <c r="CI41" s="5"/>
      <c r="CJ41" s="5"/>
      <c r="CK41" s="40"/>
      <c r="CL41" s="5"/>
      <c r="CM41" s="5"/>
      <c r="CN41" s="40"/>
      <c r="CO41" s="5"/>
      <c r="CP41" s="5"/>
      <c r="CQ41" s="40"/>
      <c r="CR41" s="5"/>
      <c r="CS41" s="5"/>
      <c r="CT41" s="5"/>
      <c r="CU41" s="5"/>
      <c r="CV41" s="5"/>
      <c r="CW41" s="5"/>
      <c r="CX41" s="5"/>
      <c r="CY41" s="5"/>
      <c r="CZ41" s="5"/>
      <c r="DA41" s="5"/>
      <c r="DB41" s="5"/>
      <c r="DC41" s="5"/>
      <c r="DD41" s="5"/>
      <c r="DE41" s="5"/>
      <c r="DF41" s="5"/>
    </row>
    <row r="42">
      <c r="G42" s="5"/>
      <c r="J42" s="5"/>
      <c r="M42" s="5"/>
      <c r="P42" s="5"/>
      <c r="S42" s="5"/>
      <c r="V42" s="5"/>
      <c r="Y42" s="5"/>
      <c r="AB42" s="5"/>
      <c r="AE42" s="5"/>
      <c r="AH42" s="5"/>
      <c r="AK42" s="5"/>
      <c r="AL42" s="40"/>
      <c r="AM42" s="5"/>
      <c r="AN42" s="5"/>
      <c r="AO42" s="40"/>
      <c r="AP42" s="5"/>
      <c r="AQ42" s="5"/>
      <c r="AR42" s="40"/>
      <c r="AS42" s="5"/>
      <c r="AT42" s="5"/>
      <c r="AU42" s="40"/>
      <c r="AV42" s="5"/>
      <c r="AW42" s="5"/>
      <c r="AX42" s="40"/>
      <c r="AY42" s="5"/>
      <c r="AZ42" s="5"/>
      <c r="BA42" s="40"/>
      <c r="BB42" s="5"/>
      <c r="BC42" s="5"/>
      <c r="BD42" s="40"/>
      <c r="BE42" s="5"/>
      <c r="BF42" s="5"/>
      <c r="BG42" s="40"/>
      <c r="BH42" s="5"/>
      <c r="BI42" s="5"/>
      <c r="BJ42" s="40"/>
      <c r="BK42" s="5"/>
      <c r="BL42" s="5"/>
      <c r="BM42" s="40"/>
      <c r="BN42" s="5"/>
      <c r="BO42" s="5"/>
      <c r="BP42" s="40"/>
      <c r="BQ42" s="5"/>
      <c r="BR42" s="5"/>
      <c r="BS42" s="40"/>
      <c r="BT42" s="5"/>
      <c r="BU42" s="5"/>
      <c r="BV42" s="40"/>
      <c r="BW42" s="5"/>
      <c r="BX42" s="5"/>
      <c r="BY42" s="40"/>
      <c r="BZ42" s="5"/>
      <c r="CA42" s="5"/>
      <c r="CB42" s="40"/>
      <c r="CC42" s="5"/>
      <c r="CD42" s="5"/>
      <c r="CE42" s="40"/>
      <c r="CF42" s="5"/>
      <c r="CG42" s="5"/>
      <c r="CH42" s="40"/>
      <c r="CI42" s="5"/>
      <c r="CJ42" s="5"/>
      <c r="CK42" s="40"/>
      <c r="CL42" s="5"/>
      <c r="CM42" s="5"/>
      <c r="CN42" s="40"/>
      <c r="CO42" s="5"/>
      <c r="CP42" s="5"/>
      <c r="CQ42" s="40"/>
      <c r="CR42" s="5"/>
      <c r="CS42" s="5"/>
      <c r="CT42" s="5"/>
      <c r="CU42" s="5"/>
      <c r="CV42" s="5"/>
      <c r="CW42" s="5"/>
      <c r="CX42" s="5"/>
      <c r="CY42" s="5"/>
      <c r="CZ42" s="5"/>
      <c r="DA42" s="5"/>
      <c r="DB42" s="5"/>
      <c r="DC42" s="5"/>
      <c r="DD42" s="5"/>
      <c r="DE42" s="5"/>
      <c r="DF42" s="5"/>
    </row>
    <row r="43">
      <c r="G43" s="5"/>
      <c r="J43" s="5"/>
      <c r="M43" s="5"/>
      <c r="P43" s="5"/>
      <c r="S43" s="5"/>
      <c r="V43" s="5"/>
      <c r="Y43" s="5"/>
      <c r="AB43" s="5"/>
      <c r="AE43" s="5"/>
      <c r="AH43" s="5"/>
      <c r="AK43" s="5"/>
      <c r="AL43" s="40"/>
      <c r="AM43" s="5"/>
      <c r="AN43" s="5"/>
      <c r="AO43" s="40"/>
      <c r="AP43" s="5"/>
      <c r="AQ43" s="5"/>
      <c r="AR43" s="40"/>
      <c r="AS43" s="5"/>
      <c r="AT43" s="5"/>
      <c r="AU43" s="40"/>
      <c r="AV43" s="5"/>
      <c r="AW43" s="5"/>
      <c r="AX43" s="40"/>
      <c r="AY43" s="5"/>
      <c r="AZ43" s="5"/>
      <c r="BA43" s="40"/>
      <c r="BB43" s="5"/>
      <c r="BC43" s="5"/>
      <c r="BD43" s="40"/>
      <c r="BE43" s="5"/>
      <c r="BF43" s="5"/>
      <c r="BG43" s="40"/>
      <c r="BH43" s="5"/>
      <c r="BI43" s="5"/>
      <c r="BJ43" s="40"/>
      <c r="BK43" s="5"/>
      <c r="BL43" s="5"/>
      <c r="BM43" s="40"/>
      <c r="BN43" s="5"/>
      <c r="BO43" s="5"/>
      <c r="BP43" s="40"/>
      <c r="BQ43" s="5"/>
      <c r="BR43" s="5"/>
      <c r="BS43" s="40"/>
      <c r="BT43" s="5"/>
      <c r="BU43" s="5"/>
      <c r="BV43" s="40"/>
      <c r="BW43" s="5"/>
      <c r="BX43" s="5"/>
      <c r="BY43" s="40"/>
      <c r="BZ43" s="5"/>
      <c r="CA43" s="5"/>
      <c r="CB43" s="40"/>
      <c r="CC43" s="5"/>
      <c r="CD43" s="5"/>
      <c r="CE43" s="40"/>
      <c r="CF43" s="5"/>
      <c r="CG43" s="5"/>
      <c r="CH43" s="40"/>
      <c r="CI43" s="5"/>
      <c r="CJ43" s="5"/>
      <c r="CK43" s="40"/>
      <c r="CL43" s="5"/>
      <c r="CM43" s="5"/>
      <c r="CN43" s="40"/>
      <c r="CO43" s="5"/>
      <c r="CP43" s="5"/>
      <c r="CQ43" s="40"/>
      <c r="CR43" s="5"/>
      <c r="CS43" s="5"/>
      <c r="CT43" s="5"/>
      <c r="CU43" s="5"/>
      <c r="CV43" s="5"/>
      <c r="CW43" s="5"/>
      <c r="CX43" s="5"/>
      <c r="CY43" s="5"/>
      <c r="CZ43" s="5"/>
      <c r="DA43" s="5"/>
      <c r="DB43" s="5"/>
      <c r="DC43" s="5"/>
      <c r="DD43" s="5"/>
      <c r="DE43" s="5"/>
      <c r="DF43" s="5"/>
    </row>
    <row r="44">
      <c r="G44" s="5"/>
      <c r="J44" s="5"/>
      <c r="M44" s="5"/>
      <c r="P44" s="5"/>
      <c r="S44" s="5"/>
      <c r="V44" s="5"/>
      <c r="Y44" s="5"/>
      <c r="AB44" s="5"/>
      <c r="AE44" s="5"/>
      <c r="AH44" s="5"/>
      <c r="AK44" s="5"/>
      <c r="AL44" s="40"/>
      <c r="AM44" s="5"/>
      <c r="AN44" s="5"/>
      <c r="AO44" s="40"/>
      <c r="AP44" s="5"/>
      <c r="AQ44" s="5"/>
      <c r="AR44" s="40"/>
      <c r="AS44" s="5"/>
      <c r="AT44" s="5"/>
      <c r="AU44" s="40"/>
      <c r="AV44" s="5"/>
      <c r="AW44" s="5"/>
      <c r="AX44" s="40"/>
      <c r="AY44" s="5"/>
      <c r="AZ44" s="5"/>
      <c r="BA44" s="40"/>
      <c r="BB44" s="5"/>
      <c r="BC44" s="5"/>
      <c r="BD44" s="40"/>
      <c r="BE44" s="5"/>
      <c r="BF44" s="5"/>
      <c r="BG44" s="40"/>
      <c r="BH44" s="5"/>
      <c r="BI44" s="5"/>
      <c r="BJ44" s="40"/>
      <c r="BK44" s="5"/>
      <c r="BL44" s="5"/>
      <c r="BM44" s="40"/>
      <c r="BN44" s="5"/>
      <c r="BO44" s="5"/>
      <c r="BP44" s="40"/>
      <c r="BQ44" s="5"/>
      <c r="BR44" s="5"/>
      <c r="BS44" s="40"/>
      <c r="BT44" s="5"/>
      <c r="BU44" s="5"/>
      <c r="BV44" s="40"/>
      <c r="BW44" s="5"/>
      <c r="BX44" s="5"/>
      <c r="BY44" s="40"/>
      <c r="BZ44" s="5"/>
      <c r="CA44" s="5"/>
      <c r="CB44" s="40"/>
      <c r="CC44" s="5"/>
      <c r="CD44" s="5"/>
      <c r="CE44" s="40"/>
      <c r="CF44" s="5"/>
      <c r="CG44" s="5"/>
      <c r="CH44" s="40"/>
      <c r="CI44" s="5"/>
      <c r="CJ44" s="5"/>
      <c r="CK44" s="40"/>
      <c r="CL44" s="5"/>
      <c r="CM44" s="5"/>
      <c r="CN44" s="40"/>
      <c r="CO44" s="5"/>
      <c r="CP44" s="5"/>
      <c r="CQ44" s="40"/>
      <c r="CR44" s="5"/>
      <c r="CS44" s="5"/>
      <c r="CT44" s="5"/>
      <c r="CU44" s="5"/>
      <c r="CV44" s="5"/>
      <c r="CW44" s="5"/>
      <c r="CX44" s="5"/>
      <c r="CY44" s="5"/>
      <c r="CZ44" s="5"/>
      <c r="DA44" s="5"/>
      <c r="DB44" s="5"/>
      <c r="DC44" s="5"/>
      <c r="DD44" s="5"/>
      <c r="DE44" s="5"/>
      <c r="DF44" s="5"/>
    </row>
    <row r="45">
      <c r="A45" s="36"/>
      <c r="D45" s="19"/>
      <c r="G45" s="5"/>
      <c r="J45" s="5"/>
      <c r="M45" s="5"/>
      <c r="P45" s="5"/>
      <c r="S45" s="5"/>
      <c r="V45" s="5"/>
      <c r="Y45" s="5"/>
      <c r="AB45" s="5"/>
      <c r="AE45" s="5"/>
      <c r="AH45" s="5"/>
      <c r="AK45" s="5"/>
      <c r="AL45" s="40"/>
      <c r="AM45" s="5"/>
      <c r="AN45" s="5"/>
      <c r="AO45" s="40"/>
      <c r="AP45" s="5"/>
      <c r="AQ45" s="5"/>
      <c r="AR45" s="40"/>
      <c r="AS45" s="5"/>
      <c r="AT45" s="5"/>
      <c r="AU45" s="40"/>
      <c r="AV45" s="5"/>
      <c r="AW45" s="5"/>
      <c r="AX45" s="40"/>
      <c r="AY45" s="5"/>
      <c r="AZ45" s="5"/>
      <c r="BA45" s="40"/>
      <c r="BB45" s="5"/>
      <c r="BC45" s="5"/>
      <c r="BD45" s="40"/>
      <c r="BE45" s="5"/>
      <c r="BF45" s="5"/>
      <c r="BG45" s="40"/>
      <c r="BH45" s="5"/>
      <c r="BI45" s="5"/>
      <c r="BJ45" s="40"/>
      <c r="BK45" s="5"/>
      <c r="BL45" s="5"/>
      <c r="BM45" s="40"/>
      <c r="BN45" s="5"/>
      <c r="BO45" s="5"/>
      <c r="BP45" s="40"/>
      <c r="BQ45" s="5"/>
      <c r="BR45" s="5"/>
      <c r="BS45" s="40"/>
      <c r="BT45" s="5"/>
      <c r="BU45" s="5"/>
      <c r="BV45" s="40"/>
      <c r="BW45" s="5"/>
      <c r="BX45" s="5"/>
      <c r="BY45" s="40"/>
      <c r="BZ45" s="5"/>
      <c r="CA45" s="5"/>
      <c r="CB45" s="40"/>
      <c r="CC45" s="5"/>
      <c r="CD45" s="5"/>
      <c r="CE45" s="40"/>
      <c r="CF45" s="5"/>
      <c r="CG45" s="5"/>
      <c r="CH45" s="40"/>
      <c r="CI45" s="5"/>
      <c r="CJ45" s="5"/>
      <c r="CK45" s="40"/>
      <c r="CL45" s="5"/>
      <c r="CM45" s="5"/>
      <c r="CN45" s="40"/>
      <c r="CO45" s="5"/>
      <c r="CP45" s="5"/>
      <c r="CQ45" s="40"/>
      <c r="CR45" s="5"/>
      <c r="CS45" s="5"/>
      <c r="CT45" s="5"/>
      <c r="CU45" s="5"/>
      <c r="CV45" s="5"/>
      <c r="CW45" s="5"/>
      <c r="CX45" s="5"/>
      <c r="CY45" s="5"/>
      <c r="CZ45" s="5"/>
      <c r="DA45" s="5"/>
      <c r="DB45" s="5"/>
      <c r="DC45" s="5"/>
      <c r="DD45" s="5"/>
      <c r="DE45" s="5"/>
      <c r="DF45" s="5"/>
    </row>
    <row r="46">
      <c r="B46" s="36"/>
      <c r="C46" s="26"/>
      <c r="D46" s="19"/>
      <c r="G46" s="5"/>
      <c r="J46" s="5"/>
      <c r="M46" s="5"/>
      <c r="P46" s="5"/>
      <c r="S46" s="5"/>
      <c r="V46" s="5"/>
      <c r="Y46" s="5"/>
      <c r="AB46" s="5"/>
      <c r="AE46" s="5"/>
      <c r="AH46" s="5"/>
      <c r="AK46" s="5"/>
      <c r="AL46" s="40"/>
      <c r="AM46" s="5"/>
      <c r="AN46" s="5"/>
      <c r="AO46" s="40"/>
      <c r="AP46" s="5"/>
      <c r="AQ46" s="5"/>
      <c r="AR46" s="40"/>
      <c r="AS46" s="5"/>
      <c r="AT46" s="5"/>
      <c r="AU46" s="40"/>
      <c r="AV46" s="5"/>
      <c r="AW46" s="5"/>
      <c r="AX46" s="40"/>
      <c r="AY46" s="5"/>
      <c r="AZ46" s="5"/>
      <c r="BA46" s="40"/>
      <c r="BB46" s="5"/>
      <c r="BC46" s="5"/>
      <c r="BD46" s="40"/>
      <c r="BE46" s="5"/>
      <c r="BF46" s="5"/>
      <c r="BG46" s="40"/>
      <c r="BH46" s="5"/>
      <c r="BI46" s="5"/>
      <c r="BJ46" s="40"/>
      <c r="BK46" s="5"/>
      <c r="BL46" s="5"/>
      <c r="BM46" s="40"/>
      <c r="BN46" s="5"/>
      <c r="BO46" s="5"/>
      <c r="BP46" s="40"/>
      <c r="BQ46" s="5"/>
      <c r="BR46" s="5"/>
      <c r="BS46" s="40"/>
      <c r="BT46" s="5"/>
      <c r="BU46" s="5"/>
      <c r="BV46" s="40"/>
      <c r="BW46" s="5"/>
      <c r="BX46" s="5"/>
      <c r="BY46" s="40"/>
      <c r="BZ46" s="5"/>
      <c r="CA46" s="5"/>
      <c r="CB46" s="40"/>
      <c r="CC46" s="5"/>
      <c r="CD46" s="5"/>
      <c r="CE46" s="40"/>
      <c r="CF46" s="5"/>
      <c r="CG46" s="5"/>
      <c r="CH46" s="40"/>
      <c r="CI46" s="5"/>
      <c r="CJ46" s="5"/>
      <c r="CK46" s="40"/>
      <c r="CL46" s="5"/>
      <c r="CM46" s="5"/>
      <c r="CN46" s="40"/>
      <c r="CO46" s="5"/>
      <c r="CP46" s="5"/>
      <c r="CQ46" s="40"/>
      <c r="CR46" s="5"/>
      <c r="CS46" s="5"/>
      <c r="CT46" s="5"/>
      <c r="CU46" s="5"/>
      <c r="CV46" s="5"/>
      <c r="CW46" s="5"/>
      <c r="CX46" s="5"/>
      <c r="CY46" s="5"/>
      <c r="CZ46" s="5"/>
      <c r="DA46" s="5"/>
      <c r="DB46" s="5"/>
      <c r="DC46" s="5"/>
      <c r="DD46" s="5"/>
      <c r="DE46" s="5"/>
      <c r="DF46" s="5"/>
    </row>
    <row r="47">
      <c r="A47" s="37"/>
      <c r="B47" s="36"/>
      <c r="C47" s="36"/>
      <c r="D47" s="19"/>
      <c r="G47" s="5"/>
      <c r="J47" s="5"/>
      <c r="M47" s="5"/>
      <c r="P47" s="5"/>
      <c r="S47" s="5"/>
      <c r="V47" s="5"/>
      <c r="Y47" s="5"/>
      <c r="AB47" s="5"/>
      <c r="AE47" s="5"/>
      <c r="AH47" s="5"/>
      <c r="AK47" s="5"/>
      <c r="AL47" s="40"/>
      <c r="AM47" s="5"/>
      <c r="AN47" s="5"/>
      <c r="AO47" s="40"/>
      <c r="AP47" s="5"/>
      <c r="AQ47" s="5"/>
      <c r="AR47" s="40"/>
      <c r="AS47" s="5"/>
      <c r="AT47" s="5"/>
      <c r="AU47" s="40"/>
      <c r="AV47" s="5"/>
      <c r="AW47" s="5"/>
      <c r="AX47" s="40"/>
      <c r="AY47" s="5"/>
      <c r="AZ47" s="5"/>
      <c r="BA47" s="40"/>
      <c r="BB47" s="5"/>
      <c r="BC47" s="5"/>
      <c r="BD47" s="40"/>
      <c r="BE47" s="5"/>
      <c r="BF47" s="5"/>
      <c r="BG47" s="40"/>
      <c r="BH47" s="5"/>
      <c r="BI47" s="5"/>
      <c r="BJ47" s="40"/>
      <c r="BK47" s="5"/>
      <c r="BL47" s="5"/>
      <c r="BM47" s="40"/>
      <c r="BN47" s="5"/>
      <c r="BO47" s="5"/>
      <c r="BP47" s="40"/>
      <c r="BQ47" s="5"/>
      <c r="BR47" s="5"/>
      <c r="BS47" s="40"/>
      <c r="BT47" s="5"/>
      <c r="BU47" s="5"/>
      <c r="BV47" s="40"/>
      <c r="BW47" s="5"/>
      <c r="BX47" s="5"/>
      <c r="BY47" s="40"/>
      <c r="BZ47" s="5"/>
      <c r="CA47" s="5"/>
      <c r="CB47" s="40"/>
      <c r="CC47" s="5"/>
      <c r="CD47" s="5"/>
      <c r="CE47" s="40"/>
      <c r="CF47" s="5"/>
      <c r="CG47" s="5"/>
      <c r="CH47" s="40"/>
      <c r="CI47" s="5"/>
      <c r="CJ47" s="5"/>
      <c r="CK47" s="40"/>
      <c r="CL47" s="5"/>
      <c r="CM47" s="5"/>
      <c r="CN47" s="40"/>
      <c r="CO47" s="5"/>
      <c r="CP47" s="5"/>
      <c r="CQ47" s="40"/>
      <c r="CR47" s="5"/>
      <c r="CS47" s="5"/>
      <c r="CT47" s="5"/>
      <c r="CU47" s="5"/>
      <c r="CV47" s="5"/>
      <c r="CW47" s="5"/>
      <c r="CX47" s="5"/>
      <c r="CY47" s="5"/>
      <c r="CZ47" s="5"/>
      <c r="DA47" s="5"/>
      <c r="DB47" s="5"/>
      <c r="DC47" s="5"/>
      <c r="DD47" s="5"/>
      <c r="DE47" s="5"/>
      <c r="DF47" s="5"/>
    </row>
    <row r="48">
      <c r="A48" s="19"/>
      <c r="B48" s="26"/>
      <c r="C48" s="21"/>
      <c r="D48" s="19"/>
      <c r="G48" s="5"/>
      <c r="J48" s="5"/>
      <c r="M48" s="5"/>
      <c r="P48" s="5"/>
      <c r="S48" s="5"/>
      <c r="V48" s="5"/>
      <c r="Y48" s="5"/>
      <c r="AB48" s="5"/>
      <c r="AE48" s="5"/>
      <c r="AH48" s="5"/>
      <c r="AK48" s="5"/>
      <c r="AL48" s="40"/>
      <c r="AM48" s="5"/>
      <c r="AN48" s="5"/>
      <c r="AO48" s="40"/>
      <c r="AP48" s="5"/>
      <c r="AQ48" s="5"/>
      <c r="AR48" s="40"/>
      <c r="AS48" s="5"/>
      <c r="AT48" s="5"/>
      <c r="AU48" s="40"/>
      <c r="AV48" s="5"/>
      <c r="AW48" s="5"/>
      <c r="AX48" s="40"/>
      <c r="AY48" s="5"/>
      <c r="AZ48" s="5"/>
      <c r="BA48" s="40"/>
      <c r="BB48" s="5"/>
      <c r="BC48" s="5"/>
      <c r="BD48" s="40"/>
      <c r="BE48" s="5"/>
      <c r="BF48" s="5"/>
      <c r="BG48" s="40"/>
      <c r="BH48" s="5"/>
      <c r="BI48" s="5"/>
      <c r="BJ48" s="40"/>
      <c r="BK48" s="5"/>
      <c r="BL48" s="5"/>
      <c r="BM48" s="40"/>
      <c r="BN48" s="5"/>
      <c r="BO48" s="5"/>
      <c r="BP48" s="40"/>
      <c r="BQ48" s="5"/>
      <c r="BR48" s="5"/>
      <c r="BS48" s="40"/>
      <c r="BT48" s="5"/>
      <c r="BU48" s="5"/>
      <c r="BV48" s="40"/>
      <c r="BW48" s="5"/>
      <c r="BX48" s="5"/>
      <c r="BY48" s="40"/>
      <c r="BZ48" s="5"/>
      <c r="CA48" s="5"/>
      <c r="CB48" s="40"/>
      <c r="CC48" s="5"/>
      <c r="CD48" s="5"/>
      <c r="CE48" s="40"/>
      <c r="CF48" s="5"/>
      <c r="CG48" s="5"/>
      <c r="CH48" s="40"/>
      <c r="CI48" s="5"/>
      <c r="CJ48" s="5"/>
      <c r="CK48" s="40"/>
      <c r="CL48" s="5"/>
      <c r="CM48" s="5"/>
      <c r="CN48" s="40"/>
      <c r="CO48" s="5"/>
      <c r="CP48" s="5"/>
      <c r="CQ48" s="40"/>
      <c r="CR48" s="5"/>
      <c r="CS48" s="5"/>
      <c r="CT48" s="5"/>
      <c r="CU48" s="5"/>
      <c r="CV48" s="5"/>
      <c r="CW48" s="5"/>
      <c r="CX48" s="5"/>
      <c r="CY48" s="5"/>
      <c r="CZ48" s="5"/>
      <c r="DA48" s="5"/>
      <c r="DB48" s="5"/>
      <c r="DC48" s="5"/>
      <c r="DD48" s="5"/>
      <c r="DE48" s="5"/>
      <c r="DF48" s="5"/>
    </row>
    <row r="49">
      <c r="A49" s="19"/>
      <c r="B49" s="26"/>
      <c r="C49" s="21"/>
      <c r="D49" s="19"/>
      <c r="G49" s="5"/>
      <c r="J49" s="5"/>
      <c r="M49" s="5"/>
      <c r="P49" s="5"/>
      <c r="S49" s="5"/>
      <c r="V49" s="5"/>
      <c r="Y49" s="5"/>
      <c r="AB49" s="5"/>
      <c r="AE49" s="5"/>
      <c r="AH49" s="5"/>
      <c r="AK49" s="5"/>
      <c r="AL49" s="40"/>
      <c r="AM49" s="5"/>
      <c r="AN49" s="5"/>
      <c r="AO49" s="40"/>
      <c r="AP49" s="5"/>
      <c r="AQ49" s="5"/>
      <c r="AR49" s="40"/>
      <c r="AS49" s="5"/>
      <c r="AT49" s="5"/>
      <c r="AU49" s="40"/>
      <c r="AV49" s="5"/>
      <c r="AW49" s="5"/>
      <c r="AX49" s="40"/>
      <c r="AY49" s="5"/>
      <c r="AZ49" s="5"/>
      <c r="BA49" s="40"/>
      <c r="BB49" s="5"/>
      <c r="BC49" s="5"/>
      <c r="BD49" s="40"/>
      <c r="BE49" s="5"/>
      <c r="BF49" s="5"/>
      <c r="BG49" s="40"/>
      <c r="BH49" s="5"/>
      <c r="BI49" s="5"/>
      <c r="BJ49" s="40"/>
      <c r="BK49" s="5"/>
      <c r="BL49" s="5"/>
      <c r="BM49" s="40"/>
      <c r="BN49" s="5"/>
      <c r="BO49" s="5"/>
      <c r="BP49" s="40"/>
      <c r="BQ49" s="5"/>
      <c r="BR49" s="5"/>
      <c r="BS49" s="40"/>
      <c r="BT49" s="5"/>
      <c r="BU49" s="5"/>
      <c r="BV49" s="40"/>
      <c r="BW49" s="5"/>
      <c r="BX49" s="5"/>
      <c r="BY49" s="40"/>
      <c r="BZ49" s="5"/>
      <c r="CA49" s="5"/>
      <c r="CB49" s="40"/>
      <c r="CC49" s="5"/>
      <c r="CD49" s="5"/>
      <c r="CE49" s="40"/>
      <c r="CF49" s="5"/>
      <c r="CG49" s="5"/>
      <c r="CH49" s="40"/>
      <c r="CI49" s="5"/>
      <c r="CJ49" s="5"/>
      <c r="CK49" s="40"/>
      <c r="CL49" s="5"/>
      <c r="CM49" s="5"/>
      <c r="CN49" s="40"/>
      <c r="CO49" s="5"/>
      <c r="CP49" s="5"/>
      <c r="CQ49" s="40"/>
      <c r="CR49" s="5"/>
      <c r="CS49" s="5"/>
      <c r="CT49" s="5"/>
      <c r="CU49" s="5"/>
      <c r="CV49" s="5"/>
      <c r="CW49" s="5"/>
      <c r="CX49" s="5"/>
      <c r="CY49" s="5"/>
      <c r="CZ49" s="5"/>
      <c r="DA49" s="5"/>
      <c r="DB49" s="5"/>
      <c r="DC49" s="5"/>
      <c r="DD49" s="5"/>
      <c r="DE49" s="5"/>
      <c r="DF49" s="5"/>
    </row>
    <row r="50">
      <c r="A50" s="19"/>
      <c r="B50" s="26"/>
      <c r="C50" s="21"/>
      <c r="D50" s="19"/>
      <c r="G50" s="5"/>
      <c r="J50" s="5"/>
      <c r="M50" s="5"/>
      <c r="P50" s="5"/>
      <c r="S50" s="5"/>
      <c r="V50" s="5"/>
      <c r="Y50" s="5"/>
      <c r="AB50" s="5"/>
      <c r="AE50" s="5"/>
      <c r="AH50" s="5"/>
      <c r="AK50" s="5"/>
      <c r="AL50" s="40"/>
      <c r="AM50" s="5"/>
      <c r="AN50" s="5"/>
      <c r="AO50" s="40"/>
      <c r="AP50" s="5"/>
      <c r="AQ50" s="5"/>
      <c r="AR50" s="40"/>
      <c r="AS50" s="5"/>
      <c r="AT50" s="5"/>
      <c r="AU50" s="40"/>
      <c r="AV50" s="5"/>
      <c r="AW50" s="5"/>
      <c r="AX50" s="40"/>
      <c r="AY50" s="5"/>
      <c r="AZ50" s="5"/>
      <c r="BA50" s="40"/>
      <c r="BB50" s="5"/>
      <c r="BC50" s="5"/>
      <c r="BD50" s="40"/>
      <c r="BE50" s="5"/>
      <c r="BF50" s="5"/>
      <c r="BG50" s="40"/>
      <c r="BH50" s="5"/>
      <c r="BI50" s="5"/>
      <c r="BJ50" s="40"/>
      <c r="BK50" s="5"/>
      <c r="BL50" s="5"/>
      <c r="BM50" s="40"/>
      <c r="BN50" s="5"/>
      <c r="BO50" s="5"/>
      <c r="BP50" s="40"/>
      <c r="BQ50" s="5"/>
      <c r="BR50" s="5"/>
      <c r="BS50" s="40"/>
      <c r="BT50" s="5"/>
      <c r="BU50" s="5"/>
      <c r="BV50" s="40"/>
      <c r="BW50" s="5"/>
      <c r="BX50" s="5"/>
      <c r="BY50" s="40"/>
      <c r="BZ50" s="5"/>
      <c r="CA50" s="5"/>
      <c r="CB50" s="40"/>
      <c r="CC50" s="5"/>
      <c r="CD50" s="5"/>
      <c r="CE50" s="40"/>
      <c r="CF50" s="5"/>
      <c r="CG50" s="5"/>
      <c r="CH50" s="40"/>
      <c r="CI50" s="5"/>
      <c r="CJ50" s="5"/>
      <c r="CK50" s="40"/>
      <c r="CL50" s="5"/>
      <c r="CM50" s="5"/>
      <c r="CN50" s="40"/>
      <c r="CO50" s="5"/>
      <c r="CP50" s="5"/>
      <c r="CQ50" s="40"/>
      <c r="CR50" s="5"/>
      <c r="CS50" s="5"/>
      <c r="CT50" s="5"/>
      <c r="CU50" s="5"/>
      <c r="CV50" s="5"/>
      <c r="CW50" s="5"/>
      <c r="CX50" s="5"/>
      <c r="CY50" s="5"/>
      <c r="CZ50" s="5"/>
      <c r="DA50" s="5"/>
      <c r="DB50" s="5"/>
      <c r="DC50" s="5"/>
      <c r="DD50" s="5"/>
      <c r="DE50" s="5"/>
      <c r="DF50" s="5"/>
    </row>
    <row r="51">
      <c r="A51" s="19"/>
      <c r="B51" s="26"/>
      <c r="C51" s="21"/>
      <c r="D51" s="19"/>
      <c r="G51" s="5"/>
      <c r="J51" s="5"/>
      <c r="M51" s="5"/>
      <c r="P51" s="5"/>
      <c r="S51" s="5"/>
      <c r="V51" s="5"/>
      <c r="Y51" s="5"/>
      <c r="AB51" s="5"/>
      <c r="AE51" s="5"/>
      <c r="AH51" s="5"/>
      <c r="AK51" s="5"/>
      <c r="AL51" s="40"/>
      <c r="AM51" s="5"/>
      <c r="AN51" s="5"/>
      <c r="AO51" s="40"/>
      <c r="AP51" s="5"/>
      <c r="AQ51" s="5"/>
      <c r="AR51" s="40"/>
      <c r="AS51" s="5"/>
      <c r="AT51" s="5"/>
      <c r="AU51" s="40"/>
      <c r="AV51" s="5"/>
      <c r="AW51" s="5"/>
      <c r="AX51" s="40"/>
      <c r="AY51" s="5"/>
      <c r="AZ51" s="5"/>
      <c r="BA51" s="40"/>
      <c r="BB51" s="5"/>
      <c r="BC51" s="5"/>
      <c r="BD51" s="40"/>
      <c r="BE51" s="5"/>
      <c r="BF51" s="5"/>
      <c r="BG51" s="40"/>
      <c r="BH51" s="5"/>
      <c r="BI51" s="5"/>
      <c r="BJ51" s="40"/>
      <c r="BK51" s="5"/>
      <c r="BL51" s="5"/>
      <c r="BM51" s="40"/>
      <c r="BN51" s="5"/>
      <c r="BO51" s="5"/>
      <c r="BP51" s="40"/>
      <c r="BQ51" s="5"/>
      <c r="BR51" s="5"/>
      <c r="BS51" s="40"/>
      <c r="BT51" s="5"/>
      <c r="BU51" s="5"/>
      <c r="BV51" s="40"/>
      <c r="BW51" s="5"/>
      <c r="BX51" s="5"/>
      <c r="BY51" s="40"/>
      <c r="BZ51" s="5"/>
      <c r="CA51" s="5"/>
      <c r="CB51" s="40"/>
      <c r="CC51" s="5"/>
      <c r="CD51" s="5"/>
      <c r="CE51" s="40"/>
      <c r="CF51" s="5"/>
      <c r="CG51" s="5"/>
      <c r="CH51" s="40"/>
      <c r="CI51" s="5"/>
      <c r="CJ51" s="5"/>
      <c r="CK51" s="40"/>
      <c r="CL51" s="5"/>
      <c r="CM51" s="5"/>
      <c r="CN51" s="40"/>
      <c r="CO51" s="5"/>
      <c r="CP51" s="5"/>
      <c r="CQ51" s="40"/>
      <c r="CR51" s="5"/>
      <c r="CS51" s="5"/>
      <c r="CT51" s="5"/>
      <c r="CU51" s="5"/>
      <c r="CV51" s="5"/>
      <c r="CW51" s="5"/>
      <c r="CX51" s="5"/>
      <c r="CY51" s="5"/>
      <c r="CZ51" s="5"/>
      <c r="DA51" s="5"/>
      <c r="DB51" s="5"/>
      <c r="DC51" s="5"/>
      <c r="DD51" s="5"/>
      <c r="DE51" s="5"/>
      <c r="DF51" s="5"/>
    </row>
    <row r="52">
      <c r="A52" s="19"/>
      <c r="B52" s="26"/>
      <c r="C52" s="21"/>
      <c r="D52" s="19"/>
      <c r="G52" s="5"/>
      <c r="J52" s="5"/>
      <c r="M52" s="5"/>
      <c r="P52" s="5"/>
      <c r="S52" s="5"/>
      <c r="V52" s="5"/>
      <c r="Y52" s="5"/>
      <c r="AB52" s="5"/>
      <c r="AE52" s="5"/>
      <c r="AH52" s="5"/>
      <c r="AK52" s="5"/>
      <c r="AL52" s="40"/>
      <c r="AM52" s="5"/>
      <c r="AN52" s="5"/>
      <c r="AO52" s="40"/>
      <c r="AP52" s="5"/>
      <c r="AQ52" s="5"/>
      <c r="AR52" s="40"/>
      <c r="AS52" s="5"/>
      <c r="AT52" s="5"/>
      <c r="AU52" s="40"/>
      <c r="AV52" s="5"/>
      <c r="AW52" s="5"/>
      <c r="AX52" s="40"/>
      <c r="AY52" s="5"/>
      <c r="AZ52" s="5"/>
      <c r="BA52" s="40"/>
      <c r="BB52" s="5"/>
      <c r="BC52" s="5"/>
      <c r="BD52" s="40"/>
      <c r="BE52" s="5"/>
      <c r="BF52" s="5"/>
      <c r="BG52" s="40"/>
      <c r="BH52" s="5"/>
      <c r="BI52" s="5"/>
      <c r="BJ52" s="40"/>
      <c r="BK52" s="5"/>
      <c r="BL52" s="5"/>
      <c r="BM52" s="40"/>
      <c r="BN52" s="5"/>
      <c r="BO52" s="5"/>
      <c r="BP52" s="40"/>
      <c r="BQ52" s="5"/>
      <c r="BR52" s="5"/>
      <c r="BS52" s="40"/>
      <c r="BT52" s="5"/>
      <c r="BU52" s="5"/>
      <c r="BV52" s="40"/>
      <c r="BW52" s="5"/>
      <c r="BX52" s="5"/>
      <c r="BY52" s="40"/>
      <c r="BZ52" s="5"/>
      <c r="CA52" s="5"/>
      <c r="CB52" s="40"/>
      <c r="CC52" s="5"/>
      <c r="CD52" s="5"/>
      <c r="CE52" s="40"/>
      <c r="CF52" s="5"/>
      <c r="CG52" s="5"/>
      <c r="CH52" s="40"/>
      <c r="CI52" s="5"/>
      <c r="CJ52" s="5"/>
      <c r="CK52" s="40"/>
      <c r="CL52" s="5"/>
      <c r="CM52" s="5"/>
      <c r="CN52" s="40"/>
      <c r="CO52" s="5"/>
      <c r="CP52" s="5"/>
      <c r="CQ52" s="40"/>
      <c r="CR52" s="5"/>
      <c r="CS52" s="5"/>
      <c r="CT52" s="5"/>
      <c r="CU52" s="5"/>
      <c r="CV52" s="5"/>
      <c r="CW52" s="5"/>
      <c r="CX52" s="5"/>
      <c r="CY52" s="5"/>
      <c r="CZ52" s="5"/>
      <c r="DA52" s="5"/>
      <c r="DB52" s="5"/>
      <c r="DC52" s="5"/>
      <c r="DD52" s="5"/>
      <c r="DE52" s="5"/>
      <c r="DF52" s="5"/>
    </row>
    <row r="53">
      <c r="A53" s="19"/>
      <c r="B53" s="26"/>
      <c r="C53" s="21"/>
      <c r="D53" s="19"/>
      <c r="G53" s="5"/>
      <c r="J53" s="5"/>
      <c r="M53" s="5"/>
      <c r="P53" s="5"/>
      <c r="S53" s="5"/>
      <c r="V53" s="5"/>
      <c r="Y53" s="5"/>
      <c r="AB53" s="5"/>
      <c r="AE53" s="5"/>
      <c r="AH53" s="5"/>
      <c r="AK53" s="5"/>
      <c r="AL53" s="40"/>
      <c r="AM53" s="5"/>
      <c r="AN53" s="5"/>
      <c r="AO53" s="40"/>
      <c r="AP53" s="5"/>
      <c r="AQ53" s="5"/>
      <c r="AR53" s="40"/>
      <c r="AS53" s="5"/>
      <c r="AT53" s="5"/>
      <c r="AU53" s="40"/>
      <c r="AV53" s="5"/>
      <c r="AW53" s="5"/>
      <c r="AX53" s="40"/>
      <c r="AY53" s="5"/>
      <c r="AZ53" s="5"/>
      <c r="BA53" s="40"/>
      <c r="BB53" s="5"/>
      <c r="BC53" s="5"/>
      <c r="BD53" s="40"/>
      <c r="BE53" s="5"/>
      <c r="BF53" s="5"/>
      <c r="BG53" s="40"/>
      <c r="BH53" s="5"/>
      <c r="BI53" s="5"/>
      <c r="BJ53" s="40"/>
      <c r="BK53" s="5"/>
      <c r="BL53" s="5"/>
      <c r="BM53" s="40"/>
      <c r="BN53" s="5"/>
      <c r="BO53" s="5"/>
      <c r="BP53" s="40"/>
      <c r="BQ53" s="5"/>
      <c r="BR53" s="5"/>
      <c r="BS53" s="40"/>
      <c r="BT53" s="5"/>
      <c r="BU53" s="5"/>
      <c r="BV53" s="40"/>
      <c r="BW53" s="5"/>
      <c r="BX53" s="5"/>
      <c r="BY53" s="40"/>
      <c r="BZ53" s="5"/>
      <c r="CA53" s="5"/>
      <c r="CB53" s="40"/>
      <c r="CC53" s="5"/>
      <c r="CD53" s="5"/>
      <c r="CE53" s="40"/>
      <c r="CF53" s="5"/>
      <c r="CG53" s="5"/>
      <c r="CH53" s="40"/>
      <c r="CI53" s="5"/>
      <c r="CJ53" s="5"/>
      <c r="CK53" s="40"/>
      <c r="CL53" s="5"/>
      <c r="CM53" s="5"/>
      <c r="CN53" s="40"/>
      <c r="CO53" s="5"/>
      <c r="CP53" s="5"/>
      <c r="CQ53" s="40"/>
      <c r="CR53" s="5"/>
      <c r="CS53" s="5"/>
      <c r="CT53" s="5"/>
      <c r="CU53" s="5"/>
      <c r="CV53" s="5"/>
      <c r="CW53" s="5"/>
      <c r="CX53" s="5"/>
      <c r="CY53" s="5"/>
      <c r="CZ53" s="5"/>
      <c r="DA53" s="5"/>
      <c r="DB53" s="5"/>
      <c r="DC53" s="5"/>
      <c r="DD53" s="5"/>
      <c r="DE53" s="5"/>
      <c r="DF53" s="5"/>
    </row>
    <row r="54">
      <c r="A54" s="19"/>
      <c r="B54" s="26"/>
      <c r="C54" s="21"/>
      <c r="D54" s="19"/>
      <c r="G54" s="5"/>
      <c r="J54" s="5"/>
      <c r="M54" s="5"/>
      <c r="P54" s="5"/>
      <c r="S54" s="5"/>
      <c r="V54" s="5"/>
      <c r="Y54" s="5"/>
      <c r="AB54" s="5"/>
      <c r="AE54" s="5"/>
      <c r="AH54" s="5"/>
      <c r="AK54" s="5"/>
      <c r="AL54" s="40"/>
      <c r="AM54" s="5"/>
      <c r="AN54" s="5"/>
      <c r="AO54" s="40"/>
      <c r="AP54" s="5"/>
      <c r="AQ54" s="5"/>
      <c r="AR54" s="40"/>
      <c r="AS54" s="5"/>
      <c r="AT54" s="5"/>
      <c r="AU54" s="40"/>
      <c r="AV54" s="5"/>
      <c r="AW54" s="5"/>
      <c r="AX54" s="40"/>
      <c r="AY54" s="5"/>
      <c r="AZ54" s="5"/>
      <c r="BA54" s="40"/>
      <c r="BB54" s="5"/>
      <c r="BC54" s="5"/>
      <c r="BD54" s="40"/>
      <c r="BE54" s="5"/>
      <c r="BF54" s="5"/>
      <c r="BG54" s="40"/>
      <c r="BH54" s="5"/>
      <c r="BI54" s="5"/>
      <c r="BJ54" s="40"/>
      <c r="BK54" s="5"/>
      <c r="BL54" s="5"/>
      <c r="BM54" s="40"/>
      <c r="BN54" s="5"/>
      <c r="BO54" s="5"/>
      <c r="BP54" s="40"/>
      <c r="BQ54" s="5"/>
      <c r="BR54" s="5"/>
      <c r="BS54" s="40"/>
      <c r="BT54" s="5"/>
      <c r="BU54" s="5"/>
      <c r="BV54" s="40"/>
      <c r="BW54" s="5"/>
      <c r="BX54" s="5"/>
      <c r="BY54" s="40"/>
      <c r="BZ54" s="5"/>
      <c r="CA54" s="5"/>
      <c r="CB54" s="40"/>
      <c r="CC54" s="5"/>
      <c r="CD54" s="5"/>
      <c r="CE54" s="40"/>
      <c r="CF54" s="5"/>
      <c r="CG54" s="5"/>
      <c r="CH54" s="40"/>
      <c r="CI54" s="5"/>
      <c r="CJ54" s="5"/>
      <c r="CK54" s="40"/>
      <c r="CL54" s="5"/>
      <c r="CM54" s="5"/>
      <c r="CN54" s="40"/>
      <c r="CO54" s="5"/>
      <c r="CP54" s="5"/>
      <c r="CQ54" s="40"/>
      <c r="CR54" s="5"/>
      <c r="CS54" s="5"/>
      <c r="CT54" s="5"/>
      <c r="CU54" s="5"/>
      <c r="CV54" s="5"/>
      <c r="CW54" s="5"/>
      <c r="CX54" s="5"/>
      <c r="CY54" s="5"/>
      <c r="CZ54" s="5"/>
      <c r="DA54" s="5"/>
      <c r="DB54" s="5"/>
      <c r="DC54" s="5"/>
      <c r="DD54" s="5"/>
      <c r="DE54" s="5"/>
      <c r="DF54" s="5"/>
    </row>
    <row r="55">
      <c r="A55" s="19"/>
      <c r="B55" s="26"/>
      <c r="C55" s="21"/>
      <c r="D55" s="19"/>
      <c r="G55" s="5"/>
      <c r="J55" s="5"/>
      <c r="M55" s="5"/>
      <c r="P55" s="5"/>
      <c r="S55" s="5"/>
      <c r="V55" s="5"/>
      <c r="Y55" s="5"/>
      <c r="AB55" s="5"/>
      <c r="AE55" s="5"/>
      <c r="AH55" s="5"/>
      <c r="AK55" s="5"/>
      <c r="AL55" s="40"/>
      <c r="AM55" s="5"/>
      <c r="AN55" s="5"/>
      <c r="AO55" s="40"/>
      <c r="AP55" s="5"/>
      <c r="AQ55" s="5"/>
      <c r="AR55" s="40"/>
      <c r="AS55" s="5"/>
      <c r="AT55" s="5"/>
      <c r="AU55" s="40"/>
      <c r="AV55" s="5"/>
      <c r="AW55" s="5"/>
      <c r="AX55" s="40"/>
      <c r="AY55" s="5"/>
      <c r="AZ55" s="5"/>
      <c r="BA55" s="40"/>
      <c r="BB55" s="5"/>
      <c r="BC55" s="5"/>
      <c r="BD55" s="40"/>
      <c r="BE55" s="5"/>
      <c r="BF55" s="5"/>
      <c r="BG55" s="40"/>
      <c r="BH55" s="5"/>
      <c r="BI55" s="5"/>
      <c r="BJ55" s="40"/>
      <c r="BK55" s="5"/>
      <c r="BL55" s="5"/>
      <c r="BM55" s="40"/>
      <c r="BN55" s="5"/>
      <c r="BO55" s="5"/>
      <c r="BP55" s="40"/>
      <c r="BQ55" s="5"/>
      <c r="BR55" s="5"/>
      <c r="BS55" s="40"/>
      <c r="BT55" s="5"/>
      <c r="BU55" s="5"/>
      <c r="BV55" s="40"/>
      <c r="BW55" s="5"/>
      <c r="BX55" s="5"/>
      <c r="BY55" s="40"/>
      <c r="BZ55" s="5"/>
      <c r="CA55" s="5"/>
      <c r="CB55" s="40"/>
      <c r="CC55" s="5"/>
      <c r="CD55" s="5"/>
      <c r="CE55" s="40"/>
      <c r="CF55" s="5"/>
      <c r="CG55" s="5"/>
      <c r="CH55" s="40"/>
      <c r="CI55" s="5"/>
      <c r="CJ55" s="5"/>
      <c r="CK55" s="40"/>
      <c r="CL55" s="5"/>
      <c r="CM55" s="5"/>
      <c r="CN55" s="40"/>
      <c r="CO55" s="5"/>
      <c r="CP55" s="5"/>
      <c r="CQ55" s="40"/>
      <c r="CR55" s="5"/>
      <c r="CS55" s="5"/>
      <c r="CT55" s="5"/>
      <c r="CU55" s="5"/>
      <c r="CV55" s="5"/>
      <c r="CW55" s="5"/>
      <c r="CX55" s="5"/>
      <c r="CY55" s="5"/>
      <c r="CZ55" s="5"/>
      <c r="DA55" s="5"/>
      <c r="DB55" s="5"/>
      <c r="DC55" s="5"/>
      <c r="DD55" s="5"/>
      <c r="DE55" s="5"/>
      <c r="DF55" s="5"/>
    </row>
    <row r="56">
      <c r="A56" s="19"/>
      <c r="B56" s="26"/>
      <c r="C56" s="21"/>
      <c r="D56" s="19"/>
      <c r="G56" s="5"/>
      <c r="J56" s="5"/>
      <c r="M56" s="5"/>
      <c r="P56" s="5"/>
      <c r="S56" s="5"/>
      <c r="V56" s="5"/>
      <c r="Y56" s="5"/>
      <c r="AB56" s="5"/>
      <c r="AE56" s="5"/>
      <c r="AH56" s="5"/>
      <c r="AK56" s="5"/>
      <c r="AL56" s="40"/>
      <c r="AM56" s="5"/>
      <c r="AN56" s="5"/>
      <c r="AO56" s="40"/>
      <c r="AP56" s="5"/>
      <c r="AQ56" s="5"/>
      <c r="AR56" s="40"/>
      <c r="AS56" s="5"/>
      <c r="AT56" s="5"/>
      <c r="AU56" s="40"/>
      <c r="AV56" s="5"/>
      <c r="AW56" s="5"/>
      <c r="AX56" s="40"/>
      <c r="AY56" s="5"/>
      <c r="AZ56" s="5"/>
      <c r="BA56" s="40"/>
      <c r="BB56" s="5"/>
      <c r="BC56" s="5"/>
      <c r="BD56" s="40"/>
      <c r="BE56" s="5"/>
      <c r="BF56" s="5"/>
      <c r="BG56" s="40"/>
      <c r="BH56" s="5"/>
      <c r="BI56" s="5"/>
      <c r="BJ56" s="40"/>
      <c r="BK56" s="5"/>
      <c r="BL56" s="5"/>
      <c r="BM56" s="40"/>
      <c r="BN56" s="5"/>
      <c r="BO56" s="5"/>
      <c r="BP56" s="40"/>
      <c r="BQ56" s="5"/>
      <c r="BR56" s="5"/>
      <c r="BS56" s="40"/>
      <c r="BT56" s="5"/>
      <c r="BU56" s="5"/>
      <c r="BV56" s="40"/>
      <c r="BW56" s="5"/>
      <c r="BX56" s="5"/>
      <c r="BY56" s="40"/>
      <c r="BZ56" s="5"/>
      <c r="CA56" s="5"/>
      <c r="CB56" s="40"/>
      <c r="CC56" s="5"/>
      <c r="CD56" s="5"/>
      <c r="CE56" s="40"/>
      <c r="CF56" s="5"/>
      <c r="CG56" s="5"/>
      <c r="CH56" s="40"/>
      <c r="CI56" s="5"/>
      <c r="CJ56" s="5"/>
      <c r="CK56" s="40"/>
      <c r="CL56" s="5"/>
      <c r="CM56" s="5"/>
      <c r="CN56" s="40"/>
      <c r="CO56" s="5"/>
      <c r="CP56" s="5"/>
      <c r="CQ56" s="40"/>
      <c r="CR56" s="5"/>
      <c r="CS56" s="5"/>
      <c r="CT56" s="5"/>
      <c r="CU56" s="5"/>
      <c r="CV56" s="5"/>
      <c r="CW56" s="5"/>
      <c r="CX56" s="5"/>
      <c r="CY56" s="5"/>
      <c r="CZ56" s="5"/>
      <c r="DA56" s="5"/>
      <c r="DB56" s="5"/>
      <c r="DC56" s="5"/>
      <c r="DD56" s="5"/>
      <c r="DE56" s="5"/>
      <c r="DF56" s="5"/>
    </row>
    <row r="57">
      <c r="A57" s="19"/>
      <c r="B57" s="26"/>
      <c r="C57" s="21"/>
      <c r="D57" s="19"/>
      <c r="G57" s="5"/>
      <c r="J57" s="5"/>
      <c r="M57" s="5"/>
      <c r="P57" s="5"/>
      <c r="S57" s="5"/>
      <c r="V57" s="5"/>
      <c r="Y57" s="5"/>
      <c r="AB57" s="5"/>
      <c r="AE57" s="5"/>
      <c r="AH57" s="5"/>
      <c r="AK57" s="5"/>
      <c r="AL57" s="40"/>
      <c r="AM57" s="5"/>
      <c r="AN57" s="5"/>
      <c r="AO57" s="40"/>
      <c r="AP57" s="5"/>
      <c r="AQ57" s="5"/>
      <c r="AR57" s="40"/>
      <c r="AS57" s="5"/>
      <c r="AT57" s="5"/>
      <c r="AU57" s="40"/>
      <c r="AV57" s="5"/>
      <c r="AW57" s="5"/>
      <c r="AX57" s="40"/>
      <c r="AY57" s="5"/>
      <c r="AZ57" s="5"/>
      <c r="BA57" s="40"/>
      <c r="BB57" s="5"/>
      <c r="BC57" s="5"/>
      <c r="BD57" s="40"/>
      <c r="BE57" s="5"/>
      <c r="BF57" s="5"/>
      <c r="BG57" s="40"/>
      <c r="BH57" s="5"/>
      <c r="BI57" s="5"/>
      <c r="BJ57" s="40"/>
      <c r="BK57" s="5"/>
      <c r="BL57" s="5"/>
      <c r="BM57" s="40"/>
      <c r="BN57" s="5"/>
      <c r="BO57" s="5"/>
      <c r="BP57" s="40"/>
      <c r="BQ57" s="5"/>
      <c r="BR57" s="5"/>
      <c r="BS57" s="40"/>
      <c r="BT57" s="5"/>
      <c r="BU57" s="5"/>
      <c r="BV57" s="40"/>
      <c r="BW57" s="5"/>
      <c r="BX57" s="5"/>
      <c r="BY57" s="40"/>
      <c r="BZ57" s="5"/>
      <c r="CA57" s="5"/>
      <c r="CB57" s="40"/>
      <c r="CC57" s="5"/>
      <c r="CD57" s="5"/>
      <c r="CE57" s="40"/>
      <c r="CF57" s="5"/>
      <c r="CG57" s="5"/>
      <c r="CH57" s="40"/>
      <c r="CI57" s="5"/>
      <c r="CJ57" s="5"/>
      <c r="CK57" s="40"/>
      <c r="CL57" s="5"/>
      <c r="CM57" s="5"/>
      <c r="CN57" s="40"/>
      <c r="CO57" s="5"/>
      <c r="CP57" s="5"/>
      <c r="CQ57" s="40"/>
      <c r="CR57" s="5"/>
      <c r="CS57" s="5"/>
      <c r="CT57" s="5"/>
      <c r="CU57" s="5"/>
      <c r="CV57" s="5"/>
      <c r="CW57" s="5"/>
      <c r="CX57" s="5"/>
      <c r="CY57" s="5"/>
      <c r="CZ57" s="5"/>
      <c r="DA57" s="5"/>
      <c r="DB57" s="5"/>
      <c r="DC57" s="5"/>
      <c r="DD57" s="5"/>
      <c r="DE57" s="5"/>
      <c r="DF57" s="5"/>
    </row>
    <row r="58">
      <c r="A58" s="19"/>
      <c r="B58" s="26"/>
      <c r="C58" s="21"/>
      <c r="D58" s="19"/>
      <c r="G58" s="5"/>
      <c r="J58" s="5"/>
      <c r="M58" s="5"/>
      <c r="P58" s="5"/>
      <c r="S58" s="5"/>
      <c r="V58" s="5"/>
      <c r="Y58" s="5"/>
      <c r="AB58" s="5"/>
      <c r="AE58" s="5"/>
      <c r="AH58" s="5"/>
      <c r="AK58" s="5"/>
      <c r="AL58" s="40"/>
      <c r="AM58" s="5"/>
      <c r="AN58" s="5"/>
      <c r="AO58" s="40"/>
      <c r="AP58" s="5"/>
      <c r="AQ58" s="5"/>
      <c r="AR58" s="40"/>
      <c r="AS58" s="5"/>
      <c r="AT58" s="5"/>
      <c r="AU58" s="40"/>
      <c r="AV58" s="5"/>
      <c r="AW58" s="5"/>
      <c r="AX58" s="40"/>
      <c r="AY58" s="5"/>
      <c r="AZ58" s="5"/>
      <c r="BA58" s="40"/>
      <c r="BB58" s="5"/>
      <c r="BC58" s="5"/>
      <c r="BD58" s="40"/>
      <c r="BE58" s="5"/>
      <c r="BF58" s="5"/>
      <c r="BG58" s="40"/>
      <c r="BH58" s="5"/>
      <c r="BI58" s="5"/>
      <c r="BJ58" s="40"/>
      <c r="BK58" s="5"/>
      <c r="BL58" s="5"/>
      <c r="BM58" s="40"/>
      <c r="BN58" s="5"/>
      <c r="BO58" s="5"/>
      <c r="BP58" s="40"/>
      <c r="BQ58" s="5"/>
      <c r="BR58" s="5"/>
      <c r="BS58" s="40"/>
      <c r="BT58" s="5"/>
      <c r="BU58" s="5"/>
      <c r="BV58" s="40"/>
      <c r="BW58" s="5"/>
      <c r="BX58" s="5"/>
      <c r="BY58" s="40"/>
      <c r="BZ58" s="5"/>
      <c r="CA58" s="5"/>
      <c r="CB58" s="40"/>
      <c r="CC58" s="5"/>
      <c r="CD58" s="5"/>
      <c r="CE58" s="40"/>
      <c r="CF58" s="5"/>
      <c r="CG58" s="5"/>
      <c r="CH58" s="40"/>
      <c r="CI58" s="5"/>
      <c r="CJ58" s="5"/>
      <c r="CK58" s="40"/>
      <c r="CL58" s="5"/>
      <c r="CM58" s="5"/>
      <c r="CN58" s="40"/>
      <c r="CO58" s="5"/>
      <c r="CP58" s="5"/>
      <c r="CQ58" s="40"/>
      <c r="CR58" s="5"/>
      <c r="CS58" s="5"/>
      <c r="CT58" s="5"/>
      <c r="CU58" s="5"/>
      <c r="CV58" s="5"/>
      <c r="CW58" s="5"/>
      <c r="CX58" s="5"/>
      <c r="CY58" s="5"/>
      <c r="CZ58" s="5"/>
      <c r="DA58" s="5"/>
      <c r="DB58" s="5"/>
      <c r="DC58" s="5"/>
      <c r="DD58" s="5"/>
      <c r="DE58" s="5"/>
      <c r="DF58" s="5"/>
    </row>
    <row r="59">
      <c r="A59" s="19"/>
      <c r="B59" s="26"/>
      <c r="C59" s="21"/>
      <c r="D59" s="19"/>
      <c r="G59" s="5"/>
      <c r="J59" s="5"/>
      <c r="M59" s="5"/>
      <c r="P59" s="5"/>
      <c r="S59" s="5"/>
      <c r="V59" s="5"/>
      <c r="Y59" s="5"/>
      <c r="AB59" s="5"/>
      <c r="AE59" s="5"/>
      <c r="AH59" s="5"/>
      <c r="AK59" s="5"/>
      <c r="AL59" s="40"/>
      <c r="AM59" s="5"/>
      <c r="AN59" s="5"/>
      <c r="AO59" s="40"/>
      <c r="AP59" s="5"/>
      <c r="AQ59" s="5"/>
      <c r="AR59" s="40"/>
      <c r="AS59" s="5"/>
      <c r="AT59" s="5"/>
      <c r="AU59" s="40"/>
      <c r="AV59" s="5"/>
      <c r="AW59" s="5"/>
      <c r="AX59" s="40"/>
      <c r="AY59" s="5"/>
      <c r="AZ59" s="5"/>
      <c r="BA59" s="40"/>
      <c r="BB59" s="5"/>
      <c r="BC59" s="5"/>
      <c r="BD59" s="40"/>
      <c r="BE59" s="5"/>
      <c r="BF59" s="5"/>
      <c r="BG59" s="40"/>
      <c r="BH59" s="5"/>
      <c r="BI59" s="5"/>
      <c r="BJ59" s="40"/>
      <c r="BK59" s="5"/>
      <c r="BL59" s="5"/>
      <c r="BM59" s="40"/>
      <c r="BN59" s="5"/>
      <c r="BO59" s="5"/>
      <c r="BP59" s="40"/>
      <c r="BQ59" s="5"/>
      <c r="BR59" s="5"/>
      <c r="BS59" s="40"/>
      <c r="BT59" s="5"/>
      <c r="BU59" s="5"/>
      <c r="BV59" s="40"/>
      <c r="BW59" s="5"/>
      <c r="BX59" s="5"/>
      <c r="BY59" s="40"/>
      <c r="BZ59" s="5"/>
      <c r="CA59" s="5"/>
      <c r="CB59" s="40"/>
      <c r="CC59" s="5"/>
      <c r="CD59" s="5"/>
      <c r="CE59" s="40"/>
      <c r="CF59" s="5"/>
      <c r="CG59" s="5"/>
      <c r="CH59" s="40"/>
      <c r="CI59" s="5"/>
      <c r="CJ59" s="5"/>
      <c r="CK59" s="40"/>
      <c r="CL59" s="5"/>
      <c r="CM59" s="5"/>
      <c r="CN59" s="40"/>
      <c r="CO59" s="5"/>
      <c r="CP59" s="5"/>
      <c r="CQ59" s="40"/>
      <c r="CR59" s="5"/>
      <c r="CS59" s="5"/>
      <c r="CT59" s="5"/>
      <c r="CU59" s="5"/>
      <c r="CV59" s="5"/>
      <c r="CW59" s="5"/>
      <c r="CX59" s="5"/>
      <c r="CY59" s="5"/>
      <c r="CZ59" s="5"/>
      <c r="DA59" s="5"/>
      <c r="DB59" s="5"/>
      <c r="DC59" s="5"/>
      <c r="DD59" s="5"/>
      <c r="DE59" s="5"/>
      <c r="DF59" s="5"/>
    </row>
    <row r="60">
      <c r="A60" s="19"/>
      <c r="B60" s="26"/>
      <c r="C60" s="21"/>
      <c r="D60" s="19"/>
      <c r="G60" s="5"/>
      <c r="J60" s="5"/>
      <c r="M60" s="5"/>
      <c r="P60" s="5"/>
      <c r="S60" s="5"/>
      <c r="V60" s="5"/>
      <c r="Y60" s="5"/>
      <c r="AB60" s="5"/>
      <c r="AE60" s="5"/>
      <c r="AH60" s="5"/>
      <c r="AK60" s="5"/>
      <c r="AL60" s="40"/>
      <c r="AM60" s="5"/>
      <c r="AN60" s="5"/>
      <c r="AO60" s="40"/>
      <c r="AP60" s="5"/>
      <c r="AQ60" s="5"/>
      <c r="AR60" s="40"/>
      <c r="AS60" s="5"/>
      <c r="AT60" s="5"/>
      <c r="AU60" s="40"/>
      <c r="AV60" s="5"/>
      <c r="AW60" s="5"/>
      <c r="AX60" s="40"/>
      <c r="AY60" s="5"/>
      <c r="AZ60" s="5"/>
      <c r="BA60" s="40"/>
      <c r="BB60" s="5"/>
      <c r="BC60" s="5"/>
      <c r="BD60" s="40"/>
      <c r="BE60" s="5"/>
      <c r="BF60" s="5"/>
      <c r="BG60" s="40"/>
      <c r="BH60" s="5"/>
      <c r="BI60" s="5"/>
      <c r="BJ60" s="40"/>
      <c r="BK60" s="5"/>
      <c r="BL60" s="5"/>
      <c r="BM60" s="40"/>
      <c r="BN60" s="5"/>
      <c r="BO60" s="5"/>
      <c r="BP60" s="40"/>
      <c r="BQ60" s="5"/>
      <c r="BR60" s="5"/>
      <c r="BS60" s="40"/>
      <c r="BT60" s="5"/>
      <c r="BU60" s="5"/>
      <c r="BV60" s="40"/>
      <c r="BW60" s="5"/>
      <c r="BX60" s="5"/>
      <c r="BY60" s="40"/>
      <c r="BZ60" s="5"/>
      <c r="CA60" s="5"/>
      <c r="CB60" s="40"/>
      <c r="CC60" s="5"/>
      <c r="CD60" s="5"/>
      <c r="CE60" s="40"/>
      <c r="CF60" s="5"/>
      <c r="CG60" s="5"/>
      <c r="CH60" s="40"/>
      <c r="CI60" s="5"/>
      <c r="CJ60" s="5"/>
      <c r="CK60" s="40"/>
      <c r="CL60" s="5"/>
      <c r="CM60" s="5"/>
      <c r="CN60" s="40"/>
      <c r="CO60" s="5"/>
      <c r="CP60" s="5"/>
      <c r="CQ60" s="40"/>
      <c r="CR60" s="5"/>
      <c r="CS60" s="5"/>
      <c r="CT60" s="5"/>
      <c r="CU60" s="5"/>
      <c r="CV60" s="5"/>
      <c r="CW60" s="5"/>
      <c r="CX60" s="5"/>
      <c r="CY60" s="5"/>
      <c r="CZ60" s="5"/>
      <c r="DA60" s="5"/>
      <c r="DB60" s="5"/>
      <c r="DC60" s="5"/>
      <c r="DD60" s="5"/>
      <c r="DE60" s="5"/>
      <c r="DF60" s="5"/>
    </row>
    <row r="61">
      <c r="A61" s="19"/>
      <c r="B61" s="26"/>
      <c r="C61" s="21"/>
      <c r="D61" s="19"/>
      <c r="G61" s="5"/>
      <c r="J61" s="5"/>
      <c r="M61" s="5"/>
      <c r="P61" s="5"/>
      <c r="S61" s="5"/>
      <c r="V61" s="5"/>
      <c r="Y61" s="5"/>
      <c r="AB61" s="5"/>
      <c r="AE61" s="5"/>
      <c r="AH61" s="5"/>
      <c r="AK61" s="5"/>
      <c r="AL61" s="40"/>
      <c r="AM61" s="5"/>
      <c r="AN61" s="5"/>
      <c r="AO61" s="40"/>
      <c r="AP61" s="5"/>
      <c r="AQ61" s="5"/>
      <c r="AR61" s="40"/>
      <c r="AS61" s="5"/>
      <c r="AT61" s="5"/>
      <c r="AU61" s="40"/>
      <c r="AV61" s="5"/>
      <c r="AW61" s="5"/>
      <c r="AX61" s="40"/>
      <c r="AY61" s="5"/>
      <c r="AZ61" s="5"/>
      <c r="BA61" s="40"/>
      <c r="BB61" s="5"/>
      <c r="BC61" s="5"/>
      <c r="BD61" s="40"/>
      <c r="BE61" s="5"/>
      <c r="BF61" s="5"/>
      <c r="BG61" s="40"/>
      <c r="BH61" s="5"/>
      <c r="BI61" s="5"/>
      <c r="BJ61" s="40"/>
      <c r="BK61" s="5"/>
      <c r="BL61" s="5"/>
      <c r="BM61" s="40"/>
      <c r="BN61" s="5"/>
      <c r="BO61" s="5"/>
      <c r="BP61" s="40"/>
      <c r="BQ61" s="5"/>
      <c r="BR61" s="5"/>
      <c r="BS61" s="40"/>
      <c r="BT61" s="5"/>
      <c r="BU61" s="5"/>
      <c r="BV61" s="40"/>
      <c r="BW61" s="5"/>
      <c r="BX61" s="5"/>
      <c r="BY61" s="40"/>
      <c r="BZ61" s="5"/>
      <c r="CA61" s="5"/>
      <c r="CB61" s="40"/>
      <c r="CC61" s="5"/>
      <c r="CD61" s="5"/>
      <c r="CE61" s="40"/>
      <c r="CF61" s="5"/>
      <c r="CG61" s="5"/>
      <c r="CH61" s="40"/>
      <c r="CI61" s="5"/>
      <c r="CJ61" s="5"/>
      <c r="CK61" s="40"/>
      <c r="CL61" s="5"/>
      <c r="CM61" s="5"/>
      <c r="CN61" s="40"/>
      <c r="CO61" s="5"/>
      <c r="CP61" s="5"/>
      <c r="CQ61" s="40"/>
      <c r="CR61" s="5"/>
      <c r="CS61" s="5"/>
      <c r="CT61" s="5"/>
      <c r="CU61" s="5"/>
      <c r="CV61" s="5"/>
      <c r="CW61" s="5"/>
      <c r="CX61" s="5"/>
      <c r="CY61" s="5"/>
      <c r="CZ61" s="5"/>
      <c r="DA61" s="5"/>
      <c r="DB61" s="5"/>
      <c r="DC61" s="5"/>
      <c r="DD61" s="5"/>
      <c r="DE61" s="5"/>
      <c r="DF61" s="5"/>
    </row>
    <row r="62">
      <c r="A62" s="19"/>
      <c r="B62" s="26"/>
      <c r="C62" s="21"/>
      <c r="D62" s="19"/>
      <c r="AL62" s="40"/>
      <c r="AM62" s="5"/>
      <c r="AO62" s="40"/>
      <c r="AP62" s="5"/>
      <c r="AR62" s="40"/>
      <c r="AS62" s="5"/>
      <c r="AU62" s="40"/>
      <c r="AV62" s="5"/>
      <c r="AX62" s="40"/>
      <c r="AY62" s="5"/>
      <c r="BA62" s="40"/>
      <c r="BB62" s="5"/>
      <c r="BD62" s="40"/>
      <c r="BE62" s="5"/>
      <c r="BG62" s="40"/>
      <c r="BH62" s="5"/>
      <c r="BJ62" s="40"/>
      <c r="BK62" s="5"/>
      <c r="BM62" s="40"/>
      <c r="BN62" s="5"/>
      <c r="BP62" s="40"/>
      <c r="BQ62" s="5"/>
      <c r="BS62" s="40"/>
      <c r="BT62" s="5"/>
      <c r="BV62" s="40"/>
      <c r="BW62" s="5"/>
      <c r="BY62" s="40"/>
      <c r="BZ62" s="5"/>
      <c r="CB62" s="40"/>
      <c r="CC62" s="5"/>
      <c r="CE62" s="40"/>
      <c r="CF62" s="5"/>
      <c r="CH62" s="40"/>
      <c r="CI62" s="5"/>
      <c r="CK62" s="40"/>
      <c r="CL62" s="5"/>
      <c r="CN62" s="40"/>
      <c r="CO62" s="5"/>
      <c r="CQ62" s="40"/>
      <c r="CR62" s="5"/>
    </row>
    <row r="63">
      <c r="A63" s="19"/>
      <c r="B63" s="26"/>
      <c r="C63" s="21"/>
      <c r="D63" s="19"/>
      <c r="AL63" s="40"/>
      <c r="AM63" s="5"/>
      <c r="AO63" s="40"/>
      <c r="AP63" s="5"/>
      <c r="AR63" s="40"/>
      <c r="AS63" s="5"/>
      <c r="AU63" s="40"/>
      <c r="AV63" s="5"/>
      <c r="AX63" s="40"/>
      <c r="AY63" s="5"/>
      <c r="BA63" s="40"/>
      <c r="BB63" s="5"/>
      <c r="BD63" s="40"/>
      <c r="BE63" s="5"/>
      <c r="BG63" s="40"/>
      <c r="BH63" s="5"/>
      <c r="BJ63" s="40"/>
      <c r="BK63" s="5"/>
      <c r="BM63" s="40"/>
      <c r="BN63" s="5"/>
      <c r="BP63" s="40"/>
      <c r="BQ63" s="5"/>
      <c r="BS63" s="40"/>
      <c r="BT63" s="5"/>
      <c r="BV63" s="40"/>
      <c r="BW63" s="5"/>
      <c r="BY63" s="40"/>
      <c r="BZ63" s="5"/>
      <c r="CB63" s="40"/>
      <c r="CC63" s="5"/>
      <c r="CE63" s="40"/>
      <c r="CF63" s="5"/>
      <c r="CH63" s="40"/>
      <c r="CI63" s="5"/>
      <c r="CK63" s="40"/>
      <c r="CL63" s="5"/>
      <c r="CN63" s="40"/>
      <c r="CO63" s="5"/>
      <c r="CQ63" s="40"/>
      <c r="CR63" s="5"/>
    </row>
    <row r="64">
      <c r="A64" s="19"/>
      <c r="B64" s="26"/>
      <c r="C64" s="21"/>
      <c r="D64" s="19"/>
      <c r="AL64" s="40"/>
      <c r="AM64" s="5"/>
      <c r="AO64" s="40"/>
      <c r="AP64" s="5"/>
      <c r="AR64" s="40"/>
      <c r="AS64" s="5"/>
      <c r="AU64" s="40"/>
      <c r="AV64" s="5"/>
      <c r="AX64" s="40"/>
      <c r="AY64" s="5"/>
      <c r="BA64" s="40"/>
      <c r="BB64" s="5"/>
      <c r="BD64" s="40"/>
      <c r="BE64" s="5"/>
      <c r="BG64" s="40"/>
      <c r="BH64" s="5"/>
      <c r="BJ64" s="40"/>
      <c r="BK64" s="5"/>
      <c r="BM64" s="40"/>
      <c r="BN64" s="5"/>
      <c r="BP64" s="40"/>
      <c r="BQ64" s="5"/>
      <c r="BS64" s="40"/>
      <c r="BT64" s="5"/>
      <c r="BV64" s="40"/>
      <c r="BW64" s="5"/>
      <c r="BY64" s="40"/>
      <c r="BZ64" s="5"/>
      <c r="CB64" s="40"/>
      <c r="CC64" s="5"/>
      <c r="CE64" s="40"/>
      <c r="CF64" s="5"/>
      <c r="CH64" s="40"/>
      <c r="CI64" s="5"/>
      <c r="CK64" s="40"/>
      <c r="CL64" s="5"/>
      <c r="CN64" s="40"/>
      <c r="CO64" s="5"/>
      <c r="CQ64" s="40"/>
      <c r="CR64" s="5"/>
    </row>
    <row r="65">
      <c r="A65" s="19"/>
      <c r="B65" s="26"/>
      <c r="C65" s="21"/>
      <c r="D65" s="19"/>
      <c r="AL65" s="40"/>
      <c r="AM65" s="5"/>
      <c r="AO65" s="40"/>
      <c r="AP65" s="5"/>
      <c r="AR65" s="40"/>
      <c r="AS65" s="5"/>
      <c r="AU65" s="40"/>
      <c r="AV65" s="5"/>
      <c r="AX65" s="40"/>
      <c r="AY65" s="5"/>
      <c r="BA65" s="40"/>
      <c r="BB65" s="5"/>
      <c r="BD65" s="40"/>
      <c r="BE65" s="5"/>
      <c r="BG65" s="40"/>
      <c r="BH65" s="5"/>
      <c r="BJ65" s="40"/>
      <c r="BK65" s="5"/>
      <c r="BM65" s="40"/>
      <c r="BN65" s="5"/>
      <c r="BP65" s="40"/>
      <c r="BQ65" s="5"/>
      <c r="BS65" s="40"/>
      <c r="BT65" s="5"/>
      <c r="BV65" s="40"/>
      <c r="BW65" s="5"/>
      <c r="BY65" s="40"/>
      <c r="BZ65" s="5"/>
      <c r="CB65" s="40"/>
      <c r="CC65" s="5"/>
      <c r="CE65" s="40"/>
      <c r="CF65" s="5"/>
      <c r="CH65" s="40"/>
      <c r="CI65" s="5"/>
      <c r="CK65" s="40"/>
      <c r="CL65" s="5"/>
      <c r="CN65" s="40"/>
      <c r="CO65" s="5"/>
      <c r="CQ65" s="40"/>
      <c r="CR65" s="5"/>
    </row>
    <row r="66">
      <c r="A66" s="19"/>
      <c r="B66" s="26"/>
      <c r="C66" s="21"/>
      <c r="D66" s="19"/>
      <c r="AL66" s="40"/>
      <c r="AM66" s="5"/>
      <c r="AO66" s="40"/>
      <c r="AP66" s="5"/>
      <c r="AR66" s="40"/>
      <c r="AS66" s="5"/>
      <c r="AU66" s="40"/>
      <c r="AV66" s="5"/>
      <c r="AX66" s="40"/>
      <c r="AY66" s="5"/>
      <c r="BA66" s="40"/>
      <c r="BB66" s="5"/>
      <c r="BD66" s="40"/>
      <c r="BE66" s="5"/>
      <c r="BG66" s="40"/>
      <c r="BH66" s="5"/>
      <c r="BJ66" s="40"/>
      <c r="BK66" s="5"/>
      <c r="BM66" s="40"/>
      <c r="BN66" s="5"/>
      <c r="BP66" s="40"/>
      <c r="BQ66" s="5"/>
      <c r="BS66" s="40"/>
      <c r="BT66" s="5"/>
      <c r="BV66" s="40"/>
      <c r="BW66" s="5"/>
      <c r="BY66" s="40"/>
      <c r="BZ66" s="5"/>
      <c r="CB66" s="40"/>
      <c r="CC66" s="5"/>
      <c r="CE66" s="40"/>
      <c r="CF66" s="5"/>
      <c r="CH66" s="40"/>
      <c r="CI66" s="5"/>
      <c r="CK66" s="40"/>
      <c r="CL66" s="5"/>
      <c r="CN66" s="40"/>
      <c r="CO66" s="5"/>
      <c r="CQ66" s="40"/>
      <c r="CR66" s="5"/>
    </row>
    <row r="67">
      <c r="A67" s="19"/>
      <c r="B67" s="38"/>
      <c r="C67" s="19"/>
      <c r="D67" s="19"/>
      <c r="AL67" s="40"/>
      <c r="AM67" s="5"/>
      <c r="AO67" s="40"/>
      <c r="AP67" s="5"/>
      <c r="AR67" s="40"/>
      <c r="AS67" s="5"/>
      <c r="AU67" s="40"/>
      <c r="AV67" s="5"/>
      <c r="AX67" s="40"/>
      <c r="AY67" s="5"/>
      <c r="BA67" s="40"/>
      <c r="BB67" s="5"/>
      <c r="BD67" s="40"/>
      <c r="BE67" s="5"/>
      <c r="BG67" s="40"/>
      <c r="BH67" s="5"/>
      <c r="BJ67" s="40"/>
      <c r="BK67" s="5"/>
      <c r="BM67" s="40"/>
      <c r="BN67" s="5"/>
      <c r="BP67" s="40"/>
      <c r="BQ67" s="5"/>
      <c r="BS67" s="40"/>
      <c r="BT67" s="5"/>
      <c r="BV67" s="40"/>
      <c r="BW67" s="5"/>
      <c r="BY67" s="40"/>
      <c r="BZ67" s="5"/>
      <c r="CB67" s="40"/>
      <c r="CC67" s="5"/>
      <c r="CE67" s="40"/>
      <c r="CF67" s="5"/>
      <c r="CH67" s="40"/>
      <c r="CI67" s="5"/>
      <c r="CK67" s="40"/>
      <c r="CL67" s="5"/>
      <c r="CN67" s="40"/>
      <c r="CO67" s="5"/>
      <c r="CQ67" s="40"/>
      <c r="CR67" s="5"/>
    </row>
    <row r="68">
      <c r="AL68" s="40"/>
      <c r="AM68" s="5"/>
      <c r="AO68" s="40"/>
      <c r="AP68" s="5"/>
      <c r="AR68" s="40"/>
      <c r="AS68" s="5"/>
      <c r="AU68" s="40"/>
      <c r="AV68" s="5"/>
      <c r="AX68" s="40"/>
      <c r="AY68" s="5"/>
      <c r="BA68" s="40"/>
      <c r="BB68" s="5"/>
      <c r="BD68" s="40"/>
      <c r="BE68" s="5"/>
      <c r="BG68" s="40"/>
      <c r="BH68" s="5"/>
      <c r="BJ68" s="40"/>
      <c r="BK68" s="5"/>
      <c r="BM68" s="40"/>
      <c r="BN68" s="5"/>
      <c r="BP68" s="40"/>
      <c r="BQ68" s="5"/>
      <c r="BS68" s="40"/>
      <c r="BT68" s="5"/>
      <c r="BV68" s="40"/>
      <c r="BW68" s="5"/>
      <c r="BY68" s="40"/>
      <c r="BZ68" s="5"/>
      <c r="CB68" s="40"/>
      <c r="CC68" s="5"/>
      <c r="CE68" s="40"/>
      <c r="CF68" s="5"/>
      <c r="CH68" s="40"/>
      <c r="CI68" s="5"/>
      <c r="CK68" s="40"/>
      <c r="CL68" s="5"/>
      <c r="CN68" s="40"/>
      <c r="CO68" s="5"/>
      <c r="CQ68" s="40"/>
      <c r="CR68" s="5"/>
    </row>
    <row r="69">
      <c r="AL69" s="40"/>
      <c r="AM69" s="5"/>
      <c r="AO69" s="40"/>
      <c r="AP69" s="5"/>
      <c r="AR69" s="40"/>
      <c r="AS69" s="5"/>
      <c r="AU69" s="40"/>
      <c r="AV69" s="5"/>
      <c r="AX69" s="40"/>
      <c r="AY69" s="5"/>
      <c r="BA69" s="40"/>
      <c r="BB69" s="5"/>
      <c r="BD69" s="40"/>
      <c r="BE69" s="5"/>
      <c r="BG69" s="40"/>
      <c r="BH69" s="5"/>
      <c r="BJ69" s="40"/>
      <c r="BK69" s="5"/>
      <c r="BM69" s="40"/>
      <c r="BN69" s="5"/>
      <c r="BP69" s="40"/>
      <c r="BQ69" s="5"/>
      <c r="BS69" s="40"/>
      <c r="BT69" s="5"/>
      <c r="BV69" s="40"/>
      <c r="BW69" s="5"/>
      <c r="BY69" s="40"/>
      <c r="BZ69" s="5"/>
      <c r="CB69" s="40"/>
      <c r="CC69" s="5"/>
      <c r="CE69" s="40"/>
      <c r="CF69" s="5"/>
      <c r="CH69" s="40"/>
      <c r="CI69" s="5"/>
      <c r="CK69" s="40"/>
      <c r="CL69" s="5"/>
      <c r="CN69" s="40"/>
      <c r="CO69" s="5"/>
      <c r="CQ69" s="40"/>
      <c r="CR69" s="5"/>
    </row>
    <row r="70">
      <c r="AL70" s="40"/>
      <c r="AM70" s="5"/>
      <c r="AO70" s="40"/>
      <c r="AP70" s="5"/>
      <c r="AR70" s="40"/>
      <c r="AS70" s="5"/>
      <c r="AU70" s="40"/>
      <c r="AV70" s="5"/>
      <c r="AX70" s="40"/>
      <c r="AY70" s="5"/>
      <c r="BA70" s="40"/>
      <c r="BB70" s="5"/>
      <c r="BD70" s="40"/>
      <c r="BE70" s="5"/>
      <c r="BG70" s="40"/>
      <c r="BH70" s="5"/>
      <c r="BJ70" s="40"/>
      <c r="BK70" s="5"/>
      <c r="BM70" s="40"/>
      <c r="BN70" s="5"/>
      <c r="BP70" s="40"/>
      <c r="BQ70" s="5"/>
      <c r="BS70" s="40"/>
      <c r="BT70" s="5"/>
      <c r="BV70" s="40"/>
      <c r="BW70" s="5"/>
      <c r="BY70" s="40"/>
      <c r="BZ70" s="5"/>
      <c r="CB70" s="40"/>
      <c r="CC70" s="5"/>
      <c r="CE70" s="40"/>
      <c r="CF70" s="5"/>
      <c r="CH70" s="40"/>
      <c r="CI70" s="5"/>
      <c r="CK70" s="40"/>
      <c r="CL70" s="5"/>
      <c r="CN70" s="40"/>
      <c r="CO70" s="5"/>
      <c r="CQ70" s="40"/>
      <c r="CR70" s="5"/>
    </row>
    <row r="71">
      <c r="AL71" s="40"/>
      <c r="AM71" s="5"/>
      <c r="AO71" s="40"/>
      <c r="AP71" s="5"/>
      <c r="AR71" s="40"/>
      <c r="AS71" s="5"/>
      <c r="AU71" s="40"/>
      <c r="AV71" s="5"/>
      <c r="AX71" s="40"/>
      <c r="AY71" s="5"/>
      <c r="BA71" s="40"/>
      <c r="BB71" s="5"/>
      <c r="BD71" s="40"/>
      <c r="BE71" s="5"/>
      <c r="BG71" s="40"/>
      <c r="BH71" s="5"/>
      <c r="BJ71" s="40"/>
      <c r="BK71" s="5"/>
      <c r="BM71" s="40"/>
      <c r="BN71" s="5"/>
      <c r="BP71" s="40"/>
      <c r="BQ71" s="5"/>
      <c r="BS71" s="40"/>
      <c r="BT71" s="5"/>
      <c r="BV71" s="40"/>
      <c r="BW71" s="5"/>
      <c r="BY71" s="40"/>
      <c r="BZ71" s="5"/>
      <c r="CB71" s="40"/>
      <c r="CC71" s="5"/>
      <c r="CE71" s="40"/>
      <c r="CF71" s="5"/>
      <c r="CH71" s="40"/>
      <c r="CI71" s="5"/>
      <c r="CK71" s="40"/>
      <c r="CL71" s="5"/>
      <c r="CN71" s="40"/>
      <c r="CO71" s="5"/>
      <c r="CQ71" s="40"/>
      <c r="CR71" s="5"/>
    </row>
    <row r="72">
      <c r="AL72" s="40"/>
      <c r="AM72" s="5"/>
      <c r="AO72" s="40"/>
      <c r="AP72" s="5"/>
      <c r="AR72" s="40"/>
      <c r="AS72" s="5"/>
      <c r="AU72" s="40"/>
      <c r="AV72" s="5"/>
      <c r="AX72" s="40"/>
      <c r="AY72" s="5"/>
      <c r="BA72" s="40"/>
      <c r="BB72" s="5"/>
      <c r="BD72" s="40"/>
      <c r="BE72" s="5"/>
      <c r="BG72" s="40"/>
      <c r="BH72" s="5"/>
      <c r="BJ72" s="40"/>
      <c r="BK72" s="5"/>
      <c r="BM72" s="40"/>
      <c r="BN72" s="5"/>
      <c r="BP72" s="40"/>
      <c r="BQ72" s="5"/>
      <c r="BS72" s="40"/>
      <c r="BT72" s="5"/>
      <c r="BV72" s="40"/>
      <c r="BW72" s="5"/>
      <c r="BY72" s="40"/>
      <c r="BZ72" s="5"/>
      <c r="CB72" s="40"/>
      <c r="CC72" s="5"/>
      <c r="CE72" s="40"/>
      <c r="CF72" s="5"/>
      <c r="CH72" s="40"/>
      <c r="CI72" s="5"/>
      <c r="CK72" s="40"/>
      <c r="CL72" s="5"/>
      <c r="CN72" s="40"/>
      <c r="CO72" s="5"/>
      <c r="CQ72" s="40"/>
      <c r="CR72" s="5"/>
    </row>
    <row r="73">
      <c r="AL73" s="40"/>
      <c r="AM73" s="5"/>
      <c r="AO73" s="40"/>
      <c r="AP73" s="5"/>
      <c r="AR73" s="40"/>
      <c r="AS73" s="5"/>
      <c r="AU73" s="40"/>
      <c r="AV73" s="5"/>
      <c r="AX73" s="40"/>
      <c r="AY73" s="5"/>
      <c r="BA73" s="40"/>
      <c r="BB73" s="5"/>
      <c r="BD73" s="40"/>
      <c r="BE73" s="5"/>
      <c r="BG73" s="40"/>
      <c r="BH73" s="5"/>
      <c r="BJ73" s="40"/>
      <c r="BK73" s="5"/>
      <c r="BM73" s="40"/>
      <c r="BN73" s="5"/>
      <c r="BP73" s="40"/>
      <c r="BQ73" s="5"/>
      <c r="BS73" s="40"/>
      <c r="BT73" s="5"/>
      <c r="BV73" s="40"/>
      <c r="BW73" s="5"/>
      <c r="BY73" s="40"/>
      <c r="BZ73" s="5"/>
      <c r="CB73" s="40"/>
      <c r="CC73" s="5"/>
      <c r="CE73" s="40"/>
      <c r="CF73" s="5"/>
      <c r="CH73" s="40"/>
      <c r="CI73" s="5"/>
      <c r="CK73" s="40"/>
      <c r="CL73" s="5"/>
      <c r="CN73" s="40"/>
      <c r="CO73" s="5"/>
      <c r="CQ73" s="40"/>
      <c r="CR73" s="5"/>
    </row>
    <row r="74">
      <c r="AL74" s="40"/>
      <c r="AM74" s="5"/>
      <c r="AO74" s="40"/>
      <c r="AP74" s="5"/>
      <c r="AR74" s="40"/>
      <c r="AS74" s="5"/>
      <c r="AU74" s="40"/>
      <c r="AV74" s="5"/>
      <c r="AX74" s="40"/>
      <c r="AY74" s="5"/>
      <c r="BA74" s="40"/>
      <c r="BB74" s="5"/>
      <c r="BD74" s="40"/>
      <c r="BE74" s="5"/>
      <c r="BG74" s="40"/>
      <c r="BH74" s="5"/>
      <c r="BJ74" s="40"/>
      <c r="BK74" s="5"/>
      <c r="BM74" s="40"/>
      <c r="BN74" s="5"/>
      <c r="BP74" s="40"/>
      <c r="BQ74" s="5"/>
      <c r="BS74" s="40"/>
      <c r="BT74" s="5"/>
      <c r="BV74" s="40"/>
      <c r="BW74" s="5"/>
      <c r="BY74" s="40"/>
      <c r="BZ74" s="5"/>
      <c r="CB74" s="40"/>
      <c r="CC74" s="5"/>
      <c r="CE74" s="40"/>
      <c r="CF74" s="5"/>
      <c r="CH74" s="40"/>
      <c r="CI74" s="5"/>
      <c r="CK74" s="40"/>
      <c r="CL74" s="5"/>
      <c r="CN74" s="40"/>
      <c r="CO74" s="5"/>
      <c r="CQ74" s="40"/>
      <c r="CR74" s="5"/>
    </row>
    <row r="75">
      <c r="AL75" s="40"/>
      <c r="AM75" s="5"/>
      <c r="AO75" s="40"/>
      <c r="AP75" s="5"/>
      <c r="AR75" s="40"/>
      <c r="AS75" s="5"/>
      <c r="AU75" s="40"/>
      <c r="AV75" s="5"/>
      <c r="AX75" s="40"/>
      <c r="AY75" s="5"/>
      <c r="BA75" s="40"/>
      <c r="BB75" s="5"/>
      <c r="BD75" s="40"/>
      <c r="BE75" s="5"/>
      <c r="BG75" s="40"/>
      <c r="BH75" s="5"/>
      <c r="BJ75" s="40"/>
      <c r="BK75" s="5"/>
      <c r="BM75" s="40"/>
      <c r="BN75" s="5"/>
      <c r="BP75" s="40"/>
      <c r="BQ75" s="5"/>
      <c r="BS75" s="40"/>
      <c r="BT75" s="5"/>
      <c r="BV75" s="40"/>
      <c r="BW75" s="5"/>
      <c r="BY75" s="40"/>
      <c r="BZ75" s="5"/>
      <c r="CB75" s="40"/>
      <c r="CC75" s="5"/>
      <c r="CE75" s="40"/>
      <c r="CF75" s="5"/>
      <c r="CH75" s="40"/>
      <c r="CI75" s="5"/>
      <c r="CK75" s="40"/>
      <c r="CL75" s="5"/>
      <c r="CN75" s="40"/>
      <c r="CO75" s="5"/>
      <c r="CQ75" s="40"/>
      <c r="CR75" s="5"/>
    </row>
    <row r="76">
      <c r="AL76" s="40"/>
      <c r="AM76" s="5"/>
      <c r="AO76" s="40"/>
      <c r="AP76" s="5"/>
      <c r="AR76" s="40"/>
      <c r="AS76" s="5"/>
      <c r="AU76" s="40"/>
      <c r="AV76" s="5"/>
      <c r="AX76" s="40"/>
      <c r="AY76" s="5"/>
      <c r="BA76" s="40"/>
      <c r="BB76" s="5"/>
      <c r="BD76" s="40"/>
      <c r="BE76" s="5"/>
      <c r="BG76" s="40"/>
      <c r="BH76" s="5"/>
      <c r="BJ76" s="40"/>
      <c r="BK76" s="5"/>
      <c r="BM76" s="40"/>
      <c r="BN76" s="5"/>
      <c r="BP76" s="40"/>
      <c r="BQ76" s="5"/>
      <c r="BS76" s="40"/>
      <c r="BT76" s="5"/>
      <c r="BV76" s="40"/>
      <c r="BW76" s="5"/>
      <c r="BY76" s="40"/>
      <c r="BZ76" s="5"/>
      <c r="CB76" s="40"/>
      <c r="CC76" s="5"/>
      <c r="CE76" s="40"/>
      <c r="CF76" s="5"/>
      <c r="CH76" s="40"/>
      <c r="CI76" s="5"/>
      <c r="CK76" s="40"/>
      <c r="CL76" s="5"/>
      <c r="CN76" s="40"/>
      <c r="CO76" s="5"/>
      <c r="CQ76" s="40"/>
      <c r="CR76" s="5"/>
    </row>
    <row r="77">
      <c r="AL77" s="40"/>
      <c r="AM77" s="5"/>
      <c r="AO77" s="40"/>
      <c r="AP77" s="5"/>
      <c r="AR77" s="40"/>
      <c r="AS77" s="5"/>
      <c r="AU77" s="40"/>
      <c r="AV77" s="5"/>
      <c r="AX77" s="40"/>
      <c r="AY77" s="5"/>
      <c r="BA77" s="40"/>
      <c r="BB77" s="5"/>
      <c r="BD77" s="40"/>
      <c r="BE77" s="5"/>
      <c r="BG77" s="40"/>
      <c r="BH77" s="5"/>
      <c r="BJ77" s="40"/>
      <c r="BK77" s="5"/>
      <c r="BM77" s="40"/>
      <c r="BN77" s="5"/>
      <c r="BP77" s="40"/>
      <c r="BQ77" s="5"/>
      <c r="BS77" s="40"/>
      <c r="BT77" s="5"/>
      <c r="BV77" s="40"/>
      <c r="BW77" s="5"/>
      <c r="BY77" s="40"/>
      <c r="BZ77" s="5"/>
      <c r="CB77" s="40"/>
      <c r="CC77" s="5"/>
      <c r="CE77" s="40"/>
      <c r="CF77" s="5"/>
      <c r="CH77" s="40"/>
      <c r="CI77" s="5"/>
      <c r="CK77" s="40"/>
      <c r="CL77" s="5"/>
      <c r="CN77" s="40"/>
      <c r="CO77" s="5"/>
      <c r="CQ77" s="40"/>
      <c r="CR77" s="5"/>
    </row>
    <row r="78">
      <c r="AL78" s="40"/>
      <c r="AM78" s="5"/>
      <c r="AO78" s="40"/>
      <c r="AP78" s="5"/>
      <c r="AR78" s="40"/>
      <c r="AS78" s="5"/>
      <c r="AU78" s="40"/>
      <c r="AV78" s="5"/>
      <c r="AX78" s="40"/>
      <c r="AY78" s="5"/>
      <c r="BA78" s="40"/>
      <c r="BB78" s="5"/>
      <c r="BD78" s="40"/>
      <c r="BE78" s="5"/>
      <c r="BG78" s="40"/>
      <c r="BH78" s="5"/>
      <c r="BJ78" s="40"/>
      <c r="BK78" s="5"/>
      <c r="BM78" s="40"/>
      <c r="BN78" s="5"/>
      <c r="BP78" s="40"/>
      <c r="BQ78" s="5"/>
      <c r="BS78" s="40"/>
      <c r="BT78" s="5"/>
      <c r="BV78" s="40"/>
      <c r="BW78" s="5"/>
      <c r="BY78" s="40"/>
      <c r="BZ78" s="5"/>
      <c r="CB78" s="40"/>
      <c r="CC78" s="5"/>
      <c r="CE78" s="40"/>
      <c r="CF78" s="5"/>
      <c r="CH78" s="40"/>
      <c r="CI78" s="5"/>
      <c r="CK78" s="40"/>
      <c r="CL78" s="5"/>
      <c r="CN78" s="40"/>
      <c r="CO78" s="5"/>
      <c r="CQ78" s="40"/>
      <c r="CR78" s="5"/>
    </row>
    <row r="79">
      <c r="AL79" s="40"/>
      <c r="AM79" s="5"/>
      <c r="AO79" s="40"/>
      <c r="AP79" s="5"/>
      <c r="AR79" s="40"/>
      <c r="AS79" s="5"/>
      <c r="AU79" s="40"/>
      <c r="AV79" s="5"/>
      <c r="AX79" s="40"/>
      <c r="AY79" s="5"/>
      <c r="BA79" s="40"/>
      <c r="BB79" s="5"/>
      <c r="BD79" s="40"/>
      <c r="BE79" s="5"/>
      <c r="BG79" s="40"/>
      <c r="BH79" s="5"/>
      <c r="BJ79" s="40"/>
      <c r="BK79" s="5"/>
      <c r="BM79" s="40"/>
      <c r="BN79" s="5"/>
      <c r="BP79" s="40"/>
      <c r="BQ79" s="5"/>
      <c r="BS79" s="40"/>
      <c r="BT79" s="5"/>
      <c r="BV79" s="40"/>
      <c r="BW79" s="5"/>
      <c r="BY79" s="40"/>
      <c r="BZ79" s="5"/>
      <c r="CB79" s="40"/>
      <c r="CC79" s="5"/>
      <c r="CE79" s="40"/>
      <c r="CF79" s="5"/>
      <c r="CH79" s="40"/>
      <c r="CI79" s="5"/>
      <c r="CK79" s="40"/>
      <c r="CL79" s="5"/>
      <c r="CN79" s="40"/>
      <c r="CO79" s="5"/>
      <c r="CQ79" s="40"/>
      <c r="CR79" s="5"/>
    </row>
    <row r="80">
      <c r="AL80" s="40"/>
      <c r="AM80" s="5"/>
      <c r="AO80" s="40"/>
      <c r="AP80" s="5"/>
      <c r="AR80" s="40"/>
      <c r="AS80" s="5"/>
      <c r="AU80" s="40"/>
      <c r="AV80" s="5"/>
      <c r="AX80" s="40"/>
      <c r="AY80" s="5"/>
      <c r="BA80" s="40"/>
      <c r="BB80" s="5"/>
      <c r="BD80" s="40"/>
      <c r="BE80" s="5"/>
      <c r="BG80" s="40"/>
      <c r="BH80" s="5"/>
      <c r="BJ80" s="40"/>
      <c r="BK80" s="5"/>
      <c r="BM80" s="40"/>
      <c r="BN80" s="5"/>
      <c r="BP80" s="40"/>
      <c r="BQ80" s="5"/>
      <c r="BS80" s="40"/>
      <c r="BT80" s="5"/>
      <c r="BV80" s="40"/>
      <c r="BW80" s="5"/>
      <c r="BY80" s="40"/>
      <c r="BZ80" s="5"/>
      <c r="CB80" s="40"/>
      <c r="CC80" s="5"/>
      <c r="CE80" s="40"/>
      <c r="CF80" s="5"/>
      <c r="CH80" s="40"/>
      <c r="CI80" s="5"/>
      <c r="CK80" s="40"/>
      <c r="CL80" s="5"/>
      <c r="CN80" s="40"/>
      <c r="CO80" s="5"/>
      <c r="CQ80" s="40"/>
      <c r="CR80" s="5"/>
    </row>
    <row r="81">
      <c r="AL81" s="40"/>
      <c r="AM81" s="5"/>
      <c r="AO81" s="40"/>
      <c r="AP81" s="5"/>
      <c r="AR81" s="40"/>
      <c r="AS81" s="5"/>
      <c r="AU81" s="40"/>
      <c r="AV81" s="5"/>
      <c r="AX81" s="40"/>
      <c r="AY81" s="5"/>
      <c r="BA81" s="40"/>
      <c r="BB81" s="5"/>
      <c r="BD81" s="40"/>
      <c r="BE81" s="5"/>
      <c r="BG81" s="40"/>
      <c r="BH81" s="5"/>
      <c r="BJ81" s="40"/>
      <c r="BK81" s="5"/>
      <c r="BM81" s="40"/>
      <c r="BN81" s="5"/>
      <c r="BP81" s="40"/>
      <c r="BQ81" s="5"/>
      <c r="BS81" s="40"/>
      <c r="BT81" s="5"/>
      <c r="BV81" s="40"/>
      <c r="BW81" s="5"/>
      <c r="BY81" s="40"/>
      <c r="BZ81" s="5"/>
      <c r="CB81" s="40"/>
      <c r="CC81" s="5"/>
      <c r="CE81" s="40"/>
      <c r="CF81" s="5"/>
      <c r="CH81" s="40"/>
      <c r="CI81" s="5"/>
      <c r="CK81" s="40"/>
      <c r="CL81" s="5"/>
      <c r="CN81" s="40"/>
      <c r="CO81" s="5"/>
      <c r="CQ81" s="40"/>
      <c r="CR81" s="5"/>
    </row>
    <row r="82">
      <c r="AL82" s="40"/>
      <c r="AM82" s="5"/>
      <c r="AO82" s="40"/>
      <c r="AP82" s="5"/>
      <c r="AR82" s="40"/>
      <c r="AS82" s="5"/>
      <c r="AU82" s="40"/>
      <c r="AV82" s="5"/>
      <c r="AX82" s="40"/>
      <c r="AY82" s="5"/>
      <c r="BA82" s="40"/>
      <c r="BB82" s="5"/>
      <c r="BD82" s="40"/>
      <c r="BE82" s="5"/>
      <c r="BG82" s="40"/>
      <c r="BH82" s="5"/>
      <c r="BJ82" s="40"/>
      <c r="BK82" s="5"/>
      <c r="BM82" s="40"/>
      <c r="BN82" s="5"/>
      <c r="BP82" s="40"/>
      <c r="BQ82" s="5"/>
      <c r="BS82" s="40"/>
      <c r="BT82" s="5"/>
      <c r="BV82" s="40"/>
      <c r="BW82" s="5"/>
      <c r="BY82" s="40"/>
      <c r="BZ82" s="5"/>
      <c r="CB82" s="40"/>
      <c r="CC82" s="5"/>
      <c r="CE82" s="40"/>
      <c r="CF82" s="5"/>
      <c r="CH82" s="40"/>
      <c r="CI82" s="5"/>
      <c r="CK82" s="40"/>
      <c r="CL82" s="5"/>
      <c r="CN82" s="40"/>
      <c r="CO82" s="5"/>
      <c r="CQ82" s="40"/>
      <c r="CR82" s="5"/>
    </row>
    <row r="83">
      <c r="AL83" s="40"/>
      <c r="AM83" s="5"/>
      <c r="AO83" s="40"/>
      <c r="AP83" s="5"/>
      <c r="AR83" s="40"/>
      <c r="AS83" s="5"/>
      <c r="AU83" s="40"/>
      <c r="AV83" s="5"/>
      <c r="AX83" s="40"/>
      <c r="AY83" s="5"/>
      <c r="BA83" s="40"/>
      <c r="BB83" s="5"/>
      <c r="BD83" s="40"/>
      <c r="BE83" s="5"/>
      <c r="BG83" s="40"/>
      <c r="BH83" s="5"/>
      <c r="BJ83" s="40"/>
      <c r="BK83" s="5"/>
      <c r="BM83" s="40"/>
      <c r="BN83" s="5"/>
      <c r="BP83" s="40"/>
      <c r="BQ83" s="5"/>
      <c r="BS83" s="40"/>
      <c r="BT83" s="5"/>
      <c r="BV83" s="40"/>
      <c r="BW83" s="5"/>
      <c r="BY83" s="40"/>
      <c r="BZ83" s="5"/>
      <c r="CB83" s="40"/>
      <c r="CC83" s="5"/>
      <c r="CE83" s="40"/>
      <c r="CF83" s="5"/>
      <c r="CH83" s="40"/>
      <c r="CI83" s="5"/>
      <c r="CK83" s="40"/>
      <c r="CL83" s="5"/>
      <c r="CN83" s="40"/>
      <c r="CO83" s="5"/>
      <c r="CQ83" s="40"/>
      <c r="CR83" s="5"/>
    </row>
    <row r="84">
      <c r="AL84" s="40"/>
      <c r="AM84" s="5"/>
      <c r="AO84" s="40"/>
      <c r="AP84" s="5"/>
      <c r="AR84" s="40"/>
      <c r="AS84" s="5"/>
      <c r="AU84" s="40"/>
      <c r="AV84" s="5"/>
      <c r="AX84" s="40"/>
      <c r="AY84" s="5"/>
      <c r="BA84" s="40"/>
      <c r="BB84" s="5"/>
      <c r="BD84" s="40"/>
      <c r="BE84" s="5"/>
      <c r="BG84" s="40"/>
      <c r="BH84" s="5"/>
      <c r="BJ84" s="40"/>
      <c r="BK84" s="5"/>
      <c r="BM84" s="40"/>
      <c r="BN84" s="5"/>
      <c r="BP84" s="40"/>
      <c r="BQ84" s="5"/>
      <c r="BS84" s="40"/>
      <c r="BT84" s="5"/>
      <c r="BV84" s="40"/>
      <c r="BW84" s="5"/>
      <c r="BY84" s="40"/>
      <c r="BZ84" s="5"/>
      <c r="CB84" s="40"/>
      <c r="CC84" s="5"/>
      <c r="CE84" s="40"/>
      <c r="CF84" s="5"/>
      <c r="CH84" s="40"/>
      <c r="CI84" s="5"/>
      <c r="CK84" s="40"/>
      <c r="CL84" s="5"/>
      <c r="CN84" s="40"/>
      <c r="CO84" s="5"/>
      <c r="CQ84" s="40"/>
      <c r="CR84" s="5"/>
    </row>
    <row r="85">
      <c r="AL85" s="40"/>
      <c r="AM85" s="5"/>
      <c r="AO85" s="40"/>
      <c r="AP85" s="5"/>
      <c r="AR85" s="40"/>
      <c r="AS85" s="5"/>
      <c r="AU85" s="40"/>
      <c r="AV85" s="5"/>
      <c r="AX85" s="40"/>
      <c r="AY85" s="5"/>
      <c r="BA85" s="40"/>
      <c r="BB85" s="5"/>
      <c r="BD85" s="40"/>
      <c r="BE85" s="5"/>
      <c r="BG85" s="40"/>
      <c r="BH85" s="5"/>
      <c r="BJ85" s="40"/>
      <c r="BK85" s="5"/>
      <c r="BM85" s="40"/>
      <c r="BN85" s="5"/>
      <c r="BP85" s="40"/>
      <c r="BQ85" s="5"/>
      <c r="BS85" s="40"/>
      <c r="BT85" s="5"/>
      <c r="BV85" s="40"/>
      <c r="BW85" s="5"/>
      <c r="BY85" s="40"/>
      <c r="BZ85" s="5"/>
      <c r="CB85" s="40"/>
      <c r="CC85" s="5"/>
      <c r="CE85" s="40"/>
      <c r="CF85" s="5"/>
      <c r="CH85" s="40"/>
      <c r="CI85" s="5"/>
      <c r="CK85" s="40"/>
      <c r="CL85" s="5"/>
      <c r="CN85" s="40"/>
      <c r="CO85" s="5"/>
      <c r="CQ85" s="40"/>
      <c r="CR85" s="5"/>
    </row>
    <row r="86">
      <c r="AL86" s="40"/>
      <c r="AM86" s="5"/>
      <c r="AO86" s="40"/>
      <c r="AP86" s="5"/>
      <c r="AR86" s="40"/>
      <c r="AS86" s="5"/>
      <c r="AU86" s="40"/>
      <c r="AV86" s="5"/>
      <c r="AX86" s="40"/>
      <c r="AY86" s="5"/>
      <c r="BA86" s="40"/>
      <c r="BB86" s="5"/>
      <c r="BD86" s="40"/>
      <c r="BE86" s="5"/>
      <c r="BG86" s="40"/>
      <c r="BH86" s="5"/>
      <c r="BJ86" s="40"/>
      <c r="BK86" s="5"/>
      <c r="BM86" s="40"/>
      <c r="BN86" s="5"/>
      <c r="BP86" s="40"/>
      <c r="BQ86" s="5"/>
      <c r="BS86" s="40"/>
      <c r="BT86" s="5"/>
      <c r="BV86" s="40"/>
      <c r="BW86" s="5"/>
      <c r="BY86" s="40"/>
      <c r="BZ86" s="5"/>
      <c r="CB86" s="40"/>
      <c r="CC86" s="5"/>
      <c r="CE86" s="40"/>
      <c r="CF86" s="5"/>
      <c r="CH86" s="40"/>
      <c r="CI86" s="5"/>
      <c r="CK86" s="40"/>
      <c r="CL86" s="5"/>
      <c r="CN86" s="40"/>
      <c r="CO86" s="5"/>
      <c r="CQ86" s="40"/>
      <c r="CR86" s="5"/>
    </row>
    <row r="87">
      <c r="AL87" s="40"/>
      <c r="AM87" s="5"/>
      <c r="AO87" s="40"/>
      <c r="AP87" s="5"/>
      <c r="AR87" s="40"/>
      <c r="AS87" s="5"/>
      <c r="AU87" s="40"/>
      <c r="AV87" s="5"/>
      <c r="AX87" s="40"/>
      <c r="AY87" s="5"/>
      <c r="BA87" s="40"/>
      <c r="BB87" s="5"/>
      <c r="BD87" s="40"/>
      <c r="BE87" s="5"/>
      <c r="BG87" s="40"/>
      <c r="BH87" s="5"/>
      <c r="BJ87" s="40"/>
      <c r="BK87" s="5"/>
      <c r="BM87" s="40"/>
      <c r="BN87" s="5"/>
      <c r="BP87" s="40"/>
      <c r="BQ87" s="5"/>
      <c r="BS87" s="40"/>
      <c r="BT87" s="5"/>
      <c r="BV87" s="40"/>
      <c r="BW87" s="5"/>
      <c r="BY87" s="40"/>
      <c r="BZ87" s="5"/>
      <c r="CB87" s="40"/>
      <c r="CC87" s="5"/>
      <c r="CE87" s="40"/>
      <c r="CF87" s="5"/>
      <c r="CH87" s="40"/>
      <c r="CI87" s="5"/>
      <c r="CK87" s="40"/>
      <c r="CL87" s="5"/>
      <c r="CN87" s="40"/>
      <c r="CO87" s="5"/>
      <c r="CQ87" s="40"/>
      <c r="CR87" s="5"/>
    </row>
    <row r="88">
      <c r="AL88" s="40"/>
      <c r="AM88" s="5"/>
      <c r="AO88" s="40"/>
      <c r="AP88" s="5"/>
      <c r="AR88" s="40"/>
      <c r="AS88" s="5"/>
      <c r="AU88" s="40"/>
      <c r="AV88" s="5"/>
      <c r="AX88" s="40"/>
      <c r="AY88" s="5"/>
      <c r="BA88" s="40"/>
      <c r="BB88" s="5"/>
      <c r="BD88" s="40"/>
      <c r="BE88" s="5"/>
      <c r="BG88" s="40"/>
      <c r="BH88" s="5"/>
      <c r="BJ88" s="40"/>
      <c r="BK88" s="5"/>
      <c r="BM88" s="40"/>
      <c r="BN88" s="5"/>
      <c r="BP88" s="40"/>
      <c r="BQ88" s="5"/>
      <c r="BS88" s="40"/>
      <c r="BT88" s="5"/>
      <c r="BV88" s="40"/>
      <c r="BW88" s="5"/>
      <c r="BY88" s="40"/>
      <c r="BZ88" s="5"/>
      <c r="CB88" s="40"/>
      <c r="CC88" s="5"/>
      <c r="CE88" s="40"/>
      <c r="CF88" s="5"/>
      <c r="CH88" s="40"/>
      <c r="CI88" s="5"/>
      <c r="CK88" s="40"/>
      <c r="CL88" s="5"/>
      <c r="CN88" s="40"/>
      <c r="CO88" s="5"/>
      <c r="CQ88" s="40"/>
      <c r="CR88" s="5"/>
    </row>
    <row r="89">
      <c r="AL89" s="40"/>
      <c r="AM89" s="5"/>
      <c r="AO89" s="40"/>
      <c r="AP89" s="5"/>
      <c r="AR89" s="40"/>
      <c r="AS89" s="5"/>
      <c r="AU89" s="40"/>
      <c r="AV89" s="5"/>
      <c r="AX89" s="40"/>
      <c r="AY89" s="5"/>
      <c r="BA89" s="40"/>
      <c r="BB89" s="5"/>
      <c r="BD89" s="40"/>
      <c r="BE89" s="5"/>
      <c r="BG89" s="40"/>
      <c r="BH89" s="5"/>
      <c r="BJ89" s="40"/>
      <c r="BK89" s="5"/>
      <c r="BM89" s="40"/>
      <c r="BN89" s="5"/>
      <c r="BP89" s="40"/>
      <c r="BQ89" s="5"/>
      <c r="BS89" s="40"/>
      <c r="BT89" s="5"/>
      <c r="BV89" s="40"/>
      <c r="BW89" s="5"/>
      <c r="BY89" s="40"/>
      <c r="BZ89" s="5"/>
      <c r="CB89" s="40"/>
      <c r="CC89" s="5"/>
      <c r="CE89" s="40"/>
      <c r="CF89" s="5"/>
      <c r="CH89" s="40"/>
      <c r="CI89" s="5"/>
      <c r="CK89" s="40"/>
      <c r="CL89" s="5"/>
      <c r="CN89" s="40"/>
      <c r="CO89" s="5"/>
      <c r="CQ89" s="40"/>
      <c r="CR89" s="5"/>
    </row>
    <row r="90">
      <c r="AL90" s="40"/>
      <c r="AM90" s="5"/>
      <c r="AO90" s="40"/>
      <c r="AP90" s="5"/>
      <c r="AR90" s="40"/>
      <c r="AS90" s="5"/>
      <c r="AU90" s="40"/>
      <c r="AV90" s="5"/>
      <c r="AX90" s="40"/>
      <c r="AY90" s="5"/>
      <c r="BA90" s="40"/>
      <c r="BB90" s="5"/>
      <c r="BD90" s="40"/>
      <c r="BE90" s="5"/>
      <c r="BG90" s="40"/>
      <c r="BH90" s="5"/>
      <c r="BJ90" s="40"/>
      <c r="BK90" s="5"/>
      <c r="BM90" s="40"/>
      <c r="BN90" s="5"/>
      <c r="BP90" s="40"/>
      <c r="BQ90" s="5"/>
      <c r="BS90" s="40"/>
      <c r="BT90" s="5"/>
      <c r="BV90" s="40"/>
      <c r="BW90" s="5"/>
      <c r="BY90" s="40"/>
      <c r="BZ90" s="5"/>
      <c r="CB90" s="40"/>
      <c r="CC90" s="5"/>
      <c r="CE90" s="40"/>
      <c r="CF90" s="5"/>
      <c r="CH90" s="40"/>
      <c r="CI90" s="5"/>
      <c r="CK90" s="40"/>
      <c r="CL90" s="5"/>
      <c r="CN90" s="40"/>
      <c r="CO90" s="5"/>
      <c r="CQ90" s="40"/>
      <c r="CR90" s="5"/>
    </row>
    <row r="91">
      <c r="AL91" s="40"/>
      <c r="AM91" s="5"/>
      <c r="AO91" s="40"/>
      <c r="AP91" s="5"/>
      <c r="AR91" s="40"/>
      <c r="AS91" s="5"/>
      <c r="AU91" s="40"/>
      <c r="AV91" s="5"/>
      <c r="AX91" s="40"/>
      <c r="AY91" s="5"/>
      <c r="BA91" s="40"/>
      <c r="BB91" s="5"/>
      <c r="BD91" s="40"/>
      <c r="BE91" s="5"/>
      <c r="BG91" s="40"/>
      <c r="BH91" s="5"/>
      <c r="BJ91" s="40"/>
      <c r="BK91" s="5"/>
      <c r="BM91" s="40"/>
      <c r="BN91" s="5"/>
      <c r="BP91" s="40"/>
      <c r="BQ91" s="5"/>
      <c r="BS91" s="40"/>
      <c r="BT91" s="5"/>
      <c r="BV91" s="40"/>
      <c r="BW91" s="5"/>
      <c r="BY91" s="40"/>
      <c r="BZ91" s="5"/>
      <c r="CB91" s="40"/>
      <c r="CC91" s="5"/>
      <c r="CE91" s="40"/>
      <c r="CF91" s="5"/>
      <c r="CH91" s="40"/>
      <c r="CI91" s="5"/>
      <c r="CK91" s="40"/>
      <c r="CL91" s="5"/>
      <c r="CN91" s="40"/>
      <c r="CO91" s="5"/>
      <c r="CQ91" s="40"/>
      <c r="CR91" s="5"/>
    </row>
    <row r="92">
      <c r="AL92" s="40"/>
      <c r="AM92" s="5"/>
      <c r="AO92" s="40"/>
      <c r="AP92" s="5"/>
      <c r="AR92" s="40"/>
      <c r="AS92" s="5"/>
      <c r="AU92" s="40"/>
      <c r="AV92" s="5"/>
      <c r="AX92" s="40"/>
      <c r="AY92" s="5"/>
      <c r="BA92" s="40"/>
      <c r="BB92" s="5"/>
      <c r="BD92" s="40"/>
      <c r="BE92" s="5"/>
      <c r="BG92" s="40"/>
      <c r="BH92" s="5"/>
      <c r="BJ92" s="40"/>
      <c r="BK92" s="5"/>
      <c r="BM92" s="40"/>
      <c r="BN92" s="5"/>
      <c r="BP92" s="40"/>
      <c r="BQ92" s="5"/>
      <c r="BS92" s="40"/>
      <c r="BT92" s="5"/>
      <c r="BV92" s="40"/>
      <c r="BW92" s="5"/>
      <c r="BY92" s="40"/>
      <c r="BZ92" s="5"/>
      <c r="CB92" s="40"/>
      <c r="CC92" s="5"/>
      <c r="CE92" s="40"/>
      <c r="CF92" s="5"/>
      <c r="CH92" s="40"/>
      <c r="CI92" s="5"/>
      <c r="CK92" s="40"/>
      <c r="CL92" s="5"/>
      <c r="CN92" s="40"/>
      <c r="CO92" s="5"/>
      <c r="CQ92" s="40"/>
      <c r="CR92" s="5"/>
    </row>
    <row r="93">
      <c r="AL93" s="40"/>
      <c r="AM93" s="5"/>
      <c r="AO93" s="40"/>
      <c r="AP93" s="5"/>
      <c r="AR93" s="40"/>
      <c r="AS93" s="5"/>
      <c r="AU93" s="40"/>
      <c r="AV93" s="5"/>
      <c r="AX93" s="40"/>
      <c r="AY93" s="5"/>
      <c r="BA93" s="40"/>
      <c r="BB93" s="5"/>
      <c r="BD93" s="40"/>
      <c r="BE93" s="5"/>
      <c r="BG93" s="40"/>
      <c r="BH93" s="5"/>
      <c r="BJ93" s="40"/>
      <c r="BK93" s="5"/>
      <c r="BM93" s="40"/>
      <c r="BN93" s="5"/>
      <c r="BP93" s="40"/>
      <c r="BQ93" s="5"/>
      <c r="BS93" s="40"/>
      <c r="BT93" s="5"/>
      <c r="BV93" s="40"/>
      <c r="BW93" s="5"/>
      <c r="BY93" s="40"/>
      <c r="BZ93" s="5"/>
      <c r="CB93" s="40"/>
      <c r="CC93" s="5"/>
      <c r="CE93" s="40"/>
      <c r="CF93" s="5"/>
      <c r="CH93" s="40"/>
      <c r="CI93" s="5"/>
      <c r="CK93" s="40"/>
      <c r="CL93" s="5"/>
      <c r="CN93" s="40"/>
      <c r="CO93" s="5"/>
      <c r="CQ93" s="40"/>
      <c r="CR93" s="5"/>
    </row>
    <row r="94">
      <c r="AL94" s="40"/>
      <c r="AM94" s="5"/>
      <c r="AO94" s="40"/>
      <c r="AP94" s="5"/>
      <c r="AR94" s="40"/>
      <c r="AS94" s="5"/>
      <c r="AU94" s="40"/>
      <c r="AV94" s="5"/>
      <c r="AX94" s="40"/>
      <c r="AY94" s="5"/>
      <c r="BA94" s="40"/>
      <c r="BB94" s="5"/>
      <c r="BD94" s="40"/>
      <c r="BE94" s="5"/>
      <c r="BG94" s="40"/>
      <c r="BH94" s="5"/>
      <c r="BJ94" s="40"/>
      <c r="BK94" s="5"/>
      <c r="BM94" s="40"/>
      <c r="BN94" s="5"/>
      <c r="BP94" s="40"/>
      <c r="BQ94" s="5"/>
      <c r="BS94" s="40"/>
      <c r="BT94" s="5"/>
      <c r="BV94" s="40"/>
      <c r="BW94" s="5"/>
      <c r="BY94" s="40"/>
      <c r="BZ94" s="5"/>
      <c r="CB94" s="40"/>
      <c r="CC94" s="5"/>
      <c r="CE94" s="40"/>
      <c r="CF94" s="5"/>
      <c r="CH94" s="40"/>
      <c r="CI94" s="5"/>
      <c r="CK94" s="40"/>
      <c r="CL94" s="5"/>
      <c r="CN94" s="40"/>
      <c r="CO94" s="5"/>
      <c r="CQ94" s="40"/>
      <c r="CR94" s="5"/>
    </row>
    <row r="95">
      <c r="AL95" s="40"/>
      <c r="AM95" s="5"/>
      <c r="AO95" s="40"/>
      <c r="AP95" s="5"/>
      <c r="AR95" s="40"/>
      <c r="AS95" s="5"/>
      <c r="AU95" s="40"/>
      <c r="AV95" s="5"/>
      <c r="AX95" s="40"/>
      <c r="AY95" s="5"/>
      <c r="BA95" s="40"/>
      <c r="BB95" s="5"/>
      <c r="BD95" s="40"/>
      <c r="BE95" s="5"/>
      <c r="BG95" s="40"/>
      <c r="BH95" s="5"/>
      <c r="BJ95" s="40"/>
      <c r="BK95" s="5"/>
      <c r="BM95" s="40"/>
      <c r="BN95" s="5"/>
      <c r="BP95" s="40"/>
      <c r="BQ95" s="5"/>
      <c r="BS95" s="40"/>
      <c r="BT95" s="5"/>
      <c r="BV95" s="40"/>
      <c r="BW95" s="5"/>
      <c r="BY95" s="40"/>
      <c r="BZ95" s="5"/>
      <c r="CB95" s="40"/>
      <c r="CC95" s="5"/>
      <c r="CE95" s="40"/>
      <c r="CF95" s="5"/>
      <c r="CH95" s="40"/>
      <c r="CI95" s="5"/>
      <c r="CK95" s="40"/>
      <c r="CL95" s="5"/>
      <c r="CN95" s="40"/>
      <c r="CO95" s="5"/>
      <c r="CQ95" s="40"/>
      <c r="CR95" s="5"/>
    </row>
    <row r="96">
      <c r="AL96" s="40"/>
      <c r="AM96" s="5"/>
      <c r="AO96" s="40"/>
      <c r="AP96" s="5"/>
      <c r="AR96" s="40"/>
      <c r="AS96" s="5"/>
      <c r="AU96" s="40"/>
      <c r="AV96" s="5"/>
      <c r="AX96" s="40"/>
      <c r="AY96" s="5"/>
      <c r="BA96" s="40"/>
      <c r="BB96" s="5"/>
      <c r="BD96" s="40"/>
      <c r="BE96" s="5"/>
      <c r="BG96" s="40"/>
      <c r="BH96" s="5"/>
      <c r="BJ96" s="40"/>
      <c r="BK96" s="5"/>
      <c r="BM96" s="40"/>
      <c r="BN96" s="5"/>
      <c r="BP96" s="40"/>
      <c r="BQ96" s="5"/>
      <c r="BS96" s="40"/>
      <c r="BT96" s="5"/>
      <c r="BV96" s="40"/>
      <c r="BW96" s="5"/>
      <c r="BY96" s="40"/>
      <c r="BZ96" s="5"/>
      <c r="CB96" s="40"/>
      <c r="CC96" s="5"/>
      <c r="CE96" s="40"/>
      <c r="CF96" s="5"/>
      <c r="CH96" s="40"/>
      <c r="CI96" s="5"/>
      <c r="CK96" s="40"/>
      <c r="CL96" s="5"/>
      <c r="CN96" s="40"/>
      <c r="CO96" s="5"/>
      <c r="CQ96" s="40"/>
      <c r="CR96" s="5"/>
    </row>
    <row r="97">
      <c r="AL97" s="40"/>
      <c r="AM97" s="5"/>
      <c r="AO97" s="40"/>
      <c r="AP97" s="5"/>
      <c r="AR97" s="40"/>
      <c r="AS97" s="5"/>
      <c r="AU97" s="40"/>
      <c r="AV97" s="5"/>
      <c r="AX97" s="40"/>
      <c r="AY97" s="5"/>
      <c r="BA97" s="40"/>
      <c r="BB97" s="5"/>
      <c r="BD97" s="40"/>
      <c r="BE97" s="5"/>
      <c r="BG97" s="40"/>
      <c r="BH97" s="5"/>
      <c r="BJ97" s="40"/>
      <c r="BK97" s="5"/>
      <c r="BM97" s="40"/>
      <c r="BN97" s="5"/>
      <c r="BP97" s="40"/>
      <c r="BQ97" s="5"/>
      <c r="BS97" s="40"/>
      <c r="BT97" s="5"/>
      <c r="BV97" s="40"/>
      <c r="BW97" s="5"/>
      <c r="BY97" s="40"/>
      <c r="BZ97" s="5"/>
      <c r="CB97" s="40"/>
      <c r="CC97" s="5"/>
      <c r="CE97" s="40"/>
      <c r="CF97" s="5"/>
      <c r="CH97" s="40"/>
      <c r="CI97" s="5"/>
      <c r="CK97" s="40"/>
      <c r="CL97" s="5"/>
      <c r="CN97" s="40"/>
      <c r="CO97" s="5"/>
      <c r="CQ97" s="40"/>
      <c r="CR97" s="5"/>
    </row>
    <row r="98">
      <c r="AL98" s="40"/>
      <c r="AM98" s="5"/>
      <c r="AO98" s="40"/>
      <c r="AP98" s="5"/>
      <c r="AR98" s="40"/>
      <c r="AS98" s="5"/>
      <c r="AU98" s="40"/>
      <c r="AV98" s="5"/>
      <c r="AX98" s="40"/>
      <c r="AY98" s="5"/>
      <c r="BA98" s="40"/>
      <c r="BB98" s="5"/>
      <c r="BD98" s="40"/>
      <c r="BE98" s="5"/>
      <c r="BG98" s="40"/>
      <c r="BH98" s="5"/>
      <c r="BJ98" s="40"/>
      <c r="BK98" s="5"/>
      <c r="BM98" s="40"/>
      <c r="BN98" s="5"/>
      <c r="BP98" s="40"/>
      <c r="BQ98" s="5"/>
      <c r="BS98" s="40"/>
      <c r="BT98" s="5"/>
      <c r="BV98" s="40"/>
      <c r="BW98" s="5"/>
      <c r="BY98" s="40"/>
      <c r="BZ98" s="5"/>
      <c r="CB98" s="40"/>
      <c r="CC98" s="5"/>
      <c r="CE98" s="40"/>
      <c r="CF98" s="5"/>
      <c r="CH98" s="40"/>
      <c r="CI98" s="5"/>
      <c r="CK98" s="40"/>
      <c r="CL98" s="5"/>
      <c r="CN98" s="40"/>
      <c r="CO98" s="5"/>
      <c r="CQ98" s="40"/>
      <c r="CR98" s="5"/>
    </row>
    <row r="99">
      <c r="AL99" s="40"/>
      <c r="AM99" s="5"/>
      <c r="AO99" s="40"/>
      <c r="AP99" s="5"/>
      <c r="AR99" s="40"/>
      <c r="AS99" s="5"/>
      <c r="AU99" s="40"/>
      <c r="AV99" s="5"/>
      <c r="AX99" s="40"/>
      <c r="AY99" s="5"/>
      <c r="BA99" s="40"/>
      <c r="BB99" s="5"/>
      <c r="BD99" s="40"/>
      <c r="BE99" s="5"/>
      <c r="BG99" s="40"/>
      <c r="BH99" s="5"/>
      <c r="BJ99" s="40"/>
      <c r="BK99" s="5"/>
      <c r="BM99" s="40"/>
      <c r="BN99" s="5"/>
      <c r="BP99" s="40"/>
      <c r="BQ99" s="5"/>
      <c r="BS99" s="40"/>
      <c r="BT99" s="5"/>
      <c r="BV99" s="40"/>
      <c r="BW99" s="5"/>
      <c r="BY99" s="40"/>
      <c r="BZ99" s="5"/>
      <c r="CB99" s="40"/>
      <c r="CC99" s="5"/>
      <c r="CE99" s="40"/>
      <c r="CF99" s="5"/>
      <c r="CH99" s="40"/>
      <c r="CI99" s="5"/>
      <c r="CK99" s="40"/>
      <c r="CL99" s="5"/>
      <c r="CN99" s="40"/>
      <c r="CO99" s="5"/>
      <c r="CQ99" s="40"/>
      <c r="CR99" s="5"/>
    </row>
    <row r="100">
      <c r="AL100" s="40"/>
      <c r="AM100" s="5"/>
      <c r="AO100" s="40"/>
      <c r="AP100" s="5"/>
      <c r="AR100" s="40"/>
      <c r="AS100" s="5"/>
      <c r="AU100" s="40"/>
      <c r="AV100" s="5"/>
      <c r="AX100" s="40"/>
      <c r="AY100" s="5"/>
      <c r="BA100" s="40"/>
      <c r="BB100" s="5"/>
      <c r="BD100" s="40"/>
      <c r="BE100" s="5"/>
      <c r="BG100" s="40"/>
      <c r="BH100" s="5"/>
      <c r="BJ100" s="40"/>
      <c r="BK100" s="5"/>
      <c r="BM100" s="40"/>
      <c r="BN100" s="5"/>
      <c r="BP100" s="40"/>
      <c r="BQ100" s="5"/>
      <c r="BS100" s="40"/>
      <c r="BT100" s="5"/>
      <c r="BV100" s="40"/>
      <c r="BW100" s="5"/>
      <c r="BY100" s="40"/>
      <c r="BZ100" s="5"/>
      <c r="CB100" s="40"/>
      <c r="CC100" s="5"/>
      <c r="CE100" s="40"/>
      <c r="CF100" s="5"/>
      <c r="CH100" s="40"/>
      <c r="CI100" s="5"/>
      <c r="CK100" s="40"/>
      <c r="CL100" s="5"/>
      <c r="CN100" s="40"/>
      <c r="CO100" s="5"/>
      <c r="CQ100" s="40"/>
      <c r="CR100" s="5"/>
    </row>
    <row r="101">
      <c r="AL101" s="40"/>
      <c r="AM101" s="5"/>
      <c r="AO101" s="40"/>
      <c r="AP101" s="5"/>
      <c r="AR101" s="40"/>
      <c r="AS101" s="5"/>
      <c r="AU101" s="40"/>
      <c r="AV101" s="5"/>
      <c r="AX101" s="40"/>
      <c r="AY101" s="5"/>
      <c r="BA101" s="40"/>
      <c r="BB101" s="5"/>
      <c r="BD101" s="40"/>
      <c r="BE101" s="5"/>
      <c r="BG101" s="40"/>
      <c r="BH101" s="5"/>
      <c r="BJ101" s="40"/>
      <c r="BK101" s="5"/>
      <c r="BM101" s="40"/>
      <c r="BN101" s="5"/>
      <c r="BP101" s="40"/>
      <c r="BQ101" s="5"/>
      <c r="BS101" s="40"/>
      <c r="BT101" s="5"/>
      <c r="BV101" s="40"/>
      <c r="BW101" s="5"/>
      <c r="BY101" s="40"/>
      <c r="BZ101" s="5"/>
      <c r="CB101" s="40"/>
      <c r="CC101" s="5"/>
      <c r="CE101" s="40"/>
      <c r="CF101" s="5"/>
      <c r="CH101" s="40"/>
      <c r="CI101" s="5"/>
      <c r="CK101" s="40"/>
      <c r="CL101" s="5"/>
      <c r="CN101" s="40"/>
      <c r="CO101" s="5"/>
      <c r="CQ101" s="40"/>
      <c r="CR101" s="5"/>
    </row>
    <row r="102">
      <c r="AL102" s="40"/>
      <c r="AM102" s="5"/>
      <c r="AO102" s="40"/>
      <c r="AP102" s="5"/>
      <c r="AR102" s="40"/>
      <c r="AS102" s="5"/>
      <c r="AU102" s="40"/>
      <c r="AV102" s="5"/>
      <c r="AX102" s="40"/>
      <c r="AY102" s="5"/>
      <c r="BA102" s="40"/>
      <c r="BB102" s="5"/>
      <c r="BD102" s="40"/>
      <c r="BE102" s="5"/>
      <c r="BG102" s="40"/>
      <c r="BH102" s="5"/>
      <c r="BJ102" s="40"/>
      <c r="BK102" s="5"/>
      <c r="BM102" s="40"/>
      <c r="BN102" s="5"/>
      <c r="BP102" s="40"/>
      <c r="BQ102" s="5"/>
      <c r="BS102" s="40"/>
      <c r="BT102" s="5"/>
      <c r="BV102" s="40"/>
      <c r="BW102" s="5"/>
      <c r="BY102" s="40"/>
      <c r="BZ102" s="5"/>
      <c r="CB102" s="40"/>
      <c r="CC102" s="5"/>
      <c r="CE102" s="40"/>
      <c r="CF102" s="5"/>
      <c r="CH102" s="40"/>
      <c r="CI102" s="5"/>
      <c r="CK102" s="40"/>
      <c r="CL102" s="5"/>
      <c r="CN102" s="40"/>
      <c r="CO102" s="5"/>
      <c r="CQ102" s="40"/>
      <c r="CR102" s="5"/>
    </row>
    <row r="103">
      <c r="AL103" s="40"/>
      <c r="AM103" s="5"/>
      <c r="AO103" s="40"/>
      <c r="AP103" s="5"/>
      <c r="AR103" s="40"/>
      <c r="AS103" s="5"/>
      <c r="AU103" s="40"/>
      <c r="AV103" s="5"/>
      <c r="AX103" s="40"/>
      <c r="AY103" s="5"/>
      <c r="BA103" s="40"/>
      <c r="BB103" s="5"/>
      <c r="BD103" s="40"/>
      <c r="BE103" s="5"/>
      <c r="BG103" s="40"/>
      <c r="BH103" s="5"/>
      <c r="BJ103" s="40"/>
      <c r="BK103" s="5"/>
      <c r="BM103" s="40"/>
      <c r="BN103" s="5"/>
      <c r="BP103" s="40"/>
      <c r="BQ103" s="5"/>
      <c r="BS103" s="40"/>
      <c r="BT103" s="5"/>
      <c r="BV103" s="40"/>
      <c r="BW103" s="5"/>
      <c r="BY103" s="40"/>
      <c r="BZ103" s="5"/>
      <c r="CB103" s="40"/>
      <c r="CC103" s="5"/>
      <c r="CE103" s="40"/>
      <c r="CF103" s="5"/>
      <c r="CH103" s="40"/>
      <c r="CI103" s="5"/>
      <c r="CK103" s="40"/>
      <c r="CL103" s="5"/>
      <c r="CN103" s="40"/>
      <c r="CO103" s="5"/>
      <c r="CQ103" s="40"/>
      <c r="CR103" s="5"/>
    </row>
    <row r="104">
      <c r="AL104" s="40"/>
      <c r="AM104" s="5"/>
      <c r="AO104" s="40"/>
      <c r="AP104" s="5"/>
      <c r="AR104" s="40"/>
      <c r="AS104" s="5"/>
      <c r="AU104" s="40"/>
      <c r="AV104" s="5"/>
      <c r="AX104" s="40"/>
      <c r="AY104" s="5"/>
      <c r="BA104" s="40"/>
      <c r="BB104" s="5"/>
      <c r="BD104" s="40"/>
      <c r="BE104" s="5"/>
      <c r="BG104" s="40"/>
      <c r="BH104" s="5"/>
      <c r="BJ104" s="40"/>
      <c r="BK104" s="5"/>
      <c r="BM104" s="40"/>
      <c r="BN104" s="5"/>
      <c r="BP104" s="40"/>
      <c r="BQ104" s="5"/>
      <c r="BS104" s="40"/>
      <c r="BT104" s="5"/>
      <c r="BV104" s="40"/>
      <c r="BW104" s="5"/>
      <c r="BY104" s="40"/>
      <c r="BZ104" s="5"/>
      <c r="CB104" s="40"/>
      <c r="CC104" s="5"/>
      <c r="CE104" s="40"/>
      <c r="CF104" s="5"/>
      <c r="CH104" s="40"/>
      <c r="CI104" s="5"/>
      <c r="CK104" s="40"/>
      <c r="CL104" s="5"/>
      <c r="CN104" s="40"/>
      <c r="CO104" s="5"/>
      <c r="CQ104" s="40"/>
      <c r="CR104" s="5"/>
    </row>
    <row r="105">
      <c r="AL105" s="40"/>
      <c r="AM105" s="5"/>
      <c r="AO105" s="40"/>
      <c r="AP105" s="5"/>
      <c r="AR105" s="40"/>
      <c r="AS105" s="5"/>
      <c r="AU105" s="40"/>
      <c r="AV105" s="5"/>
      <c r="AX105" s="40"/>
      <c r="AY105" s="5"/>
      <c r="BA105" s="40"/>
      <c r="BB105" s="5"/>
      <c r="BD105" s="40"/>
      <c r="BE105" s="5"/>
      <c r="BG105" s="40"/>
      <c r="BH105" s="5"/>
      <c r="BJ105" s="40"/>
      <c r="BK105" s="5"/>
      <c r="BM105" s="40"/>
      <c r="BN105" s="5"/>
      <c r="BP105" s="40"/>
      <c r="BQ105" s="5"/>
      <c r="BS105" s="40"/>
      <c r="BT105" s="5"/>
      <c r="BV105" s="40"/>
      <c r="BW105" s="5"/>
      <c r="BY105" s="40"/>
      <c r="BZ105" s="5"/>
      <c r="CB105" s="40"/>
      <c r="CC105" s="5"/>
      <c r="CE105" s="40"/>
      <c r="CF105" s="5"/>
      <c r="CH105" s="40"/>
      <c r="CI105" s="5"/>
      <c r="CK105" s="40"/>
      <c r="CL105" s="5"/>
      <c r="CN105" s="40"/>
      <c r="CO105" s="5"/>
      <c r="CQ105" s="40"/>
      <c r="CR105" s="5"/>
    </row>
    <row r="106">
      <c r="AL106" s="40"/>
      <c r="AM106" s="5"/>
      <c r="AO106" s="40"/>
      <c r="AP106" s="5"/>
      <c r="AR106" s="40"/>
      <c r="AS106" s="5"/>
      <c r="AU106" s="40"/>
      <c r="AV106" s="5"/>
      <c r="AX106" s="40"/>
      <c r="AY106" s="5"/>
      <c r="BA106" s="40"/>
      <c r="BB106" s="5"/>
      <c r="BD106" s="40"/>
      <c r="BE106" s="5"/>
      <c r="BG106" s="40"/>
      <c r="BH106" s="5"/>
      <c r="BJ106" s="40"/>
      <c r="BK106" s="5"/>
      <c r="BM106" s="40"/>
      <c r="BN106" s="5"/>
      <c r="BP106" s="40"/>
      <c r="BQ106" s="5"/>
      <c r="BS106" s="40"/>
      <c r="BT106" s="5"/>
      <c r="BV106" s="40"/>
      <c r="BW106" s="5"/>
      <c r="BY106" s="40"/>
      <c r="BZ106" s="5"/>
      <c r="CB106" s="40"/>
      <c r="CC106" s="5"/>
      <c r="CE106" s="40"/>
      <c r="CF106" s="5"/>
      <c r="CH106" s="40"/>
      <c r="CI106" s="5"/>
      <c r="CK106" s="40"/>
      <c r="CL106" s="5"/>
      <c r="CN106" s="40"/>
      <c r="CO106" s="5"/>
      <c r="CQ106" s="40"/>
      <c r="CR106" s="5"/>
    </row>
    <row r="107">
      <c r="AL107" s="40"/>
      <c r="AM107" s="5"/>
      <c r="AO107" s="40"/>
      <c r="AP107" s="5"/>
      <c r="AR107" s="40"/>
      <c r="AS107" s="5"/>
      <c r="AU107" s="40"/>
      <c r="AV107" s="5"/>
      <c r="AX107" s="40"/>
      <c r="AY107" s="5"/>
      <c r="BA107" s="40"/>
      <c r="BB107" s="5"/>
      <c r="BD107" s="40"/>
      <c r="BE107" s="5"/>
      <c r="BG107" s="40"/>
      <c r="BH107" s="5"/>
      <c r="BJ107" s="40"/>
      <c r="BK107" s="5"/>
      <c r="BM107" s="40"/>
      <c r="BN107" s="5"/>
      <c r="BP107" s="40"/>
      <c r="BQ107" s="5"/>
      <c r="BS107" s="40"/>
      <c r="BT107" s="5"/>
      <c r="BV107" s="40"/>
      <c r="BW107" s="5"/>
      <c r="BY107" s="40"/>
      <c r="BZ107" s="5"/>
      <c r="CB107" s="40"/>
      <c r="CC107" s="5"/>
      <c r="CE107" s="40"/>
      <c r="CF107" s="5"/>
      <c r="CH107" s="40"/>
      <c r="CI107" s="5"/>
      <c r="CK107" s="40"/>
      <c r="CL107" s="5"/>
      <c r="CN107" s="40"/>
      <c r="CO107" s="5"/>
      <c r="CQ107" s="40"/>
      <c r="CR107" s="5"/>
    </row>
    <row r="108">
      <c r="AL108" s="40"/>
      <c r="AM108" s="5"/>
      <c r="AO108" s="40"/>
      <c r="AP108" s="5"/>
      <c r="AR108" s="40"/>
      <c r="AS108" s="5"/>
      <c r="AU108" s="40"/>
      <c r="AV108" s="5"/>
      <c r="AX108" s="40"/>
      <c r="AY108" s="5"/>
      <c r="BA108" s="40"/>
      <c r="BB108" s="5"/>
      <c r="BD108" s="40"/>
      <c r="BE108" s="5"/>
      <c r="BG108" s="40"/>
      <c r="BH108" s="5"/>
      <c r="BJ108" s="40"/>
      <c r="BK108" s="5"/>
      <c r="BM108" s="40"/>
      <c r="BN108" s="5"/>
      <c r="BP108" s="40"/>
      <c r="BQ108" s="5"/>
      <c r="BS108" s="40"/>
      <c r="BT108" s="5"/>
      <c r="BV108" s="40"/>
      <c r="BW108" s="5"/>
      <c r="BY108" s="40"/>
      <c r="BZ108" s="5"/>
      <c r="CB108" s="40"/>
      <c r="CC108" s="5"/>
      <c r="CE108" s="40"/>
      <c r="CF108" s="5"/>
      <c r="CH108" s="40"/>
      <c r="CI108" s="5"/>
      <c r="CK108" s="40"/>
      <c r="CL108" s="5"/>
      <c r="CN108" s="40"/>
      <c r="CO108" s="5"/>
      <c r="CQ108" s="40"/>
      <c r="CR108" s="5"/>
    </row>
    <row r="109">
      <c r="AL109" s="40"/>
      <c r="AM109" s="5"/>
      <c r="AO109" s="40"/>
      <c r="AP109" s="5"/>
      <c r="AR109" s="40"/>
      <c r="AS109" s="5"/>
      <c r="AU109" s="40"/>
      <c r="AV109" s="5"/>
      <c r="AX109" s="40"/>
      <c r="AY109" s="5"/>
      <c r="BA109" s="40"/>
      <c r="BB109" s="5"/>
      <c r="BD109" s="40"/>
      <c r="BE109" s="5"/>
      <c r="BG109" s="40"/>
      <c r="BH109" s="5"/>
      <c r="BJ109" s="40"/>
      <c r="BK109" s="5"/>
      <c r="BM109" s="40"/>
      <c r="BN109" s="5"/>
      <c r="BP109" s="40"/>
      <c r="BQ109" s="5"/>
      <c r="BS109" s="40"/>
      <c r="BT109" s="5"/>
      <c r="BV109" s="40"/>
      <c r="BW109" s="5"/>
      <c r="BY109" s="40"/>
      <c r="BZ109" s="5"/>
      <c r="CB109" s="40"/>
      <c r="CC109" s="5"/>
      <c r="CE109" s="40"/>
      <c r="CF109" s="5"/>
      <c r="CH109" s="40"/>
      <c r="CI109" s="5"/>
      <c r="CK109" s="40"/>
      <c r="CL109" s="5"/>
      <c r="CN109" s="40"/>
      <c r="CO109" s="5"/>
      <c r="CQ109" s="40"/>
      <c r="CR109" s="5"/>
    </row>
    <row r="110">
      <c r="AL110" s="40"/>
      <c r="AM110" s="5"/>
      <c r="AO110" s="40"/>
      <c r="AP110" s="5"/>
      <c r="AR110" s="40"/>
      <c r="AS110" s="5"/>
      <c r="AU110" s="40"/>
      <c r="AV110" s="5"/>
      <c r="AX110" s="40"/>
      <c r="AY110" s="5"/>
      <c r="BA110" s="40"/>
      <c r="BB110" s="5"/>
      <c r="BD110" s="40"/>
      <c r="BE110" s="5"/>
      <c r="BG110" s="40"/>
      <c r="BH110" s="5"/>
      <c r="BJ110" s="40"/>
      <c r="BK110" s="5"/>
      <c r="BM110" s="40"/>
      <c r="BN110" s="5"/>
      <c r="BP110" s="40"/>
      <c r="BQ110" s="5"/>
      <c r="BS110" s="40"/>
      <c r="BT110" s="5"/>
      <c r="BV110" s="40"/>
      <c r="BW110" s="5"/>
      <c r="BY110" s="40"/>
      <c r="BZ110" s="5"/>
      <c r="CB110" s="40"/>
      <c r="CC110" s="5"/>
      <c r="CE110" s="40"/>
      <c r="CF110" s="5"/>
      <c r="CH110" s="40"/>
      <c r="CI110" s="5"/>
      <c r="CK110" s="40"/>
      <c r="CL110" s="5"/>
      <c r="CN110" s="40"/>
      <c r="CO110" s="5"/>
      <c r="CQ110" s="40"/>
      <c r="CR110" s="5"/>
    </row>
    <row r="111">
      <c r="AL111" s="40"/>
      <c r="AM111" s="5"/>
      <c r="AO111" s="40"/>
      <c r="AP111" s="5"/>
      <c r="AR111" s="40"/>
      <c r="AS111" s="5"/>
      <c r="AU111" s="40"/>
      <c r="AV111" s="5"/>
      <c r="AX111" s="40"/>
      <c r="AY111" s="5"/>
      <c r="BA111" s="40"/>
      <c r="BB111" s="5"/>
      <c r="BD111" s="40"/>
      <c r="BE111" s="5"/>
      <c r="BG111" s="40"/>
      <c r="BH111" s="5"/>
      <c r="BJ111" s="40"/>
      <c r="BK111" s="5"/>
      <c r="BM111" s="40"/>
      <c r="BN111" s="5"/>
      <c r="BP111" s="40"/>
      <c r="BQ111" s="5"/>
      <c r="BS111" s="40"/>
      <c r="BT111" s="5"/>
      <c r="BV111" s="40"/>
      <c r="BW111" s="5"/>
      <c r="BY111" s="40"/>
      <c r="BZ111" s="5"/>
      <c r="CB111" s="40"/>
      <c r="CC111" s="5"/>
      <c r="CE111" s="40"/>
      <c r="CF111" s="5"/>
      <c r="CH111" s="40"/>
      <c r="CI111" s="5"/>
      <c r="CK111" s="40"/>
      <c r="CL111" s="5"/>
      <c r="CN111" s="40"/>
      <c r="CO111" s="5"/>
      <c r="CQ111" s="40"/>
      <c r="CR111" s="5"/>
    </row>
    <row r="112">
      <c r="AL112" s="40"/>
      <c r="AM112" s="5"/>
      <c r="AO112" s="40"/>
      <c r="AP112" s="5"/>
      <c r="AR112" s="40"/>
      <c r="AS112" s="5"/>
      <c r="AU112" s="40"/>
      <c r="AV112" s="5"/>
      <c r="AX112" s="40"/>
      <c r="AY112" s="5"/>
      <c r="BA112" s="40"/>
      <c r="BB112" s="5"/>
      <c r="BD112" s="40"/>
      <c r="BE112" s="5"/>
      <c r="BG112" s="40"/>
      <c r="BH112" s="5"/>
      <c r="BJ112" s="40"/>
      <c r="BK112" s="5"/>
      <c r="BM112" s="40"/>
      <c r="BN112" s="5"/>
      <c r="BP112" s="40"/>
      <c r="BQ112" s="5"/>
      <c r="BS112" s="40"/>
      <c r="BT112" s="5"/>
      <c r="BV112" s="40"/>
      <c r="BW112" s="5"/>
      <c r="BY112" s="40"/>
      <c r="BZ112" s="5"/>
      <c r="CB112" s="40"/>
      <c r="CC112" s="5"/>
      <c r="CE112" s="40"/>
      <c r="CF112" s="5"/>
      <c r="CH112" s="40"/>
      <c r="CI112" s="5"/>
      <c r="CK112" s="40"/>
      <c r="CL112" s="5"/>
      <c r="CN112" s="40"/>
      <c r="CO112" s="5"/>
      <c r="CQ112" s="40"/>
      <c r="CR112" s="5"/>
    </row>
    <row r="113">
      <c r="AL113" s="40"/>
      <c r="AM113" s="5"/>
      <c r="AO113" s="40"/>
      <c r="AP113" s="5"/>
      <c r="AR113" s="40"/>
      <c r="AS113" s="5"/>
      <c r="AU113" s="40"/>
      <c r="AV113" s="5"/>
      <c r="AX113" s="40"/>
      <c r="AY113" s="5"/>
      <c r="BA113" s="40"/>
      <c r="BB113" s="5"/>
      <c r="BD113" s="40"/>
      <c r="BE113" s="5"/>
      <c r="BG113" s="40"/>
      <c r="BH113" s="5"/>
      <c r="BJ113" s="40"/>
      <c r="BK113" s="5"/>
      <c r="BM113" s="40"/>
      <c r="BN113" s="5"/>
      <c r="BP113" s="40"/>
      <c r="BQ113" s="5"/>
      <c r="BS113" s="40"/>
      <c r="BT113" s="5"/>
      <c r="BV113" s="40"/>
      <c r="BW113" s="5"/>
      <c r="BY113" s="40"/>
      <c r="BZ113" s="5"/>
      <c r="CB113" s="40"/>
      <c r="CC113" s="5"/>
      <c r="CE113" s="40"/>
      <c r="CF113" s="5"/>
      <c r="CH113" s="40"/>
      <c r="CI113" s="5"/>
      <c r="CK113" s="40"/>
      <c r="CL113" s="5"/>
      <c r="CN113" s="40"/>
      <c r="CO113" s="5"/>
      <c r="CQ113" s="40"/>
      <c r="CR113" s="5"/>
    </row>
    <row r="114">
      <c r="AL114" s="40"/>
      <c r="AM114" s="5"/>
      <c r="AO114" s="40"/>
      <c r="AP114" s="5"/>
      <c r="AR114" s="40"/>
      <c r="AS114" s="5"/>
      <c r="AU114" s="40"/>
      <c r="AV114" s="5"/>
      <c r="AX114" s="40"/>
      <c r="AY114" s="5"/>
      <c r="BA114" s="40"/>
      <c r="BB114" s="5"/>
      <c r="BD114" s="40"/>
      <c r="BE114" s="5"/>
      <c r="BG114" s="40"/>
      <c r="BH114" s="5"/>
      <c r="BJ114" s="40"/>
      <c r="BK114" s="5"/>
      <c r="BM114" s="40"/>
      <c r="BN114" s="5"/>
      <c r="BP114" s="40"/>
      <c r="BQ114" s="5"/>
      <c r="BS114" s="40"/>
      <c r="BT114" s="5"/>
      <c r="BV114" s="40"/>
      <c r="BW114" s="5"/>
      <c r="BY114" s="40"/>
      <c r="BZ114" s="5"/>
      <c r="CB114" s="40"/>
      <c r="CC114" s="5"/>
      <c r="CE114" s="40"/>
      <c r="CF114" s="5"/>
      <c r="CH114" s="40"/>
      <c r="CI114" s="5"/>
      <c r="CK114" s="40"/>
      <c r="CL114" s="5"/>
      <c r="CN114" s="40"/>
      <c r="CO114" s="5"/>
      <c r="CQ114" s="40"/>
      <c r="CR114" s="5"/>
    </row>
    <row r="115">
      <c r="AL115" s="40"/>
      <c r="AM115" s="5"/>
      <c r="AO115" s="40"/>
      <c r="AP115" s="5"/>
      <c r="AR115" s="40"/>
      <c r="AS115" s="5"/>
      <c r="AU115" s="40"/>
      <c r="AV115" s="5"/>
      <c r="AX115" s="40"/>
      <c r="AY115" s="5"/>
      <c r="BA115" s="40"/>
      <c r="BB115" s="5"/>
      <c r="BD115" s="40"/>
      <c r="BE115" s="5"/>
      <c r="BG115" s="40"/>
      <c r="BH115" s="5"/>
      <c r="BJ115" s="40"/>
      <c r="BK115" s="5"/>
      <c r="BM115" s="40"/>
      <c r="BN115" s="5"/>
      <c r="BP115" s="40"/>
      <c r="BQ115" s="5"/>
      <c r="BS115" s="40"/>
      <c r="BT115" s="5"/>
      <c r="BV115" s="40"/>
      <c r="BW115" s="5"/>
      <c r="BY115" s="40"/>
      <c r="BZ115" s="5"/>
      <c r="CB115" s="40"/>
      <c r="CC115" s="5"/>
      <c r="CE115" s="40"/>
      <c r="CF115" s="5"/>
      <c r="CH115" s="40"/>
      <c r="CI115" s="5"/>
      <c r="CK115" s="40"/>
      <c r="CL115" s="5"/>
      <c r="CN115" s="40"/>
      <c r="CO115" s="5"/>
      <c r="CQ115" s="40"/>
      <c r="CR115" s="5"/>
    </row>
    <row r="116">
      <c r="AL116" s="40"/>
      <c r="AM116" s="5"/>
      <c r="AO116" s="40"/>
      <c r="AP116" s="5"/>
      <c r="AR116" s="40"/>
      <c r="AS116" s="5"/>
      <c r="AU116" s="40"/>
      <c r="AV116" s="5"/>
      <c r="AX116" s="40"/>
      <c r="AY116" s="5"/>
      <c r="BA116" s="40"/>
      <c r="BB116" s="5"/>
      <c r="BD116" s="40"/>
      <c r="BE116" s="5"/>
      <c r="BG116" s="40"/>
      <c r="BH116" s="5"/>
      <c r="BJ116" s="40"/>
      <c r="BK116" s="5"/>
      <c r="BM116" s="40"/>
      <c r="BN116" s="5"/>
      <c r="BP116" s="40"/>
      <c r="BQ116" s="5"/>
      <c r="BS116" s="40"/>
      <c r="BT116" s="5"/>
      <c r="BV116" s="40"/>
      <c r="BW116" s="5"/>
      <c r="BY116" s="40"/>
      <c r="BZ116" s="5"/>
      <c r="CB116" s="40"/>
      <c r="CC116" s="5"/>
      <c r="CE116" s="40"/>
      <c r="CF116" s="5"/>
      <c r="CH116" s="40"/>
      <c r="CI116" s="5"/>
      <c r="CK116" s="40"/>
      <c r="CL116" s="5"/>
      <c r="CN116" s="40"/>
      <c r="CO116" s="5"/>
      <c r="CQ116" s="40"/>
      <c r="CR116" s="5"/>
    </row>
    <row r="117">
      <c r="AL117" s="40"/>
      <c r="AM117" s="5"/>
      <c r="AO117" s="40"/>
      <c r="AP117" s="5"/>
      <c r="AR117" s="40"/>
      <c r="AS117" s="5"/>
      <c r="AU117" s="40"/>
      <c r="AV117" s="5"/>
      <c r="AX117" s="40"/>
      <c r="AY117" s="5"/>
      <c r="BA117" s="40"/>
      <c r="BB117" s="5"/>
      <c r="BD117" s="40"/>
      <c r="BE117" s="5"/>
      <c r="BG117" s="40"/>
      <c r="BH117" s="5"/>
      <c r="BJ117" s="40"/>
      <c r="BK117" s="5"/>
      <c r="BM117" s="40"/>
      <c r="BN117" s="5"/>
      <c r="BP117" s="40"/>
      <c r="BQ117" s="5"/>
      <c r="BS117" s="40"/>
      <c r="BT117" s="5"/>
      <c r="BV117" s="40"/>
      <c r="BW117" s="5"/>
      <c r="BY117" s="40"/>
      <c r="BZ117" s="5"/>
      <c r="CB117" s="40"/>
      <c r="CC117" s="5"/>
      <c r="CE117" s="40"/>
      <c r="CF117" s="5"/>
      <c r="CH117" s="40"/>
      <c r="CI117" s="5"/>
      <c r="CK117" s="40"/>
      <c r="CL117" s="5"/>
      <c r="CN117" s="40"/>
      <c r="CO117" s="5"/>
      <c r="CQ117" s="40"/>
      <c r="CR117" s="5"/>
    </row>
    <row r="118">
      <c r="AL118" s="40"/>
      <c r="AM118" s="5"/>
      <c r="AO118" s="40"/>
      <c r="AP118" s="5"/>
      <c r="AR118" s="40"/>
      <c r="AS118" s="5"/>
      <c r="AU118" s="40"/>
      <c r="AV118" s="5"/>
      <c r="AX118" s="40"/>
      <c r="AY118" s="5"/>
      <c r="BA118" s="40"/>
      <c r="BB118" s="5"/>
      <c r="BD118" s="40"/>
      <c r="BE118" s="5"/>
      <c r="BG118" s="40"/>
      <c r="BH118" s="5"/>
      <c r="BJ118" s="40"/>
      <c r="BK118" s="5"/>
      <c r="BM118" s="40"/>
      <c r="BN118" s="5"/>
      <c r="BP118" s="40"/>
      <c r="BQ118" s="5"/>
      <c r="BS118" s="40"/>
      <c r="BT118" s="5"/>
      <c r="BV118" s="40"/>
      <c r="BW118" s="5"/>
      <c r="BY118" s="40"/>
      <c r="BZ118" s="5"/>
      <c r="CB118" s="40"/>
      <c r="CC118" s="5"/>
      <c r="CE118" s="40"/>
      <c r="CF118" s="5"/>
      <c r="CH118" s="40"/>
      <c r="CI118" s="5"/>
      <c r="CK118" s="40"/>
      <c r="CL118" s="5"/>
      <c r="CN118" s="40"/>
      <c r="CO118" s="5"/>
      <c r="CQ118" s="40"/>
      <c r="CR118" s="5"/>
    </row>
    <row r="119">
      <c r="AL119" s="40"/>
      <c r="AM119" s="5"/>
      <c r="AO119" s="40"/>
      <c r="AP119" s="5"/>
      <c r="AR119" s="40"/>
      <c r="AS119" s="5"/>
      <c r="AU119" s="40"/>
      <c r="AV119" s="5"/>
      <c r="AX119" s="40"/>
      <c r="AY119" s="5"/>
      <c r="BA119" s="40"/>
      <c r="BB119" s="5"/>
      <c r="BD119" s="40"/>
      <c r="BE119" s="5"/>
      <c r="BG119" s="40"/>
      <c r="BH119" s="5"/>
      <c r="BJ119" s="40"/>
      <c r="BK119" s="5"/>
      <c r="BM119" s="40"/>
      <c r="BN119" s="5"/>
      <c r="BP119" s="40"/>
      <c r="BQ119" s="5"/>
      <c r="BS119" s="40"/>
      <c r="BT119" s="5"/>
      <c r="BV119" s="40"/>
      <c r="BW119" s="5"/>
      <c r="BY119" s="40"/>
      <c r="BZ119" s="5"/>
      <c r="CB119" s="40"/>
      <c r="CC119" s="5"/>
      <c r="CE119" s="40"/>
      <c r="CF119" s="5"/>
      <c r="CH119" s="40"/>
      <c r="CI119" s="5"/>
      <c r="CK119" s="40"/>
      <c r="CL119" s="5"/>
      <c r="CN119" s="40"/>
      <c r="CO119" s="5"/>
      <c r="CQ119" s="40"/>
      <c r="CR119" s="5"/>
    </row>
    <row r="120">
      <c r="AL120" s="40"/>
      <c r="AM120" s="5"/>
      <c r="AO120" s="40"/>
      <c r="AP120" s="5"/>
      <c r="AR120" s="40"/>
      <c r="AS120" s="5"/>
      <c r="AU120" s="40"/>
      <c r="AV120" s="5"/>
      <c r="AX120" s="40"/>
      <c r="AY120" s="5"/>
      <c r="BA120" s="40"/>
      <c r="BB120" s="5"/>
      <c r="BD120" s="40"/>
      <c r="BE120" s="5"/>
      <c r="BG120" s="40"/>
      <c r="BH120" s="5"/>
      <c r="BJ120" s="40"/>
      <c r="BK120" s="5"/>
      <c r="BM120" s="40"/>
      <c r="BN120" s="5"/>
      <c r="BP120" s="40"/>
      <c r="BQ120" s="5"/>
      <c r="BS120" s="40"/>
      <c r="BT120" s="5"/>
      <c r="BV120" s="40"/>
      <c r="BW120" s="5"/>
      <c r="BY120" s="40"/>
      <c r="BZ120" s="5"/>
      <c r="CB120" s="40"/>
      <c r="CC120" s="5"/>
      <c r="CE120" s="40"/>
      <c r="CF120" s="5"/>
      <c r="CH120" s="40"/>
      <c r="CI120" s="5"/>
      <c r="CK120" s="40"/>
      <c r="CL120" s="5"/>
      <c r="CN120" s="40"/>
      <c r="CO120" s="5"/>
      <c r="CQ120" s="40"/>
      <c r="CR120" s="5"/>
    </row>
    <row r="121">
      <c r="AL121" s="40"/>
      <c r="AM121" s="5"/>
      <c r="AO121" s="40"/>
      <c r="AP121" s="5"/>
      <c r="AR121" s="40"/>
      <c r="AS121" s="5"/>
      <c r="AU121" s="40"/>
      <c r="AV121" s="5"/>
      <c r="AX121" s="40"/>
      <c r="AY121" s="5"/>
      <c r="BA121" s="40"/>
      <c r="BB121" s="5"/>
      <c r="BD121" s="40"/>
      <c r="BE121" s="5"/>
      <c r="BG121" s="40"/>
      <c r="BH121" s="5"/>
      <c r="BJ121" s="40"/>
      <c r="BK121" s="5"/>
      <c r="BM121" s="40"/>
      <c r="BN121" s="5"/>
      <c r="BP121" s="40"/>
      <c r="BQ121" s="5"/>
      <c r="BS121" s="40"/>
      <c r="BT121" s="5"/>
      <c r="BV121" s="40"/>
      <c r="BW121" s="5"/>
      <c r="BY121" s="40"/>
      <c r="BZ121" s="5"/>
      <c r="CB121" s="40"/>
      <c r="CC121" s="5"/>
      <c r="CE121" s="40"/>
      <c r="CF121" s="5"/>
      <c r="CH121" s="40"/>
      <c r="CI121" s="5"/>
      <c r="CK121" s="40"/>
      <c r="CL121" s="5"/>
      <c r="CN121" s="40"/>
      <c r="CO121" s="5"/>
      <c r="CQ121" s="40"/>
      <c r="CR121" s="5"/>
    </row>
    <row r="122">
      <c r="AL122" s="40"/>
      <c r="AM122" s="5"/>
      <c r="AO122" s="40"/>
      <c r="AP122" s="5"/>
      <c r="AR122" s="40"/>
      <c r="AS122" s="5"/>
      <c r="AU122" s="40"/>
      <c r="AV122" s="5"/>
      <c r="AX122" s="40"/>
      <c r="AY122" s="5"/>
      <c r="BA122" s="40"/>
      <c r="BB122" s="5"/>
      <c r="BD122" s="40"/>
      <c r="BE122" s="5"/>
      <c r="BG122" s="40"/>
      <c r="BH122" s="5"/>
      <c r="BJ122" s="40"/>
      <c r="BK122" s="5"/>
      <c r="BM122" s="40"/>
      <c r="BN122" s="5"/>
      <c r="BP122" s="40"/>
      <c r="BQ122" s="5"/>
      <c r="BS122" s="40"/>
      <c r="BT122" s="5"/>
      <c r="BV122" s="40"/>
      <c r="BW122" s="5"/>
      <c r="BY122" s="40"/>
      <c r="BZ122" s="5"/>
      <c r="CB122" s="40"/>
      <c r="CC122" s="5"/>
      <c r="CE122" s="40"/>
      <c r="CF122" s="5"/>
      <c r="CH122" s="40"/>
      <c r="CI122" s="5"/>
      <c r="CK122" s="40"/>
      <c r="CL122" s="5"/>
      <c r="CN122" s="40"/>
      <c r="CO122" s="5"/>
      <c r="CQ122" s="40"/>
      <c r="CR122" s="5"/>
    </row>
    <row r="123">
      <c r="AL123" s="40"/>
      <c r="AM123" s="5"/>
      <c r="AO123" s="40"/>
      <c r="AP123" s="5"/>
      <c r="AR123" s="40"/>
      <c r="AS123" s="5"/>
      <c r="AU123" s="40"/>
      <c r="AV123" s="5"/>
      <c r="AX123" s="40"/>
      <c r="AY123" s="5"/>
      <c r="BA123" s="40"/>
      <c r="BB123" s="5"/>
      <c r="BD123" s="40"/>
      <c r="BE123" s="5"/>
      <c r="BG123" s="40"/>
      <c r="BH123" s="5"/>
      <c r="BJ123" s="40"/>
      <c r="BK123" s="5"/>
      <c r="BM123" s="40"/>
      <c r="BN123" s="5"/>
      <c r="BP123" s="40"/>
      <c r="BQ123" s="5"/>
      <c r="BS123" s="40"/>
      <c r="BT123" s="5"/>
      <c r="BV123" s="40"/>
      <c r="BW123" s="5"/>
      <c r="BY123" s="40"/>
      <c r="BZ123" s="5"/>
      <c r="CB123" s="40"/>
      <c r="CC123" s="5"/>
      <c r="CE123" s="40"/>
      <c r="CF123" s="5"/>
      <c r="CH123" s="40"/>
      <c r="CI123" s="5"/>
      <c r="CK123" s="40"/>
      <c r="CL123" s="5"/>
      <c r="CN123" s="40"/>
      <c r="CO123" s="5"/>
      <c r="CQ123" s="40"/>
      <c r="CR123" s="5"/>
    </row>
    <row r="124">
      <c r="AL124" s="40"/>
      <c r="AM124" s="5"/>
      <c r="AO124" s="40"/>
      <c r="AP124" s="5"/>
      <c r="AR124" s="40"/>
      <c r="AS124" s="5"/>
      <c r="AU124" s="40"/>
      <c r="AV124" s="5"/>
      <c r="AX124" s="40"/>
      <c r="AY124" s="5"/>
      <c r="BA124" s="40"/>
      <c r="BB124" s="5"/>
      <c r="BD124" s="40"/>
      <c r="BE124" s="5"/>
      <c r="BG124" s="40"/>
      <c r="BH124" s="5"/>
      <c r="BJ124" s="40"/>
      <c r="BK124" s="5"/>
      <c r="BM124" s="40"/>
      <c r="BN124" s="5"/>
      <c r="BP124" s="40"/>
      <c r="BQ124" s="5"/>
      <c r="BS124" s="40"/>
      <c r="BT124" s="5"/>
      <c r="BV124" s="40"/>
      <c r="BW124" s="5"/>
      <c r="BY124" s="40"/>
      <c r="BZ124" s="5"/>
      <c r="CB124" s="40"/>
      <c r="CC124" s="5"/>
      <c r="CE124" s="40"/>
      <c r="CF124" s="5"/>
      <c r="CH124" s="40"/>
      <c r="CI124" s="5"/>
      <c r="CK124" s="40"/>
      <c r="CL124" s="5"/>
      <c r="CN124" s="40"/>
      <c r="CO124" s="5"/>
      <c r="CQ124" s="40"/>
      <c r="CR124" s="5"/>
    </row>
    <row r="125">
      <c r="AL125" s="40"/>
      <c r="AM125" s="5"/>
      <c r="AO125" s="40"/>
      <c r="AP125" s="5"/>
      <c r="AR125" s="40"/>
      <c r="AS125" s="5"/>
      <c r="AU125" s="40"/>
      <c r="AV125" s="5"/>
      <c r="AX125" s="40"/>
      <c r="AY125" s="5"/>
      <c r="BA125" s="40"/>
      <c r="BB125" s="5"/>
      <c r="BD125" s="40"/>
      <c r="BE125" s="5"/>
      <c r="BG125" s="40"/>
      <c r="BH125" s="5"/>
      <c r="BJ125" s="40"/>
      <c r="BK125" s="5"/>
      <c r="BM125" s="40"/>
      <c r="BN125" s="5"/>
      <c r="BP125" s="40"/>
      <c r="BQ125" s="5"/>
      <c r="BS125" s="40"/>
      <c r="BT125" s="5"/>
      <c r="BV125" s="40"/>
      <c r="BW125" s="5"/>
      <c r="BY125" s="40"/>
      <c r="BZ125" s="5"/>
      <c r="CB125" s="40"/>
      <c r="CC125" s="5"/>
      <c r="CE125" s="40"/>
      <c r="CF125" s="5"/>
      <c r="CH125" s="40"/>
      <c r="CI125" s="5"/>
      <c r="CK125" s="40"/>
      <c r="CL125" s="5"/>
      <c r="CN125" s="40"/>
      <c r="CO125" s="5"/>
      <c r="CQ125" s="40"/>
      <c r="CR125" s="5"/>
    </row>
    <row r="126">
      <c r="AL126" s="40"/>
      <c r="AM126" s="5"/>
      <c r="AO126" s="40"/>
      <c r="AP126" s="5"/>
      <c r="AR126" s="40"/>
      <c r="AS126" s="5"/>
      <c r="AU126" s="40"/>
      <c r="AV126" s="5"/>
      <c r="AX126" s="40"/>
      <c r="AY126" s="5"/>
      <c r="BA126" s="40"/>
      <c r="BB126" s="5"/>
      <c r="BD126" s="40"/>
      <c r="BE126" s="5"/>
      <c r="BG126" s="40"/>
      <c r="BH126" s="5"/>
      <c r="BJ126" s="40"/>
      <c r="BK126" s="5"/>
      <c r="BM126" s="40"/>
      <c r="BN126" s="5"/>
      <c r="BP126" s="40"/>
      <c r="BQ126" s="5"/>
      <c r="BS126" s="40"/>
      <c r="BT126" s="5"/>
      <c r="BV126" s="40"/>
      <c r="BW126" s="5"/>
      <c r="BY126" s="40"/>
      <c r="BZ126" s="5"/>
      <c r="CB126" s="40"/>
      <c r="CC126" s="5"/>
      <c r="CE126" s="40"/>
      <c r="CF126" s="5"/>
      <c r="CH126" s="40"/>
      <c r="CI126" s="5"/>
      <c r="CK126" s="40"/>
      <c r="CL126" s="5"/>
      <c r="CN126" s="40"/>
      <c r="CO126" s="5"/>
      <c r="CQ126" s="40"/>
      <c r="CR126" s="5"/>
    </row>
    <row r="127">
      <c r="AL127" s="40"/>
      <c r="AM127" s="5"/>
      <c r="AO127" s="40"/>
      <c r="AP127" s="5"/>
      <c r="AR127" s="40"/>
      <c r="AS127" s="5"/>
      <c r="AU127" s="40"/>
      <c r="AV127" s="5"/>
      <c r="AX127" s="40"/>
      <c r="AY127" s="5"/>
      <c r="BA127" s="40"/>
      <c r="BB127" s="5"/>
      <c r="BD127" s="40"/>
      <c r="BE127" s="5"/>
      <c r="BG127" s="40"/>
      <c r="BH127" s="5"/>
      <c r="BJ127" s="40"/>
      <c r="BK127" s="5"/>
      <c r="BM127" s="40"/>
      <c r="BN127" s="5"/>
      <c r="BP127" s="40"/>
      <c r="BQ127" s="5"/>
      <c r="BS127" s="40"/>
      <c r="BT127" s="5"/>
      <c r="BV127" s="40"/>
      <c r="BW127" s="5"/>
      <c r="BY127" s="40"/>
      <c r="BZ127" s="5"/>
      <c r="CB127" s="40"/>
      <c r="CC127" s="5"/>
      <c r="CE127" s="40"/>
      <c r="CF127" s="5"/>
      <c r="CH127" s="40"/>
      <c r="CI127" s="5"/>
      <c r="CK127" s="40"/>
      <c r="CL127" s="5"/>
      <c r="CN127" s="40"/>
      <c r="CO127" s="5"/>
      <c r="CQ127" s="40"/>
      <c r="CR127" s="5"/>
    </row>
    <row r="128">
      <c r="AL128" s="40"/>
      <c r="AM128" s="5"/>
      <c r="AO128" s="40"/>
      <c r="AP128" s="5"/>
      <c r="AR128" s="40"/>
      <c r="AS128" s="5"/>
      <c r="AU128" s="40"/>
      <c r="AV128" s="5"/>
      <c r="AX128" s="40"/>
      <c r="AY128" s="5"/>
      <c r="BA128" s="40"/>
      <c r="BB128" s="5"/>
      <c r="BD128" s="40"/>
      <c r="BE128" s="5"/>
      <c r="BG128" s="40"/>
      <c r="BH128" s="5"/>
      <c r="BJ128" s="40"/>
      <c r="BK128" s="5"/>
      <c r="BM128" s="40"/>
      <c r="BN128" s="5"/>
      <c r="BP128" s="40"/>
      <c r="BQ128" s="5"/>
      <c r="BS128" s="40"/>
      <c r="BT128" s="5"/>
      <c r="BV128" s="40"/>
      <c r="BW128" s="5"/>
      <c r="BY128" s="40"/>
      <c r="BZ128" s="5"/>
      <c r="CB128" s="40"/>
      <c r="CC128" s="5"/>
      <c r="CE128" s="40"/>
      <c r="CF128" s="5"/>
      <c r="CH128" s="40"/>
      <c r="CI128" s="5"/>
      <c r="CK128" s="40"/>
      <c r="CL128" s="5"/>
      <c r="CN128" s="40"/>
      <c r="CO128" s="5"/>
      <c r="CQ128" s="40"/>
      <c r="CR128" s="5"/>
    </row>
    <row r="129">
      <c r="AL129" s="40"/>
      <c r="AM129" s="5"/>
      <c r="AO129" s="40"/>
      <c r="AP129" s="5"/>
      <c r="AR129" s="40"/>
      <c r="AS129" s="5"/>
      <c r="AU129" s="40"/>
      <c r="AV129" s="5"/>
      <c r="AX129" s="40"/>
      <c r="AY129" s="5"/>
      <c r="BA129" s="40"/>
      <c r="BB129" s="5"/>
      <c r="BD129" s="40"/>
      <c r="BE129" s="5"/>
      <c r="BG129" s="40"/>
      <c r="BH129" s="5"/>
      <c r="BJ129" s="40"/>
      <c r="BK129" s="5"/>
      <c r="BM129" s="40"/>
      <c r="BN129" s="5"/>
      <c r="BP129" s="40"/>
      <c r="BQ129" s="5"/>
      <c r="BS129" s="40"/>
      <c r="BT129" s="5"/>
      <c r="BV129" s="40"/>
      <c r="BW129" s="5"/>
      <c r="BY129" s="40"/>
      <c r="BZ129" s="5"/>
      <c r="CB129" s="40"/>
      <c r="CC129" s="5"/>
      <c r="CE129" s="40"/>
      <c r="CF129" s="5"/>
      <c r="CH129" s="40"/>
      <c r="CI129" s="5"/>
      <c r="CK129" s="40"/>
      <c r="CL129" s="5"/>
      <c r="CN129" s="40"/>
      <c r="CO129" s="5"/>
      <c r="CQ129" s="40"/>
      <c r="CR129" s="5"/>
    </row>
    <row r="130">
      <c r="AL130" s="40"/>
      <c r="AM130" s="5"/>
      <c r="AO130" s="40"/>
      <c r="AP130" s="5"/>
      <c r="AR130" s="40"/>
      <c r="AS130" s="5"/>
      <c r="AU130" s="40"/>
      <c r="AV130" s="5"/>
      <c r="AX130" s="40"/>
      <c r="AY130" s="5"/>
      <c r="BA130" s="40"/>
      <c r="BB130" s="5"/>
      <c r="BD130" s="40"/>
      <c r="BE130" s="5"/>
      <c r="BG130" s="40"/>
      <c r="BH130" s="5"/>
      <c r="BJ130" s="40"/>
      <c r="BK130" s="5"/>
      <c r="BM130" s="40"/>
      <c r="BN130" s="5"/>
      <c r="BP130" s="40"/>
      <c r="BQ130" s="5"/>
      <c r="BS130" s="40"/>
      <c r="BT130" s="5"/>
      <c r="BV130" s="40"/>
      <c r="BW130" s="5"/>
      <c r="BY130" s="40"/>
      <c r="BZ130" s="5"/>
      <c r="CB130" s="40"/>
      <c r="CC130" s="5"/>
      <c r="CE130" s="40"/>
      <c r="CF130" s="5"/>
      <c r="CH130" s="40"/>
      <c r="CI130" s="5"/>
      <c r="CK130" s="40"/>
      <c r="CL130" s="5"/>
      <c r="CN130" s="40"/>
      <c r="CO130" s="5"/>
      <c r="CQ130" s="40"/>
      <c r="CR130" s="5"/>
    </row>
    <row r="131">
      <c r="AL131" s="40"/>
      <c r="AM131" s="5"/>
      <c r="AO131" s="40"/>
      <c r="AP131" s="5"/>
      <c r="AR131" s="40"/>
      <c r="AS131" s="5"/>
      <c r="AU131" s="40"/>
      <c r="AV131" s="5"/>
      <c r="AX131" s="40"/>
      <c r="AY131" s="5"/>
      <c r="BA131" s="40"/>
      <c r="BB131" s="5"/>
      <c r="BD131" s="40"/>
      <c r="BE131" s="5"/>
      <c r="BG131" s="40"/>
      <c r="BH131" s="5"/>
      <c r="BJ131" s="40"/>
      <c r="BK131" s="5"/>
      <c r="BM131" s="40"/>
      <c r="BN131" s="5"/>
      <c r="BP131" s="40"/>
      <c r="BQ131" s="5"/>
      <c r="BS131" s="40"/>
      <c r="BT131" s="5"/>
      <c r="BV131" s="40"/>
      <c r="BW131" s="5"/>
      <c r="BY131" s="40"/>
      <c r="BZ131" s="5"/>
      <c r="CB131" s="40"/>
      <c r="CC131" s="5"/>
      <c r="CE131" s="40"/>
      <c r="CF131" s="5"/>
      <c r="CH131" s="40"/>
      <c r="CI131" s="5"/>
      <c r="CK131" s="40"/>
      <c r="CL131" s="5"/>
      <c r="CN131" s="40"/>
      <c r="CO131" s="5"/>
      <c r="CQ131" s="40"/>
      <c r="CR131" s="5"/>
    </row>
    <row r="132">
      <c r="AL132" s="40"/>
      <c r="AM132" s="5"/>
      <c r="AO132" s="40"/>
      <c r="AP132" s="5"/>
      <c r="AR132" s="40"/>
      <c r="AS132" s="5"/>
      <c r="AU132" s="40"/>
      <c r="AV132" s="5"/>
      <c r="AX132" s="40"/>
      <c r="AY132" s="5"/>
      <c r="BA132" s="40"/>
      <c r="BB132" s="5"/>
      <c r="BD132" s="40"/>
      <c r="BE132" s="5"/>
      <c r="BG132" s="40"/>
      <c r="BH132" s="5"/>
      <c r="BJ132" s="40"/>
      <c r="BK132" s="5"/>
      <c r="BM132" s="40"/>
      <c r="BN132" s="5"/>
      <c r="BP132" s="40"/>
      <c r="BQ132" s="5"/>
      <c r="BS132" s="40"/>
      <c r="BT132" s="5"/>
      <c r="BV132" s="40"/>
      <c r="BW132" s="5"/>
      <c r="BY132" s="40"/>
      <c r="BZ132" s="5"/>
      <c r="CB132" s="40"/>
      <c r="CC132" s="5"/>
      <c r="CE132" s="40"/>
      <c r="CF132" s="5"/>
      <c r="CH132" s="40"/>
      <c r="CI132" s="5"/>
      <c r="CK132" s="40"/>
      <c r="CL132" s="5"/>
      <c r="CN132" s="40"/>
      <c r="CO132" s="5"/>
      <c r="CQ132" s="40"/>
      <c r="CR132" s="5"/>
    </row>
    <row r="133">
      <c r="AL133" s="40"/>
      <c r="AM133" s="5"/>
      <c r="AO133" s="40"/>
      <c r="AP133" s="5"/>
      <c r="AR133" s="40"/>
      <c r="AS133" s="5"/>
      <c r="AU133" s="40"/>
      <c r="AV133" s="5"/>
      <c r="AX133" s="40"/>
      <c r="AY133" s="5"/>
      <c r="BA133" s="40"/>
      <c r="BB133" s="5"/>
      <c r="BD133" s="40"/>
      <c r="BE133" s="5"/>
      <c r="BG133" s="40"/>
      <c r="BH133" s="5"/>
      <c r="BJ133" s="40"/>
      <c r="BK133" s="5"/>
      <c r="BM133" s="40"/>
      <c r="BN133" s="5"/>
      <c r="BP133" s="40"/>
      <c r="BQ133" s="5"/>
      <c r="BS133" s="40"/>
      <c r="BT133" s="5"/>
      <c r="BV133" s="40"/>
      <c r="BW133" s="5"/>
      <c r="BY133" s="40"/>
      <c r="BZ133" s="5"/>
      <c r="CB133" s="40"/>
      <c r="CC133" s="5"/>
      <c r="CE133" s="40"/>
      <c r="CF133" s="5"/>
      <c r="CH133" s="40"/>
      <c r="CI133" s="5"/>
      <c r="CK133" s="40"/>
      <c r="CL133" s="5"/>
      <c r="CN133" s="40"/>
      <c r="CO133" s="5"/>
      <c r="CQ133" s="40"/>
      <c r="CR133" s="5"/>
    </row>
    <row r="134">
      <c r="AL134" s="40"/>
      <c r="AM134" s="5"/>
      <c r="AO134" s="40"/>
      <c r="AP134" s="5"/>
      <c r="AR134" s="40"/>
      <c r="AS134" s="5"/>
      <c r="AU134" s="40"/>
      <c r="AV134" s="5"/>
      <c r="AX134" s="40"/>
      <c r="AY134" s="5"/>
      <c r="BA134" s="40"/>
      <c r="BB134" s="5"/>
      <c r="BD134" s="40"/>
      <c r="BE134" s="5"/>
      <c r="BG134" s="40"/>
      <c r="BH134" s="5"/>
      <c r="BJ134" s="40"/>
      <c r="BK134" s="5"/>
      <c r="BM134" s="40"/>
      <c r="BN134" s="5"/>
      <c r="BP134" s="40"/>
      <c r="BQ134" s="5"/>
      <c r="BS134" s="40"/>
      <c r="BT134" s="5"/>
      <c r="BV134" s="40"/>
      <c r="BW134" s="5"/>
      <c r="BY134" s="40"/>
      <c r="BZ134" s="5"/>
      <c r="CB134" s="40"/>
      <c r="CC134" s="5"/>
      <c r="CE134" s="40"/>
      <c r="CF134" s="5"/>
      <c r="CH134" s="40"/>
      <c r="CI134" s="5"/>
      <c r="CK134" s="40"/>
      <c r="CL134" s="5"/>
      <c r="CN134" s="40"/>
      <c r="CO134" s="5"/>
      <c r="CQ134" s="40"/>
      <c r="CR134" s="5"/>
    </row>
    <row r="135">
      <c r="AL135" s="40"/>
      <c r="AM135" s="5"/>
      <c r="AO135" s="40"/>
      <c r="AP135" s="5"/>
      <c r="AR135" s="40"/>
      <c r="AS135" s="5"/>
      <c r="AU135" s="40"/>
      <c r="AV135" s="5"/>
      <c r="AX135" s="40"/>
      <c r="AY135" s="5"/>
      <c r="BA135" s="40"/>
      <c r="BB135" s="5"/>
      <c r="BD135" s="40"/>
      <c r="BE135" s="5"/>
      <c r="BG135" s="40"/>
      <c r="BH135" s="5"/>
      <c r="BJ135" s="40"/>
      <c r="BK135" s="5"/>
      <c r="BM135" s="40"/>
      <c r="BN135" s="5"/>
      <c r="BP135" s="40"/>
      <c r="BQ135" s="5"/>
      <c r="BS135" s="40"/>
      <c r="BT135" s="5"/>
      <c r="BV135" s="40"/>
      <c r="BW135" s="5"/>
      <c r="BY135" s="40"/>
      <c r="BZ135" s="5"/>
      <c r="CB135" s="40"/>
      <c r="CC135" s="5"/>
      <c r="CE135" s="40"/>
      <c r="CF135" s="5"/>
      <c r="CH135" s="40"/>
      <c r="CI135" s="5"/>
      <c r="CK135" s="40"/>
      <c r="CL135" s="5"/>
      <c r="CN135" s="40"/>
      <c r="CO135" s="5"/>
      <c r="CQ135" s="40"/>
      <c r="CR135" s="5"/>
    </row>
    <row r="136">
      <c r="AL136" s="40"/>
      <c r="AM136" s="5"/>
      <c r="AO136" s="40"/>
      <c r="AP136" s="5"/>
      <c r="AR136" s="40"/>
      <c r="AS136" s="5"/>
      <c r="AU136" s="40"/>
      <c r="AV136" s="5"/>
      <c r="AX136" s="40"/>
      <c r="AY136" s="5"/>
      <c r="BA136" s="40"/>
      <c r="BB136" s="5"/>
      <c r="BD136" s="40"/>
      <c r="BE136" s="5"/>
      <c r="BG136" s="40"/>
      <c r="BH136" s="5"/>
      <c r="BJ136" s="40"/>
      <c r="BK136" s="5"/>
      <c r="BM136" s="40"/>
      <c r="BN136" s="5"/>
      <c r="BP136" s="40"/>
      <c r="BQ136" s="5"/>
      <c r="BS136" s="40"/>
      <c r="BT136" s="5"/>
      <c r="BV136" s="40"/>
      <c r="BW136" s="5"/>
      <c r="BY136" s="40"/>
      <c r="BZ136" s="5"/>
      <c r="CB136" s="40"/>
      <c r="CC136" s="5"/>
      <c r="CE136" s="40"/>
      <c r="CF136" s="5"/>
      <c r="CH136" s="40"/>
      <c r="CI136" s="5"/>
      <c r="CK136" s="40"/>
      <c r="CL136" s="5"/>
      <c r="CN136" s="40"/>
      <c r="CO136" s="5"/>
      <c r="CQ136" s="40"/>
      <c r="CR136" s="5"/>
    </row>
    <row r="137">
      <c r="AL137" s="40"/>
      <c r="AM137" s="5"/>
      <c r="AO137" s="40"/>
      <c r="AP137" s="5"/>
      <c r="AR137" s="40"/>
      <c r="AS137" s="5"/>
      <c r="AU137" s="40"/>
      <c r="AV137" s="5"/>
      <c r="AX137" s="40"/>
      <c r="AY137" s="5"/>
      <c r="BA137" s="40"/>
      <c r="BB137" s="5"/>
      <c r="BD137" s="40"/>
      <c r="BE137" s="5"/>
      <c r="BG137" s="40"/>
      <c r="BH137" s="5"/>
      <c r="BJ137" s="40"/>
      <c r="BK137" s="5"/>
      <c r="BM137" s="40"/>
      <c r="BN137" s="5"/>
      <c r="BP137" s="40"/>
      <c r="BQ137" s="5"/>
      <c r="BS137" s="40"/>
      <c r="BT137" s="5"/>
      <c r="BV137" s="40"/>
      <c r="BW137" s="5"/>
      <c r="BY137" s="40"/>
      <c r="BZ137" s="5"/>
      <c r="CB137" s="40"/>
      <c r="CC137" s="5"/>
      <c r="CE137" s="40"/>
      <c r="CF137" s="5"/>
      <c r="CH137" s="40"/>
      <c r="CI137" s="5"/>
      <c r="CK137" s="40"/>
      <c r="CL137" s="5"/>
      <c r="CN137" s="40"/>
      <c r="CO137" s="5"/>
      <c r="CQ137" s="40"/>
      <c r="CR137" s="5"/>
    </row>
    <row r="138">
      <c r="AL138" s="40"/>
      <c r="AM138" s="5"/>
      <c r="AO138" s="40"/>
      <c r="AP138" s="5"/>
      <c r="AR138" s="40"/>
      <c r="AS138" s="5"/>
      <c r="AU138" s="40"/>
      <c r="AV138" s="5"/>
      <c r="AX138" s="40"/>
      <c r="AY138" s="5"/>
      <c r="BA138" s="40"/>
      <c r="BB138" s="5"/>
      <c r="BD138" s="40"/>
      <c r="BE138" s="5"/>
      <c r="BG138" s="40"/>
      <c r="BH138" s="5"/>
      <c r="BJ138" s="40"/>
      <c r="BK138" s="5"/>
      <c r="BM138" s="40"/>
      <c r="BN138" s="5"/>
      <c r="BP138" s="40"/>
      <c r="BQ138" s="5"/>
      <c r="BS138" s="40"/>
      <c r="BT138" s="5"/>
      <c r="BV138" s="40"/>
      <c r="BW138" s="5"/>
      <c r="BY138" s="40"/>
      <c r="BZ138" s="5"/>
      <c r="CB138" s="40"/>
      <c r="CC138" s="5"/>
      <c r="CE138" s="40"/>
      <c r="CF138" s="5"/>
      <c r="CH138" s="40"/>
      <c r="CI138" s="5"/>
      <c r="CK138" s="40"/>
      <c r="CL138" s="5"/>
      <c r="CN138" s="40"/>
      <c r="CO138" s="5"/>
      <c r="CQ138" s="40"/>
      <c r="CR138" s="5"/>
    </row>
    <row r="139">
      <c r="AL139" s="40"/>
      <c r="AM139" s="5"/>
      <c r="AO139" s="40"/>
      <c r="AP139" s="5"/>
      <c r="AR139" s="40"/>
      <c r="AS139" s="5"/>
      <c r="AU139" s="40"/>
      <c r="AV139" s="5"/>
      <c r="AX139" s="40"/>
      <c r="AY139" s="5"/>
      <c r="BA139" s="40"/>
      <c r="BB139" s="5"/>
      <c r="BD139" s="40"/>
      <c r="BE139" s="5"/>
      <c r="BG139" s="40"/>
      <c r="BH139" s="5"/>
      <c r="BJ139" s="40"/>
      <c r="BK139" s="5"/>
      <c r="BM139" s="40"/>
      <c r="BN139" s="5"/>
      <c r="BP139" s="40"/>
      <c r="BQ139" s="5"/>
      <c r="BS139" s="40"/>
      <c r="BT139" s="5"/>
      <c r="BV139" s="40"/>
      <c r="BW139" s="5"/>
      <c r="BY139" s="40"/>
      <c r="BZ139" s="5"/>
      <c r="CB139" s="40"/>
      <c r="CC139" s="5"/>
      <c r="CE139" s="40"/>
      <c r="CF139" s="5"/>
      <c r="CH139" s="40"/>
      <c r="CI139" s="5"/>
      <c r="CK139" s="40"/>
      <c r="CL139" s="5"/>
      <c r="CN139" s="40"/>
      <c r="CO139" s="5"/>
      <c r="CQ139" s="40"/>
      <c r="CR139" s="5"/>
    </row>
    <row r="140">
      <c r="AL140" s="40"/>
      <c r="AM140" s="5"/>
      <c r="AO140" s="40"/>
      <c r="AP140" s="5"/>
      <c r="AR140" s="40"/>
      <c r="AS140" s="5"/>
      <c r="AU140" s="40"/>
      <c r="AV140" s="5"/>
      <c r="AX140" s="40"/>
      <c r="AY140" s="5"/>
      <c r="BA140" s="40"/>
      <c r="BB140" s="5"/>
      <c r="BD140" s="40"/>
      <c r="BE140" s="5"/>
      <c r="BG140" s="40"/>
      <c r="BH140" s="5"/>
      <c r="BJ140" s="40"/>
      <c r="BK140" s="5"/>
      <c r="BM140" s="40"/>
      <c r="BN140" s="5"/>
      <c r="BP140" s="40"/>
      <c r="BQ140" s="5"/>
      <c r="BS140" s="40"/>
      <c r="BT140" s="5"/>
      <c r="BV140" s="40"/>
      <c r="BW140" s="5"/>
      <c r="BY140" s="40"/>
      <c r="BZ140" s="5"/>
      <c r="CB140" s="40"/>
      <c r="CC140" s="5"/>
      <c r="CE140" s="40"/>
      <c r="CF140" s="5"/>
      <c r="CH140" s="40"/>
      <c r="CI140" s="5"/>
      <c r="CK140" s="40"/>
      <c r="CL140" s="5"/>
      <c r="CN140" s="40"/>
      <c r="CO140" s="5"/>
      <c r="CQ140" s="40"/>
      <c r="CR140" s="5"/>
    </row>
    <row r="141">
      <c r="AL141" s="40"/>
      <c r="AM141" s="5"/>
      <c r="AO141" s="40"/>
      <c r="AP141" s="5"/>
      <c r="AR141" s="40"/>
      <c r="AS141" s="5"/>
      <c r="AU141" s="40"/>
      <c r="AV141" s="5"/>
      <c r="AX141" s="40"/>
      <c r="AY141" s="5"/>
      <c r="BA141" s="40"/>
      <c r="BB141" s="5"/>
      <c r="BD141" s="40"/>
      <c r="BE141" s="5"/>
      <c r="BG141" s="40"/>
      <c r="BH141" s="5"/>
      <c r="BJ141" s="40"/>
      <c r="BK141" s="5"/>
      <c r="BM141" s="40"/>
      <c r="BN141" s="5"/>
      <c r="BP141" s="40"/>
      <c r="BQ141" s="5"/>
      <c r="BS141" s="40"/>
      <c r="BT141" s="5"/>
      <c r="BV141" s="40"/>
      <c r="BW141" s="5"/>
      <c r="BY141" s="40"/>
      <c r="BZ141" s="5"/>
      <c r="CB141" s="40"/>
      <c r="CC141" s="5"/>
      <c r="CE141" s="40"/>
      <c r="CF141" s="5"/>
      <c r="CH141" s="40"/>
      <c r="CI141" s="5"/>
      <c r="CK141" s="40"/>
      <c r="CL141" s="5"/>
      <c r="CN141" s="40"/>
      <c r="CO141" s="5"/>
      <c r="CQ141" s="40"/>
      <c r="CR141" s="5"/>
    </row>
    <row r="142">
      <c r="AL142" s="40"/>
      <c r="AM142" s="5"/>
      <c r="AO142" s="40"/>
      <c r="AP142" s="5"/>
      <c r="AR142" s="40"/>
      <c r="AS142" s="5"/>
      <c r="AU142" s="40"/>
      <c r="AV142" s="5"/>
      <c r="AX142" s="40"/>
      <c r="AY142" s="5"/>
      <c r="BA142" s="40"/>
      <c r="BB142" s="5"/>
      <c r="BD142" s="40"/>
      <c r="BE142" s="5"/>
      <c r="BG142" s="40"/>
      <c r="BH142" s="5"/>
      <c r="BJ142" s="40"/>
      <c r="BK142" s="5"/>
      <c r="BM142" s="40"/>
      <c r="BN142" s="5"/>
      <c r="BP142" s="40"/>
      <c r="BQ142" s="5"/>
      <c r="BS142" s="40"/>
      <c r="BT142" s="5"/>
      <c r="BV142" s="40"/>
      <c r="BW142" s="5"/>
      <c r="BY142" s="40"/>
      <c r="BZ142" s="5"/>
      <c r="CB142" s="40"/>
      <c r="CC142" s="5"/>
      <c r="CE142" s="40"/>
      <c r="CF142" s="5"/>
      <c r="CH142" s="40"/>
      <c r="CI142" s="5"/>
      <c r="CK142" s="40"/>
      <c r="CL142" s="5"/>
      <c r="CN142" s="40"/>
      <c r="CO142" s="5"/>
      <c r="CQ142" s="40"/>
      <c r="CR142" s="5"/>
    </row>
    <row r="143">
      <c r="AL143" s="40"/>
      <c r="AM143" s="5"/>
      <c r="AO143" s="40"/>
      <c r="AP143" s="5"/>
      <c r="AR143" s="40"/>
      <c r="AS143" s="5"/>
      <c r="AU143" s="40"/>
      <c r="AV143" s="5"/>
      <c r="AX143" s="40"/>
      <c r="AY143" s="5"/>
      <c r="BA143" s="40"/>
      <c r="BB143" s="5"/>
      <c r="BD143" s="40"/>
      <c r="BE143" s="5"/>
      <c r="BG143" s="40"/>
      <c r="BH143" s="5"/>
      <c r="BJ143" s="40"/>
      <c r="BK143" s="5"/>
      <c r="BM143" s="40"/>
      <c r="BN143" s="5"/>
      <c r="BP143" s="40"/>
      <c r="BQ143" s="5"/>
      <c r="BS143" s="40"/>
      <c r="BT143" s="5"/>
      <c r="BV143" s="40"/>
      <c r="BW143" s="5"/>
      <c r="BY143" s="40"/>
      <c r="BZ143" s="5"/>
      <c r="CB143" s="40"/>
      <c r="CC143" s="5"/>
      <c r="CE143" s="40"/>
      <c r="CF143" s="5"/>
      <c r="CH143" s="40"/>
      <c r="CI143" s="5"/>
      <c r="CK143" s="40"/>
      <c r="CL143" s="5"/>
      <c r="CN143" s="40"/>
      <c r="CO143" s="5"/>
      <c r="CQ143" s="40"/>
      <c r="CR143" s="5"/>
    </row>
    <row r="144">
      <c r="AL144" s="40"/>
      <c r="AM144" s="5"/>
      <c r="AO144" s="40"/>
      <c r="AP144" s="5"/>
      <c r="AR144" s="40"/>
      <c r="AS144" s="5"/>
      <c r="AU144" s="40"/>
      <c r="AV144" s="5"/>
      <c r="AX144" s="40"/>
      <c r="AY144" s="5"/>
      <c r="BA144" s="40"/>
      <c r="BB144" s="5"/>
      <c r="BD144" s="40"/>
      <c r="BE144" s="5"/>
      <c r="BG144" s="40"/>
      <c r="BH144" s="5"/>
      <c r="BJ144" s="40"/>
      <c r="BK144" s="5"/>
      <c r="BM144" s="40"/>
      <c r="BN144" s="5"/>
      <c r="BP144" s="40"/>
      <c r="BQ144" s="5"/>
      <c r="BS144" s="40"/>
      <c r="BT144" s="5"/>
      <c r="BV144" s="40"/>
      <c r="BW144" s="5"/>
      <c r="BY144" s="40"/>
      <c r="BZ144" s="5"/>
      <c r="CB144" s="40"/>
      <c r="CC144" s="5"/>
      <c r="CE144" s="40"/>
      <c r="CF144" s="5"/>
      <c r="CH144" s="40"/>
      <c r="CI144" s="5"/>
      <c r="CK144" s="40"/>
      <c r="CL144" s="5"/>
      <c r="CN144" s="40"/>
      <c r="CO144" s="5"/>
      <c r="CQ144" s="40"/>
      <c r="CR144" s="5"/>
    </row>
    <row r="145">
      <c r="AL145" s="40"/>
      <c r="AM145" s="5"/>
      <c r="AO145" s="40"/>
      <c r="AP145" s="5"/>
      <c r="AR145" s="40"/>
      <c r="AS145" s="5"/>
      <c r="AU145" s="40"/>
      <c r="AV145" s="5"/>
      <c r="AX145" s="40"/>
      <c r="AY145" s="5"/>
      <c r="BA145" s="40"/>
      <c r="BB145" s="5"/>
      <c r="BD145" s="40"/>
      <c r="BE145" s="5"/>
      <c r="BG145" s="40"/>
      <c r="BH145" s="5"/>
      <c r="BJ145" s="40"/>
      <c r="BK145" s="5"/>
      <c r="BM145" s="40"/>
      <c r="BN145" s="5"/>
      <c r="BP145" s="40"/>
      <c r="BQ145" s="5"/>
      <c r="BS145" s="40"/>
      <c r="BT145" s="5"/>
      <c r="BV145" s="40"/>
      <c r="BW145" s="5"/>
      <c r="BY145" s="40"/>
      <c r="BZ145" s="5"/>
      <c r="CB145" s="40"/>
      <c r="CC145" s="5"/>
      <c r="CE145" s="40"/>
      <c r="CF145" s="5"/>
      <c r="CH145" s="40"/>
      <c r="CI145" s="5"/>
      <c r="CK145" s="40"/>
      <c r="CL145" s="5"/>
      <c r="CN145" s="40"/>
      <c r="CO145" s="5"/>
      <c r="CQ145" s="40"/>
      <c r="CR145" s="5"/>
    </row>
    <row r="146">
      <c r="AL146" s="40"/>
      <c r="AM146" s="5"/>
      <c r="AO146" s="40"/>
      <c r="AP146" s="5"/>
      <c r="AR146" s="40"/>
      <c r="AS146" s="5"/>
      <c r="AU146" s="40"/>
      <c r="AV146" s="5"/>
      <c r="AX146" s="40"/>
      <c r="AY146" s="5"/>
      <c r="BA146" s="40"/>
      <c r="BB146" s="5"/>
      <c r="BD146" s="40"/>
      <c r="BE146" s="5"/>
      <c r="BG146" s="40"/>
      <c r="BH146" s="5"/>
      <c r="BJ146" s="40"/>
      <c r="BK146" s="5"/>
      <c r="BM146" s="40"/>
      <c r="BN146" s="5"/>
      <c r="BP146" s="40"/>
      <c r="BQ146" s="5"/>
      <c r="BS146" s="40"/>
      <c r="BT146" s="5"/>
      <c r="BV146" s="40"/>
      <c r="BW146" s="5"/>
      <c r="BY146" s="40"/>
      <c r="BZ146" s="5"/>
      <c r="CB146" s="40"/>
      <c r="CC146" s="5"/>
      <c r="CE146" s="40"/>
      <c r="CF146" s="5"/>
      <c r="CH146" s="40"/>
      <c r="CI146" s="5"/>
      <c r="CK146" s="40"/>
      <c r="CL146" s="5"/>
      <c r="CN146" s="40"/>
      <c r="CO146" s="5"/>
      <c r="CQ146" s="40"/>
      <c r="CR146" s="5"/>
    </row>
    <row r="147">
      <c r="AL147" s="40"/>
      <c r="AM147" s="5"/>
      <c r="AO147" s="40"/>
      <c r="AP147" s="5"/>
      <c r="AR147" s="40"/>
      <c r="AS147" s="5"/>
      <c r="AU147" s="40"/>
      <c r="AV147" s="5"/>
      <c r="AX147" s="40"/>
      <c r="AY147" s="5"/>
      <c r="BA147" s="40"/>
      <c r="BB147" s="5"/>
      <c r="BD147" s="40"/>
      <c r="BE147" s="5"/>
      <c r="BG147" s="40"/>
      <c r="BH147" s="5"/>
      <c r="BJ147" s="40"/>
      <c r="BK147" s="5"/>
      <c r="BM147" s="40"/>
      <c r="BN147" s="5"/>
      <c r="BP147" s="40"/>
      <c r="BQ147" s="5"/>
      <c r="BS147" s="40"/>
      <c r="BT147" s="5"/>
      <c r="BV147" s="40"/>
      <c r="BW147" s="5"/>
      <c r="BY147" s="40"/>
      <c r="BZ147" s="5"/>
      <c r="CB147" s="40"/>
      <c r="CC147" s="5"/>
      <c r="CE147" s="40"/>
      <c r="CF147" s="5"/>
      <c r="CH147" s="40"/>
      <c r="CI147" s="5"/>
      <c r="CK147" s="40"/>
      <c r="CL147" s="5"/>
      <c r="CN147" s="40"/>
      <c r="CO147" s="5"/>
      <c r="CQ147" s="40"/>
      <c r="CR147" s="5"/>
    </row>
    <row r="148">
      <c r="AL148" s="40"/>
      <c r="AM148" s="5"/>
      <c r="AO148" s="40"/>
      <c r="AP148" s="5"/>
      <c r="AR148" s="40"/>
      <c r="AS148" s="5"/>
      <c r="AU148" s="40"/>
      <c r="AV148" s="5"/>
      <c r="AX148" s="40"/>
      <c r="AY148" s="5"/>
      <c r="BA148" s="40"/>
      <c r="BB148" s="5"/>
      <c r="BD148" s="40"/>
      <c r="BE148" s="5"/>
      <c r="BG148" s="40"/>
      <c r="BH148" s="5"/>
      <c r="BJ148" s="40"/>
      <c r="BK148" s="5"/>
      <c r="BM148" s="40"/>
      <c r="BN148" s="5"/>
      <c r="BP148" s="40"/>
      <c r="BQ148" s="5"/>
      <c r="BS148" s="40"/>
      <c r="BT148" s="5"/>
      <c r="BV148" s="40"/>
      <c r="BW148" s="5"/>
      <c r="BY148" s="40"/>
      <c r="BZ148" s="5"/>
      <c r="CB148" s="40"/>
      <c r="CC148" s="5"/>
      <c r="CE148" s="40"/>
      <c r="CF148" s="5"/>
      <c r="CH148" s="40"/>
      <c r="CI148" s="5"/>
      <c r="CK148" s="40"/>
      <c r="CL148" s="5"/>
      <c r="CN148" s="40"/>
      <c r="CO148" s="5"/>
      <c r="CQ148" s="40"/>
      <c r="CR148" s="5"/>
    </row>
    <row r="149">
      <c r="AL149" s="40"/>
      <c r="AM149" s="5"/>
      <c r="AO149" s="40"/>
      <c r="AP149" s="5"/>
      <c r="AR149" s="40"/>
      <c r="AS149" s="5"/>
      <c r="AU149" s="40"/>
      <c r="AV149" s="5"/>
      <c r="AX149" s="40"/>
      <c r="AY149" s="5"/>
      <c r="BA149" s="40"/>
      <c r="BB149" s="5"/>
      <c r="BD149" s="40"/>
      <c r="BE149" s="5"/>
      <c r="BG149" s="40"/>
      <c r="BH149" s="5"/>
      <c r="BJ149" s="40"/>
      <c r="BK149" s="5"/>
      <c r="BM149" s="40"/>
      <c r="BN149" s="5"/>
      <c r="BP149" s="40"/>
      <c r="BQ149" s="5"/>
      <c r="BS149" s="40"/>
      <c r="BT149" s="5"/>
      <c r="BV149" s="40"/>
      <c r="BW149" s="5"/>
      <c r="BY149" s="40"/>
      <c r="BZ149" s="5"/>
      <c r="CB149" s="40"/>
      <c r="CC149" s="5"/>
      <c r="CE149" s="40"/>
      <c r="CF149" s="5"/>
      <c r="CH149" s="40"/>
      <c r="CI149" s="5"/>
      <c r="CK149" s="40"/>
      <c r="CL149" s="5"/>
      <c r="CN149" s="40"/>
      <c r="CO149" s="5"/>
      <c r="CQ149" s="40"/>
      <c r="CR149" s="5"/>
    </row>
    <row r="150">
      <c r="AL150" s="40"/>
      <c r="AM150" s="5"/>
      <c r="AO150" s="40"/>
      <c r="AP150" s="5"/>
      <c r="AR150" s="40"/>
      <c r="AS150" s="5"/>
      <c r="AU150" s="40"/>
      <c r="AV150" s="5"/>
      <c r="AX150" s="40"/>
      <c r="AY150" s="5"/>
      <c r="BA150" s="40"/>
      <c r="BB150" s="5"/>
      <c r="BD150" s="40"/>
      <c r="BE150" s="5"/>
      <c r="BG150" s="40"/>
      <c r="BH150" s="5"/>
      <c r="BJ150" s="40"/>
      <c r="BK150" s="5"/>
      <c r="BM150" s="40"/>
      <c r="BN150" s="5"/>
      <c r="BP150" s="40"/>
      <c r="BQ150" s="5"/>
      <c r="BS150" s="40"/>
      <c r="BT150" s="5"/>
      <c r="BV150" s="40"/>
      <c r="BW150" s="5"/>
      <c r="BY150" s="40"/>
      <c r="BZ150" s="5"/>
      <c r="CB150" s="40"/>
      <c r="CC150" s="5"/>
      <c r="CE150" s="40"/>
      <c r="CF150" s="5"/>
      <c r="CH150" s="40"/>
      <c r="CI150" s="5"/>
      <c r="CK150" s="40"/>
      <c r="CL150" s="5"/>
      <c r="CN150" s="40"/>
      <c r="CO150" s="5"/>
      <c r="CQ150" s="40"/>
      <c r="CR150" s="5"/>
    </row>
    <row r="151">
      <c r="AL151" s="40"/>
      <c r="AM151" s="5"/>
      <c r="AO151" s="40"/>
      <c r="AP151" s="5"/>
      <c r="AR151" s="40"/>
      <c r="AS151" s="5"/>
      <c r="AU151" s="40"/>
      <c r="AV151" s="5"/>
      <c r="AX151" s="40"/>
      <c r="AY151" s="5"/>
      <c r="BA151" s="40"/>
      <c r="BB151" s="5"/>
      <c r="BD151" s="40"/>
      <c r="BE151" s="5"/>
      <c r="BG151" s="40"/>
      <c r="BH151" s="5"/>
      <c r="BJ151" s="40"/>
      <c r="BK151" s="5"/>
      <c r="BM151" s="40"/>
      <c r="BN151" s="5"/>
      <c r="BP151" s="40"/>
      <c r="BQ151" s="5"/>
      <c r="BS151" s="40"/>
      <c r="BT151" s="5"/>
      <c r="BV151" s="40"/>
      <c r="BW151" s="5"/>
      <c r="BY151" s="40"/>
      <c r="BZ151" s="5"/>
      <c r="CB151" s="40"/>
      <c r="CC151" s="5"/>
      <c r="CE151" s="40"/>
      <c r="CF151" s="5"/>
      <c r="CH151" s="40"/>
      <c r="CI151" s="5"/>
      <c r="CK151" s="40"/>
      <c r="CL151" s="5"/>
      <c r="CN151" s="40"/>
      <c r="CO151" s="5"/>
      <c r="CQ151" s="40"/>
      <c r="CR151" s="5"/>
    </row>
    <row r="152">
      <c r="AL152" s="40"/>
      <c r="AM152" s="5"/>
      <c r="AO152" s="40"/>
      <c r="AP152" s="5"/>
      <c r="AR152" s="40"/>
      <c r="AS152" s="5"/>
      <c r="AU152" s="40"/>
      <c r="AV152" s="5"/>
      <c r="AX152" s="40"/>
      <c r="AY152" s="5"/>
      <c r="BA152" s="40"/>
      <c r="BB152" s="5"/>
      <c r="BD152" s="40"/>
      <c r="BE152" s="5"/>
      <c r="BG152" s="40"/>
      <c r="BH152" s="5"/>
      <c r="BJ152" s="40"/>
      <c r="BK152" s="5"/>
      <c r="BM152" s="40"/>
      <c r="BN152" s="5"/>
      <c r="BP152" s="40"/>
      <c r="BQ152" s="5"/>
      <c r="BS152" s="40"/>
      <c r="BT152" s="5"/>
      <c r="BV152" s="40"/>
      <c r="BW152" s="5"/>
      <c r="BY152" s="40"/>
      <c r="BZ152" s="5"/>
      <c r="CB152" s="40"/>
      <c r="CC152" s="5"/>
      <c r="CE152" s="40"/>
      <c r="CF152" s="5"/>
      <c r="CH152" s="40"/>
      <c r="CI152" s="5"/>
      <c r="CK152" s="40"/>
      <c r="CL152" s="5"/>
      <c r="CN152" s="40"/>
      <c r="CO152" s="5"/>
      <c r="CQ152" s="40"/>
      <c r="CR152" s="5"/>
    </row>
    <row r="153">
      <c r="AL153" s="40"/>
      <c r="AM153" s="5"/>
      <c r="AO153" s="40"/>
      <c r="AP153" s="5"/>
      <c r="AR153" s="40"/>
      <c r="AS153" s="5"/>
      <c r="AU153" s="40"/>
      <c r="AV153" s="5"/>
      <c r="AX153" s="40"/>
      <c r="AY153" s="5"/>
      <c r="BA153" s="40"/>
      <c r="BB153" s="5"/>
      <c r="BD153" s="40"/>
      <c r="BE153" s="5"/>
      <c r="BG153" s="40"/>
      <c r="BH153" s="5"/>
      <c r="BJ153" s="40"/>
      <c r="BK153" s="5"/>
      <c r="BM153" s="40"/>
      <c r="BN153" s="5"/>
      <c r="BP153" s="40"/>
      <c r="BQ153" s="5"/>
      <c r="BS153" s="40"/>
      <c r="BT153" s="5"/>
      <c r="BV153" s="40"/>
      <c r="BW153" s="5"/>
      <c r="BY153" s="40"/>
      <c r="BZ153" s="5"/>
      <c r="CB153" s="40"/>
      <c r="CC153" s="5"/>
      <c r="CE153" s="40"/>
      <c r="CF153" s="5"/>
      <c r="CH153" s="40"/>
      <c r="CI153" s="5"/>
      <c r="CK153" s="40"/>
      <c r="CL153" s="5"/>
      <c r="CN153" s="40"/>
      <c r="CO153" s="5"/>
      <c r="CQ153" s="40"/>
      <c r="CR153" s="5"/>
    </row>
    <row r="154">
      <c r="AL154" s="40"/>
      <c r="AM154" s="5"/>
      <c r="AO154" s="40"/>
      <c r="AP154" s="5"/>
      <c r="AR154" s="40"/>
      <c r="AS154" s="5"/>
      <c r="AU154" s="40"/>
      <c r="AV154" s="5"/>
      <c r="AX154" s="40"/>
      <c r="AY154" s="5"/>
      <c r="BA154" s="40"/>
      <c r="BB154" s="5"/>
      <c r="BD154" s="40"/>
      <c r="BE154" s="5"/>
      <c r="BG154" s="40"/>
      <c r="BH154" s="5"/>
      <c r="BJ154" s="40"/>
      <c r="BK154" s="5"/>
      <c r="BM154" s="40"/>
      <c r="BN154" s="5"/>
      <c r="BP154" s="40"/>
      <c r="BQ154" s="5"/>
      <c r="BS154" s="40"/>
      <c r="BT154" s="5"/>
      <c r="BV154" s="40"/>
      <c r="BW154" s="5"/>
      <c r="BY154" s="40"/>
      <c r="BZ154" s="5"/>
      <c r="CB154" s="40"/>
      <c r="CC154" s="5"/>
      <c r="CE154" s="40"/>
      <c r="CF154" s="5"/>
      <c r="CH154" s="40"/>
      <c r="CI154" s="5"/>
      <c r="CK154" s="40"/>
      <c r="CL154" s="5"/>
      <c r="CN154" s="40"/>
      <c r="CO154" s="5"/>
      <c r="CQ154" s="40"/>
      <c r="CR154" s="5"/>
    </row>
    <row r="155">
      <c r="AL155" s="40"/>
      <c r="AM155" s="5"/>
      <c r="AO155" s="40"/>
      <c r="AP155" s="5"/>
      <c r="AR155" s="40"/>
      <c r="AS155" s="5"/>
      <c r="AU155" s="40"/>
      <c r="AV155" s="5"/>
      <c r="AX155" s="40"/>
      <c r="AY155" s="5"/>
      <c r="BA155" s="40"/>
      <c r="BB155" s="5"/>
      <c r="BD155" s="40"/>
      <c r="BE155" s="5"/>
      <c r="BG155" s="40"/>
      <c r="BH155" s="5"/>
      <c r="BJ155" s="40"/>
      <c r="BK155" s="5"/>
      <c r="BM155" s="40"/>
      <c r="BN155" s="5"/>
      <c r="BP155" s="40"/>
      <c r="BQ155" s="5"/>
      <c r="BS155" s="40"/>
      <c r="BT155" s="5"/>
      <c r="BV155" s="40"/>
      <c r="BW155" s="5"/>
      <c r="BY155" s="40"/>
      <c r="BZ155" s="5"/>
      <c r="CB155" s="40"/>
      <c r="CC155" s="5"/>
      <c r="CE155" s="40"/>
      <c r="CF155" s="5"/>
      <c r="CH155" s="40"/>
      <c r="CI155" s="5"/>
      <c r="CK155" s="40"/>
      <c r="CL155" s="5"/>
      <c r="CN155" s="40"/>
      <c r="CO155" s="5"/>
      <c r="CQ155" s="40"/>
      <c r="CR155" s="5"/>
    </row>
    <row r="156">
      <c r="AL156" s="40"/>
      <c r="AM156" s="5"/>
      <c r="AO156" s="40"/>
      <c r="AP156" s="5"/>
      <c r="AR156" s="40"/>
      <c r="AS156" s="5"/>
      <c r="AU156" s="40"/>
      <c r="AV156" s="5"/>
      <c r="AX156" s="40"/>
      <c r="AY156" s="5"/>
      <c r="BA156" s="40"/>
      <c r="BB156" s="5"/>
      <c r="BD156" s="40"/>
      <c r="BE156" s="5"/>
      <c r="BG156" s="40"/>
      <c r="BH156" s="5"/>
      <c r="BJ156" s="40"/>
      <c r="BK156" s="5"/>
      <c r="BM156" s="40"/>
      <c r="BN156" s="5"/>
      <c r="BP156" s="40"/>
      <c r="BQ156" s="5"/>
      <c r="BS156" s="40"/>
      <c r="BT156" s="5"/>
      <c r="BV156" s="40"/>
      <c r="BW156" s="5"/>
      <c r="BY156" s="40"/>
      <c r="BZ156" s="5"/>
      <c r="CB156" s="40"/>
      <c r="CC156" s="5"/>
      <c r="CE156" s="40"/>
      <c r="CF156" s="5"/>
      <c r="CH156" s="40"/>
      <c r="CI156" s="5"/>
      <c r="CK156" s="40"/>
      <c r="CL156" s="5"/>
      <c r="CN156" s="40"/>
      <c r="CO156" s="5"/>
      <c r="CQ156" s="40"/>
      <c r="CR156" s="5"/>
    </row>
    <row r="157">
      <c r="AL157" s="40"/>
      <c r="AM157" s="5"/>
      <c r="AO157" s="40"/>
      <c r="AP157" s="5"/>
      <c r="AR157" s="40"/>
      <c r="AS157" s="5"/>
      <c r="AU157" s="40"/>
      <c r="AV157" s="5"/>
      <c r="AX157" s="40"/>
      <c r="AY157" s="5"/>
      <c r="BA157" s="40"/>
      <c r="BB157" s="5"/>
      <c r="BD157" s="40"/>
      <c r="BE157" s="5"/>
      <c r="BG157" s="40"/>
      <c r="BH157" s="5"/>
      <c r="BJ157" s="40"/>
      <c r="BK157" s="5"/>
      <c r="BM157" s="40"/>
      <c r="BN157" s="5"/>
      <c r="BP157" s="40"/>
      <c r="BQ157" s="5"/>
      <c r="BS157" s="40"/>
      <c r="BT157" s="5"/>
      <c r="BV157" s="40"/>
      <c r="BW157" s="5"/>
      <c r="BY157" s="40"/>
      <c r="BZ157" s="5"/>
      <c r="CB157" s="40"/>
      <c r="CC157" s="5"/>
      <c r="CE157" s="40"/>
      <c r="CF157" s="5"/>
      <c r="CH157" s="40"/>
      <c r="CI157" s="5"/>
      <c r="CK157" s="40"/>
      <c r="CL157" s="5"/>
      <c r="CN157" s="40"/>
      <c r="CO157" s="5"/>
      <c r="CQ157" s="40"/>
      <c r="CR157" s="5"/>
    </row>
    <row r="158">
      <c r="AL158" s="40"/>
      <c r="AM158" s="5"/>
      <c r="AO158" s="40"/>
      <c r="AP158" s="5"/>
      <c r="AR158" s="40"/>
      <c r="AS158" s="5"/>
      <c r="AU158" s="40"/>
      <c r="AV158" s="5"/>
      <c r="AX158" s="40"/>
      <c r="AY158" s="5"/>
      <c r="BA158" s="40"/>
      <c r="BB158" s="5"/>
      <c r="BD158" s="40"/>
      <c r="BE158" s="5"/>
      <c r="BG158" s="40"/>
      <c r="BH158" s="5"/>
      <c r="BJ158" s="40"/>
      <c r="BK158" s="5"/>
      <c r="BM158" s="40"/>
      <c r="BN158" s="5"/>
      <c r="BP158" s="40"/>
      <c r="BQ158" s="5"/>
      <c r="BS158" s="40"/>
      <c r="BT158" s="5"/>
      <c r="BV158" s="40"/>
      <c r="BW158" s="5"/>
      <c r="BY158" s="40"/>
      <c r="BZ158" s="5"/>
      <c r="CB158" s="40"/>
      <c r="CC158" s="5"/>
      <c r="CE158" s="40"/>
      <c r="CF158" s="5"/>
      <c r="CH158" s="40"/>
      <c r="CI158" s="5"/>
      <c r="CK158" s="40"/>
      <c r="CL158" s="5"/>
      <c r="CN158" s="40"/>
      <c r="CO158" s="5"/>
      <c r="CQ158" s="40"/>
      <c r="CR158" s="5"/>
    </row>
    <row r="159">
      <c r="AL159" s="40"/>
      <c r="AM159" s="5"/>
      <c r="AO159" s="40"/>
      <c r="AP159" s="5"/>
      <c r="AR159" s="40"/>
      <c r="AS159" s="5"/>
      <c r="AU159" s="40"/>
      <c r="AV159" s="5"/>
      <c r="AX159" s="40"/>
      <c r="AY159" s="5"/>
      <c r="BA159" s="40"/>
      <c r="BB159" s="5"/>
      <c r="BD159" s="40"/>
      <c r="BE159" s="5"/>
      <c r="BG159" s="40"/>
      <c r="BH159" s="5"/>
      <c r="BJ159" s="40"/>
      <c r="BK159" s="5"/>
      <c r="BM159" s="40"/>
      <c r="BN159" s="5"/>
      <c r="BP159" s="40"/>
      <c r="BQ159" s="5"/>
      <c r="BS159" s="40"/>
      <c r="BT159" s="5"/>
      <c r="BV159" s="40"/>
      <c r="BW159" s="5"/>
      <c r="BY159" s="40"/>
      <c r="BZ159" s="5"/>
      <c r="CB159" s="40"/>
      <c r="CC159" s="5"/>
      <c r="CE159" s="40"/>
      <c r="CF159" s="5"/>
      <c r="CH159" s="40"/>
      <c r="CI159" s="5"/>
      <c r="CK159" s="40"/>
      <c r="CL159" s="5"/>
      <c r="CN159" s="40"/>
      <c r="CO159" s="5"/>
      <c r="CQ159" s="40"/>
      <c r="CR159" s="5"/>
    </row>
    <row r="160">
      <c r="AL160" s="40"/>
      <c r="AM160" s="5"/>
      <c r="AO160" s="40"/>
      <c r="AP160" s="5"/>
      <c r="AR160" s="40"/>
      <c r="AS160" s="5"/>
      <c r="AU160" s="40"/>
      <c r="AV160" s="5"/>
      <c r="AX160" s="40"/>
      <c r="AY160" s="5"/>
      <c r="BA160" s="40"/>
      <c r="BB160" s="5"/>
      <c r="BD160" s="40"/>
      <c r="BE160" s="5"/>
      <c r="BG160" s="40"/>
      <c r="BH160" s="5"/>
      <c r="BJ160" s="40"/>
      <c r="BK160" s="5"/>
      <c r="BM160" s="40"/>
      <c r="BN160" s="5"/>
      <c r="BP160" s="40"/>
      <c r="BQ160" s="5"/>
      <c r="BS160" s="40"/>
      <c r="BT160" s="5"/>
      <c r="BV160" s="40"/>
      <c r="BW160" s="5"/>
      <c r="BY160" s="40"/>
      <c r="BZ160" s="5"/>
      <c r="CB160" s="40"/>
      <c r="CC160" s="5"/>
      <c r="CE160" s="40"/>
      <c r="CF160" s="5"/>
      <c r="CH160" s="40"/>
      <c r="CI160" s="5"/>
      <c r="CK160" s="40"/>
      <c r="CL160" s="5"/>
      <c r="CN160" s="40"/>
      <c r="CO160" s="5"/>
      <c r="CQ160" s="40"/>
      <c r="CR160" s="5"/>
    </row>
    <row r="161">
      <c r="AL161" s="40"/>
      <c r="AM161" s="5"/>
      <c r="AO161" s="40"/>
      <c r="AP161" s="5"/>
      <c r="AR161" s="40"/>
      <c r="AS161" s="5"/>
      <c r="AU161" s="40"/>
      <c r="AV161" s="5"/>
      <c r="AX161" s="40"/>
      <c r="AY161" s="5"/>
      <c r="BA161" s="40"/>
      <c r="BB161" s="5"/>
      <c r="BD161" s="40"/>
      <c r="BE161" s="5"/>
      <c r="BG161" s="40"/>
      <c r="BH161" s="5"/>
      <c r="BJ161" s="40"/>
      <c r="BK161" s="5"/>
      <c r="BM161" s="40"/>
      <c r="BN161" s="5"/>
      <c r="BP161" s="40"/>
      <c r="BQ161" s="5"/>
      <c r="BS161" s="40"/>
      <c r="BT161" s="5"/>
      <c r="BV161" s="40"/>
      <c r="BW161" s="5"/>
      <c r="BY161" s="40"/>
      <c r="BZ161" s="5"/>
      <c r="CB161" s="40"/>
      <c r="CC161" s="5"/>
      <c r="CE161" s="40"/>
      <c r="CF161" s="5"/>
      <c r="CH161" s="40"/>
      <c r="CI161" s="5"/>
      <c r="CK161" s="40"/>
      <c r="CL161" s="5"/>
      <c r="CN161" s="40"/>
      <c r="CO161" s="5"/>
      <c r="CQ161" s="40"/>
      <c r="CR161" s="5"/>
    </row>
    <row r="162">
      <c r="AL162" s="40"/>
      <c r="AM162" s="5"/>
      <c r="AO162" s="40"/>
      <c r="AP162" s="5"/>
      <c r="AR162" s="40"/>
      <c r="AS162" s="5"/>
      <c r="AU162" s="40"/>
      <c r="AV162" s="5"/>
      <c r="AX162" s="40"/>
      <c r="AY162" s="5"/>
      <c r="BA162" s="40"/>
      <c r="BB162" s="5"/>
      <c r="BD162" s="40"/>
      <c r="BE162" s="5"/>
      <c r="BG162" s="40"/>
      <c r="BH162" s="5"/>
      <c r="BJ162" s="40"/>
      <c r="BK162" s="5"/>
      <c r="BM162" s="40"/>
      <c r="BN162" s="5"/>
      <c r="BP162" s="40"/>
      <c r="BQ162" s="5"/>
      <c r="BS162" s="40"/>
      <c r="BT162" s="5"/>
      <c r="BV162" s="40"/>
      <c r="BW162" s="5"/>
      <c r="BY162" s="40"/>
      <c r="BZ162" s="5"/>
      <c r="CB162" s="40"/>
      <c r="CC162" s="5"/>
      <c r="CE162" s="40"/>
      <c r="CF162" s="5"/>
      <c r="CH162" s="40"/>
      <c r="CI162" s="5"/>
      <c r="CK162" s="40"/>
      <c r="CL162" s="5"/>
      <c r="CN162" s="40"/>
      <c r="CO162" s="5"/>
      <c r="CQ162" s="40"/>
      <c r="CR162" s="5"/>
    </row>
    <row r="163">
      <c r="AL163" s="40"/>
      <c r="AM163" s="5"/>
      <c r="AO163" s="40"/>
      <c r="AP163" s="5"/>
      <c r="AR163" s="40"/>
      <c r="AS163" s="5"/>
      <c r="AU163" s="40"/>
      <c r="AV163" s="5"/>
      <c r="AX163" s="40"/>
      <c r="AY163" s="5"/>
      <c r="BA163" s="40"/>
      <c r="BB163" s="5"/>
      <c r="BD163" s="40"/>
      <c r="BE163" s="5"/>
      <c r="BG163" s="40"/>
      <c r="BH163" s="5"/>
      <c r="BJ163" s="40"/>
      <c r="BK163" s="5"/>
      <c r="BM163" s="40"/>
      <c r="BN163" s="5"/>
      <c r="BP163" s="40"/>
      <c r="BQ163" s="5"/>
      <c r="BS163" s="40"/>
      <c r="BT163" s="5"/>
      <c r="BV163" s="40"/>
      <c r="BW163" s="5"/>
      <c r="BY163" s="40"/>
      <c r="BZ163" s="5"/>
      <c r="CB163" s="40"/>
      <c r="CC163" s="5"/>
      <c r="CE163" s="40"/>
      <c r="CF163" s="5"/>
      <c r="CH163" s="40"/>
      <c r="CI163" s="5"/>
      <c r="CK163" s="40"/>
      <c r="CL163" s="5"/>
      <c r="CN163" s="40"/>
      <c r="CO163" s="5"/>
      <c r="CQ163" s="40"/>
      <c r="CR163" s="5"/>
    </row>
    <row r="164">
      <c r="AL164" s="40"/>
      <c r="AM164" s="5"/>
      <c r="AO164" s="40"/>
      <c r="AP164" s="5"/>
      <c r="AR164" s="40"/>
      <c r="AS164" s="5"/>
      <c r="AU164" s="40"/>
      <c r="AV164" s="5"/>
      <c r="AX164" s="40"/>
      <c r="AY164" s="5"/>
      <c r="BA164" s="40"/>
      <c r="BB164" s="5"/>
      <c r="BD164" s="40"/>
      <c r="BE164" s="5"/>
      <c r="BG164" s="40"/>
      <c r="BH164" s="5"/>
      <c r="BJ164" s="40"/>
      <c r="BK164" s="5"/>
      <c r="BM164" s="40"/>
      <c r="BN164" s="5"/>
      <c r="BP164" s="40"/>
      <c r="BQ164" s="5"/>
      <c r="BS164" s="40"/>
      <c r="BT164" s="5"/>
      <c r="BV164" s="40"/>
      <c r="BW164" s="5"/>
      <c r="BY164" s="40"/>
      <c r="BZ164" s="5"/>
      <c r="CB164" s="40"/>
      <c r="CC164" s="5"/>
      <c r="CE164" s="40"/>
      <c r="CF164" s="5"/>
      <c r="CH164" s="40"/>
      <c r="CI164" s="5"/>
      <c r="CK164" s="40"/>
      <c r="CL164" s="5"/>
      <c r="CN164" s="40"/>
      <c r="CO164" s="5"/>
      <c r="CQ164" s="40"/>
      <c r="CR164" s="5"/>
    </row>
    <row r="165">
      <c r="AL165" s="40"/>
      <c r="AM165" s="5"/>
      <c r="AO165" s="40"/>
      <c r="AP165" s="5"/>
      <c r="AR165" s="40"/>
      <c r="AS165" s="5"/>
      <c r="AU165" s="40"/>
      <c r="AV165" s="5"/>
      <c r="AX165" s="40"/>
      <c r="AY165" s="5"/>
      <c r="BA165" s="40"/>
      <c r="BB165" s="5"/>
      <c r="BD165" s="40"/>
      <c r="BE165" s="5"/>
      <c r="BG165" s="40"/>
      <c r="BH165" s="5"/>
      <c r="BJ165" s="40"/>
      <c r="BK165" s="5"/>
      <c r="BM165" s="40"/>
      <c r="BN165" s="5"/>
      <c r="BP165" s="40"/>
      <c r="BQ165" s="5"/>
      <c r="BS165" s="40"/>
      <c r="BT165" s="5"/>
      <c r="BV165" s="40"/>
      <c r="BW165" s="5"/>
      <c r="BY165" s="40"/>
      <c r="BZ165" s="5"/>
      <c r="CB165" s="40"/>
      <c r="CC165" s="5"/>
      <c r="CE165" s="40"/>
      <c r="CF165" s="5"/>
      <c r="CH165" s="40"/>
      <c r="CI165" s="5"/>
      <c r="CK165" s="40"/>
      <c r="CL165" s="5"/>
      <c r="CN165" s="40"/>
      <c r="CO165" s="5"/>
      <c r="CQ165" s="40"/>
      <c r="CR165" s="5"/>
    </row>
    <row r="166">
      <c r="AL166" s="40"/>
      <c r="AM166" s="5"/>
      <c r="AO166" s="40"/>
      <c r="AP166" s="5"/>
      <c r="AR166" s="40"/>
      <c r="AS166" s="5"/>
      <c r="AU166" s="40"/>
      <c r="AV166" s="5"/>
      <c r="AX166" s="40"/>
      <c r="AY166" s="5"/>
      <c r="BA166" s="40"/>
      <c r="BB166" s="5"/>
      <c r="BD166" s="40"/>
      <c r="BE166" s="5"/>
      <c r="BG166" s="40"/>
      <c r="BH166" s="5"/>
      <c r="BJ166" s="40"/>
      <c r="BK166" s="5"/>
      <c r="BM166" s="40"/>
      <c r="BN166" s="5"/>
      <c r="BP166" s="40"/>
      <c r="BQ166" s="5"/>
      <c r="BS166" s="40"/>
      <c r="BT166" s="5"/>
      <c r="BV166" s="40"/>
      <c r="BW166" s="5"/>
      <c r="BY166" s="40"/>
      <c r="BZ166" s="5"/>
      <c r="CB166" s="40"/>
      <c r="CC166" s="5"/>
      <c r="CE166" s="40"/>
      <c r="CF166" s="5"/>
      <c r="CH166" s="40"/>
      <c r="CI166" s="5"/>
      <c r="CK166" s="40"/>
      <c r="CL166" s="5"/>
      <c r="CN166" s="40"/>
      <c r="CO166" s="5"/>
      <c r="CQ166" s="40"/>
      <c r="CR166" s="5"/>
    </row>
    <row r="167">
      <c r="AL167" s="40"/>
      <c r="AM167" s="5"/>
      <c r="AO167" s="40"/>
      <c r="AP167" s="5"/>
      <c r="AR167" s="40"/>
      <c r="AS167" s="5"/>
      <c r="AU167" s="40"/>
      <c r="AV167" s="5"/>
      <c r="AX167" s="40"/>
      <c r="AY167" s="5"/>
      <c r="BA167" s="40"/>
      <c r="BB167" s="5"/>
      <c r="BD167" s="40"/>
      <c r="BE167" s="5"/>
      <c r="BG167" s="40"/>
      <c r="BH167" s="5"/>
      <c r="BJ167" s="40"/>
      <c r="BK167" s="5"/>
      <c r="BM167" s="40"/>
      <c r="BN167" s="5"/>
      <c r="BP167" s="40"/>
      <c r="BQ167" s="5"/>
      <c r="BS167" s="40"/>
      <c r="BT167" s="5"/>
      <c r="BV167" s="40"/>
      <c r="BW167" s="5"/>
      <c r="BY167" s="40"/>
      <c r="BZ167" s="5"/>
      <c r="CB167" s="40"/>
      <c r="CC167" s="5"/>
      <c r="CE167" s="40"/>
      <c r="CF167" s="5"/>
      <c r="CH167" s="40"/>
      <c r="CI167" s="5"/>
      <c r="CK167" s="40"/>
      <c r="CL167" s="5"/>
      <c r="CN167" s="40"/>
      <c r="CO167" s="5"/>
      <c r="CQ167" s="40"/>
      <c r="CR167" s="5"/>
    </row>
    <row r="168">
      <c r="AL168" s="40"/>
      <c r="AM168" s="5"/>
      <c r="AO168" s="40"/>
      <c r="AP168" s="5"/>
      <c r="AR168" s="40"/>
      <c r="AS168" s="5"/>
      <c r="AU168" s="40"/>
      <c r="AV168" s="5"/>
      <c r="AX168" s="40"/>
      <c r="AY168" s="5"/>
      <c r="BA168" s="40"/>
      <c r="BB168" s="5"/>
      <c r="BD168" s="40"/>
      <c r="BE168" s="5"/>
      <c r="BG168" s="40"/>
      <c r="BH168" s="5"/>
      <c r="BJ168" s="40"/>
      <c r="BK168" s="5"/>
      <c r="BM168" s="40"/>
      <c r="BN168" s="5"/>
      <c r="BP168" s="40"/>
      <c r="BQ168" s="5"/>
      <c r="BS168" s="40"/>
      <c r="BT168" s="5"/>
      <c r="BV168" s="40"/>
      <c r="BW168" s="5"/>
      <c r="BY168" s="40"/>
      <c r="BZ168" s="5"/>
      <c r="CB168" s="40"/>
      <c r="CC168" s="5"/>
      <c r="CE168" s="40"/>
      <c r="CF168" s="5"/>
      <c r="CH168" s="40"/>
      <c r="CI168" s="5"/>
      <c r="CK168" s="40"/>
      <c r="CL168" s="5"/>
      <c r="CN168" s="40"/>
      <c r="CO168" s="5"/>
      <c r="CQ168" s="40"/>
      <c r="CR168" s="5"/>
    </row>
    <row r="169">
      <c r="AL169" s="40"/>
      <c r="AM169" s="5"/>
      <c r="AO169" s="40"/>
      <c r="AP169" s="5"/>
      <c r="AR169" s="40"/>
      <c r="AS169" s="5"/>
      <c r="AU169" s="40"/>
      <c r="AV169" s="5"/>
      <c r="AX169" s="40"/>
      <c r="AY169" s="5"/>
      <c r="BA169" s="40"/>
      <c r="BB169" s="5"/>
      <c r="BD169" s="40"/>
      <c r="BE169" s="5"/>
      <c r="BG169" s="40"/>
      <c r="BH169" s="5"/>
      <c r="BJ169" s="40"/>
      <c r="BK169" s="5"/>
      <c r="BM169" s="40"/>
      <c r="BN169" s="5"/>
      <c r="BP169" s="40"/>
      <c r="BQ169" s="5"/>
      <c r="BS169" s="40"/>
      <c r="BT169" s="5"/>
      <c r="BV169" s="40"/>
      <c r="BW169" s="5"/>
      <c r="BY169" s="40"/>
      <c r="BZ169" s="5"/>
      <c r="CB169" s="40"/>
      <c r="CC169" s="5"/>
      <c r="CE169" s="40"/>
      <c r="CF169" s="5"/>
      <c r="CH169" s="40"/>
      <c r="CI169" s="5"/>
      <c r="CK169" s="40"/>
      <c r="CL169" s="5"/>
      <c r="CN169" s="40"/>
      <c r="CO169" s="5"/>
      <c r="CQ169" s="40"/>
      <c r="CR169" s="5"/>
    </row>
    <row r="170">
      <c r="AL170" s="40"/>
      <c r="AM170" s="5"/>
      <c r="AO170" s="40"/>
      <c r="AP170" s="5"/>
      <c r="AR170" s="40"/>
      <c r="AS170" s="5"/>
      <c r="AU170" s="40"/>
      <c r="AV170" s="5"/>
      <c r="AX170" s="40"/>
      <c r="AY170" s="5"/>
      <c r="BA170" s="40"/>
      <c r="BB170" s="5"/>
      <c r="BD170" s="40"/>
      <c r="BE170" s="5"/>
      <c r="BG170" s="40"/>
      <c r="BH170" s="5"/>
      <c r="BJ170" s="40"/>
      <c r="BK170" s="5"/>
      <c r="BM170" s="40"/>
      <c r="BN170" s="5"/>
      <c r="BP170" s="40"/>
      <c r="BQ170" s="5"/>
      <c r="BS170" s="40"/>
      <c r="BT170" s="5"/>
      <c r="BV170" s="40"/>
      <c r="BW170" s="5"/>
      <c r="BY170" s="40"/>
      <c r="BZ170" s="5"/>
      <c r="CB170" s="40"/>
      <c r="CC170" s="5"/>
      <c r="CE170" s="40"/>
      <c r="CF170" s="5"/>
      <c r="CH170" s="40"/>
      <c r="CI170" s="5"/>
      <c r="CK170" s="40"/>
      <c r="CL170" s="5"/>
      <c r="CN170" s="40"/>
      <c r="CO170" s="5"/>
      <c r="CQ170" s="40"/>
      <c r="CR170" s="5"/>
    </row>
    <row r="171">
      <c r="AL171" s="40"/>
      <c r="AM171" s="5"/>
      <c r="AO171" s="40"/>
      <c r="AP171" s="5"/>
      <c r="AR171" s="40"/>
      <c r="AS171" s="5"/>
      <c r="AU171" s="40"/>
      <c r="AV171" s="5"/>
      <c r="AX171" s="40"/>
      <c r="AY171" s="5"/>
      <c r="BA171" s="40"/>
      <c r="BB171" s="5"/>
      <c r="BD171" s="40"/>
      <c r="BE171" s="5"/>
      <c r="BG171" s="40"/>
      <c r="BH171" s="5"/>
      <c r="BJ171" s="40"/>
      <c r="BK171" s="5"/>
      <c r="BM171" s="40"/>
      <c r="BN171" s="5"/>
      <c r="BP171" s="40"/>
      <c r="BQ171" s="5"/>
      <c r="BS171" s="40"/>
      <c r="BT171" s="5"/>
      <c r="BV171" s="40"/>
      <c r="BW171" s="5"/>
      <c r="BY171" s="40"/>
      <c r="BZ171" s="5"/>
      <c r="CB171" s="40"/>
      <c r="CC171" s="5"/>
      <c r="CE171" s="40"/>
      <c r="CF171" s="5"/>
      <c r="CH171" s="40"/>
      <c r="CI171" s="5"/>
      <c r="CK171" s="40"/>
      <c r="CL171" s="5"/>
      <c r="CN171" s="40"/>
      <c r="CO171" s="5"/>
      <c r="CQ171" s="40"/>
      <c r="CR171" s="5"/>
    </row>
    <row r="172">
      <c r="AL172" s="40"/>
      <c r="AM172" s="5"/>
      <c r="AO172" s="40"/>
      <c r="AP172" s="5"/>
      <c r="AR172" s="40"/>
      <c r="AS172" s="5"/>
      <c r="AU172" s="40"/>
      <c r="AV172" s="5"/>
      <c r="AX172" s="40"/>
      <c r="AY172" s="5"/>
      <c r="BA172" s="40"/>
      <c r="BB172" s="5"/>
      <c r="BD172" s="40"/>
      <c r="BE172" s="5"/>
      <c r="BG172" s="40"/>
      <c r="BH172" s="5"/>
      <c r="BJ172" s="40"/>
      <c r="BK172" s="5"/>
      <c r="BM172" s="40"/>
      <c r="BN172" s="5"/>
      <c r="BP172" s="40"/>
      <c r="BQ172" s="5"/>
      <c r="BS172" s="40"/>
      <c r="BT172" s="5"/>
      <c r="BV172" s="40"/>
      <c r="BW172" s="5"/>
      <c r="BY172" s="40"/>
      <c r="BZ172" s="5"/>
      <c r="CB172" s="40"/>
      <c r="CC172" s="5"/>
      <c r="CE172" s="40"/>
      <c r="CF172" s="5"/>
      <c r="CH172" s="40"/>
      <c r="CI172" s="5"/>
      <c r="CK172" s="40"/>
      <c r="CL172" s="5"/>
      <c r="CN172" s="40"/>
      <c r="CO172" s="5"/>
      <c r="CQ172" s="40"/>
      <c r="CR172" s="5"/>
    </row>
    <row r="173">
      <c r="AL173" s="40"/>
      <c r="AM173" s="5"/>
      <c r="AO173" s="40"/>
      <c r="AP173" s="5"/>
      <c r="AR173" s="40"/>
      <c r="AS173" s="5"/>
      <c r="AU173" s="40"/>
      <c r="AV173" s="5"/>
      <c r="AX173" s="40"/>
      <c r="AY173" s="5"/>
      <c r="BA173" s="40"/>
      <c r="BB173" s="5"/>
      <c r="BD173" s="40"/>
      <c r="BE173" s="5"/>
      <c r="BG173" s="40"/>
      <c r="BH173" s="5"/>
      <c r="BJ173" s="40"/>
      <c r="BK173" s="5"/>
      <c r="BM173" s="40"/>
      <c r="BN173" s="5"/>
      <c r="BP173" s="40"/>
      <c r="BQ173" s="5"/>
      <c r="BS173" s="40"/>
      <c r="BT173" s="5"/>
      <c r="BV173" s="40"/>
      <c r="BW173" s="5"/>
      <c r="BY173" s="40"/>
      <c r="BZ173" s="5"/>
      <c r="CB173" s="40"/>
      <c r="CC173" s="5"/>
      <c r="CE173" s="40"/>
      <c r="CF173" s="5"/>
      <c r="CH173" s="40"/>
      <c r="CI173" s="5"/>
      <c r="CK173" s="40"/>
      <c r="CL173" s="5"/>
      <c r="CN173" s="40"/>
      <c r="CO173" s="5"/>
      <c r="CQ173" s="40"/>
      <c r="CR173" s="5"/>
    </row>
    <row r="174">
      <c r="AL174" s="40"/>
      <c r="AM174" s="5"/>
      <c r="AO174" s="40"/>
      <c r="AP174" s="5"/>
      <c r="AR174" s="40"/>
      <c r="AS174" s="5"/>
      <c r="AU174" s="40"/>
      <c r="AV174" s="5"/>
      <c r="AX174" s="40"/>
      <c r="AY174" s="5"/>
      <c r="BA174" s="40"/>
      <c r="BB174" s="5"/>
      <c r="BD174" s="40"/>
      <c r="BE174" s="5"/>
      <c r="BG174" s="40"/>
      <c r="BH174" s="5"/>
      <c r="BJ174" s="40"/>
      <c r="BK174" s="5"/>
      <c r="BM174" s="40"/>
      <c r="BN174" s="5"/>
      <c r="BP174" s="40"/>
      <c r="BQ174" s="5"/>
      <c r="BS174" s="40"/>
      <c r="BT174" s="5"/>
      <c r="BV174" s="40"/>
      <c r="BW174" s="5"/>
      <c r="BY174" s="40"/>
      <c r="BZ174" s="5"/>
      <c r="CB174" s="40"/>
      <c r="CC174" s="5"/>
      <c r="CE174" s="40"/>
      <c r="CF174" s="5"/>
      <c r="CH174" s="40"/>
      <c r="CI174" s="5"/>
      <c r="CK174" s="40"/>
      <c r="CL174" s="5"/>
      <c r="CN174" s="40"/>
      <c r="CO174" s="5"/>
      <c r="CQ174" s="40"/>
      <c r="CR174" s="5"/>
    </row>
    <row r="175">
      <c r="AL175" s="40"/>
      <c r="AM175" s="5"/>
      <c r="AO175" s="40"/>
      <c r="AP175" s="5"/>
      <c r="AR175" s="40"/>
      <c r="AS175" s="5"/>
      <c r="AU175" s="40"/>
      <c r="AV175" s="5"/>
      <c r="AX175" s="40"/>
      <c r="AY175" s="5"/>
      <c r="BA175" s="40"/>
      <c r="BB175" s="5"/>
      <c r="BD175" s="40"/>
      <c r="BE175" s="5"/>
      <c r="BG175" s="40"/>
      <c r="BH175" s="5"/>
      <c r="BJ175" s="40"/>
      <c r="BK175" s="5"/>
      <c r="BM175" s="40"/>
      <c r="BN175" s="5"/>
      <c r="BP175" s="40"/>
      <c r="BQ175" s="5"/>
      <c r="BS175" s="40"/>
      <c r="BT175" s="5"/>
      <c r="BV175" s="40"/>
      <c r="BW175" s="5"/>
      <c r="BY175" s="40"/>
      <c r="BZ175" s="5"/>
      <c r="CB175" s="40"/>
      <c r="CC175" s="5"/>
      <c r="CE175" s="40"/>
      <c r="CF175" s="5"/>
      <c r="CH175" s="40"/>
      <c r="CI175" s="5"/>
      <c r="CK175" s="40"/>
      <c r="CL175" s="5"/>
      <c r="CN175" s="40"/>
      <c r="CO175" s="5"/>
      <c r="CQ175" s="40"/>
      <c r="CR175" s="5"/>
    </row>
    <row r="176">
      <c r="AL176" s="40"/>
      <c r="AM176" s="5"/>
      <c r="AO176" s="40"/>
      <c r="AP176" s="5"/>
      <c r="AR176" s="40"/>
      <c r="AS176" s="5"/>
      <c r="AU176" s="40"/>
      <c r="AV176" s="5"/>
      <c r="AX176" s="40"/>
      <c r="AY176" s="5"/>
      <c r="BA176" s="40"/>
      <c r="BB176" s="5"/>
      <c r="BD176" s="40"/>
      <c r="BE176" s="5"/>
      <c r="BG176" s="40"/>
      <c r="BH176" s="5"/>
      <c r="BJ176" s="40"/>
      <c r="BK176" s="5"/>
      <c r="BM176" s="40"/>
      <c r="BN176" s="5"/>
      <c r="BP176" s="40"/>
      <c r="BQ176" s="5"/>
      <c r="BS176" s="40"/>
      <c r="BT176" s="5"/>
      <c r="BV176" s="40"/>
      <c r="BW176" s="5"/>
      <c r="BY176" s="40"/>
      <c r="BZ176" s="5"/>
      <c r="CB176" s="40"/>
      <c r="CC176" s="5"/>
      <c r="CE176" s="40"/>
      <c r="CF176" s="5"/>
      <c r="CH176" s="40"/>
      <c r="CI176" s="5"/>
      <c r="CK176" s="40"/>
      <c r="CL176" s="5"/>
      <c r="CN176" s="40"/>
      <c r="CO176" s="5"/>
      <c r="CQ176" s="40"/>
      <c r="CR176" s="5"/>
    </row>
    <row r="177">
      <c r="AL177" s="40"/>
      <c r="AM177" s="5"/>
      <c r="AO177" s="40"/>
      <c r="AP177" s="5"/>
      <c r="AR177" s="40"/>
      <c r="AS177" s="5"/>
      <c r="AU177" s="40"/>
      <c r="AV177" s="5"/>
      <c r="AX177" s="40"/>
      <c r="AY177" s="5"/>
      <c r="BA177" s="40"/>
      <c r="BB177" s="5"/>
      <c r="BD177" s="40"/>
      <c r="BE177" s="5"/>
      <c r="BG177" s="40"/>
      <c r="BH177" s="5"/>
      <c r="BJ177" s="40"/>
      <c r="BK177" s="5"/>
      <c r="BM177" s="40"/>
      <c r="BN177" s="5"/>
      <c r="BP177" s="40"/>
      <c r="BQ177" s="5"/>
      <c r="BS177" s="40"/>
      <c r="BT177" s="5"/>
      <c r="BV177" s="40"/>
      <c r="BW177" s="5"/>
      <c r="BY177" s="40"/>
      <c r="BZ177" s="5"/>
      <c r="CB177" s="40"/>
      <c r="CC177" s="5"/>
      <c r="CE177" s="40"/>
      <c r="CF177" s="5"/>
      <c r="CH177" s="40"/>
      <c r="CI177" s="5"/>
      <c r="CK177" s="40"/>
      <c r="CL177" s="5"/>
      <c r="CN177" s="40"/>
      <c r="CO177" s="5"/>
      <c r="CQ177" s="40"/>
      <c r="CR177" s="5"/>
    </row>
    <row r="178">
      <c r="AL178" s="40"/>
      <c r="AM178" s="5"/>
      <c r="AO178" s="40"/>
      <c r="AP178" s="5"/>
      <c r="AR178" s="40"/>
      <c r="AS178" s="5"/>
      <c r="AU178" s="40"/>
      <c r="AV178" s="5"/>
      <c r="AX178" s="40"/>
      <c r="AY178" s="5"/>
      <c r="BA178" s="40"/>
      <c r="BB178" s="5"/>
      <c r="BD178" s="40"/>
      <c r="BE178" s="5"/>
      <c r="BG178" s="40"/>
      <c r="BH178" s="5"/>
      <c r="BJ178" s="40"/>
      <c r="BK178" s="5"/>
      <c r="BM178" s="40"/>
      <c r="BN178" s="5"/>
      <c r="BP178" s="40"/>
      <c r="BQ178" s="5"/>
      <c r="BS178" s="40"/>
      <c r="BT178" s="5"/>
      <c r="BV178" s="40"/>
      <c r="BW178" s="5"/>
      <c r="BY178" s="40"/>
      <c r="BZ178" s="5"/>
      <c r="CB178" s="40"/>
      <c r="CC178" s="5"/>
      <c r="CE178" s="40"/>
      <c r="CF178" s="5"/>
      <c r="CH178" s="40"/>
      <c r="CI178" s="5"/>
      <c r="CK178" s="40"/>
      <c r="CL178" s="5"/>
      <c r="CN178" s="40"/>
      <c r="CO178" s="5"/>
      <c r="CQ178" s="40"/>
      <c r="CR178" s="5"/>
    </row>
    <row r="179">
      <c r="AL179" s="40"/>
      <c r="AM179" s="5"/>
      <c r="AO179" s="40"/>
      <c r="AP179" s="5"/>
      <c r="AR179" s="40"/>
      <c r="AS179" s="5"/>
      <c r="AU179" s="40"/>
      <c r="AV179" s="5"/>
      <c r="AX179" s="40"/>
      <c r="AY179" s="5"/>
      <c r="BA179" s="40"/>
      <c r="BB179" s="5"/>
      <c r="BD179" s="40"/>
      <c r="BE179" s="5"/>
      <c r="BG179" s="40"/>
      <c r="BH179" s="5"/>
      <c r="BJ179" s="40"/>
      <c r="BK179" s="5"/>
      <c r="BM179" s="40"/>
      <c r="BN179" s="5"/>
      <c r="BP179" s="40"/>
      <c r="BQ179" s="5"/>
      <c r="BS179" s="40"/>
      <c r="BT179" s="5"/>
      <c r="BV179" s="40"/>
      <c r="BW179" s="5"/>
      <c r="BY179" s="40"/>
      <c r="BZ179" s="5"/>
      <c r="CB179" s="40"/>
      <c r="CC179" s="5"/>
      <c r="CE179" s="40"/>
      <c r="CF179" s="5"/>
      <c r="CH179" s="40"/>
      <c r="CI179" s="5"/>
      <c r="CK179" s="40"/>
      <c r="CL179" s="5"/>
      <c r="CN179" s="40"/>
      <c r="CO179" s="5"/>
      <c r="CQ179" s="40"/>
      <c r="CR179" s="5"/>
    </row>
    <row r="180">
      <c r="AL180" s="40"/>
      <c r="AM180" s="5"/>
      <c r="AO180" s="40"/>
      <c r="AP180" s="5"/>
      <c r="AR180" s="40"/>
      <c r="AS180" s="5"/>
      <c r="AU180" s="40"/>
      <c r="AV180" s="5"/>
      <c r="AX180" s="40"/>
      <c r="AY180" s="5"/>
      <c r="BA180" s="40"/>
      <c r="BB180" s="5"/>
      <c r="BD180" s="40"/>
      <c r="BE180" s="5"/>
      <c r="BG180" s="40"/>
      <c r="BH180" s="5"/>
      <c r="BJ180" s="40"/>
      <c r="BK180" s="5"/>
      <c r="BM180" s="40"/>
      <c r="BN180" s="5"/>
      <c r="BP180" s="40"/>
      <c r="BQ180" s="5"/>
      <c r="BS180" s="40"/>
      <c r="BT180" s="5"/>
      <c r="BV180" s="40"/>
      <c r="BW180" s="5"/>
      <c r="BY180" s="40"/>
      <c r="BZ180" s="5"/>
      <c r="CB180" s="40"/>
      <c r="CC180" s="5"/>
      <c r="CE180" s="40"/>
      <c r="CF180" s="5"/>
      <c r="CH180" s="40"/>
      <c r="CI180" s="5"/>
      <c r="CK180" s="40"/>
      <c r="CL180" s="5"/>
      <c r="CN180" s="40"/>
      <c r="CO180" s="5"/>
      <c r="CQ180" s="40"/>
      <c r="CR180" s="5"/>
    </row>
    <row r="181">
      <c r="AL181" s="40"/>
      <c r="AM181" s="5"/>
      <c r="AO181" s="40"/>
      <c r="AP181" s="5"/>
      <c r="AR181" s="40"/>
      <c r="AS181" s="5"/>
      <c r="AU181" s="40"/>
      <c r="AV181" s="5"/>
      <c r="AX181" s="40"/>
      <c r="AY181" s="5"/>
      <c r="BA181" s="40"/>
      <c r="BB181" s="5"/>
      <c r="BD181" s="40"/>
      <c r="BE181" s="5"/>
      <c r="BG181" s="40"/>
      <c r="BH181" s="5"/>
      <c r="BJ181" s="40"/>
      <c r="BK181" s="5"/>
      <c r="BM181" s="40"/>
      <c r="BN181" s="5"/>
      <c r="BP181" s="40"/>
      <c r="BQ181" s="5"/>
      <c r="BS181" s="40"/>
      <c r="BT181" s="5"/>
      <c r="BV181" s="40"/>
      <c r="BW181" s="5"/>
      <c r="BY181" s="40"/>
      <c r="BZ181" s="5"/>
      <c r="CB181" s="40"/>
      <c r="CC181" s="5"/>
      <c r="CE181" s="40"/>
      <c r="CF181" s="5"/>
      <c r="CH181" s="40"/>
      <c r="CI181" s="5"/>
      <c r="CK181" s="40"/>
      <c r="CL181" s="5"/>
      <c r="CN181" s="40"/>
      <c r="CO181" s="5"/>
      <c r="CQ181" s="40"/>
      <c r="CR181" s="5"/>
    </row>
    <row r="182">
      <c r="AL182" s="40"/>
      <c r="AM182" s="5"/>
      <c r="AO182" s="40"/>
      <c r="AP182" s="5"/>
      <c r="AR182" s="40"/>
      <c r="AS182" s="5"/>
      <c r="AU182" s="40"/>
      <c r="AV182" s="5"/>
      <c r="AX182" s="40"/>
      <c r="AY182" s="5"/>
      <c r="BA182" s="40"/>
      <c r="BB182" s="5"/>
      <c r="BD182" s="40"/>
      <c r="BE182" s="5"/>
      <c r="BG182" s="40"/>
      <c r="BH182" s="5"/>
      <c r="BJ182" s="40"/>
      <c r="BK182" s="5"/>
      <c r="BM182" s="40"/>
      <c r="BN182" s="5"/>
      <c r="BP182" s="40"/>
      <c r="BQ182" s="5"/>
      <c r="BS182" s="40"/>
      <c r="BT182" s="5"/>
      <c r="BV182" s="40"/>
      <c r="BW182" s="5"/>
      <c r="BY182" s="40"/>
      <c r="BZ182" s="5"/>
      <c r="CB182" s="40"/>
      <c r="CC182" s="5"/>
      <c r="CE182" s="40"/>
      <c r="CF182" s="5"/>
      <c r="CH182" s="40"/>
      <c r="CI182" s="5"/>
      <c r="CK182" s="40"/>
      <c r="CL182" s="5"/>
      <c r="CN182" s="40"/>
      <c r="CO182" s="5"/>
      <c r="CQ182" s="40"/>
      <c r="CR182" s="5"/>
    </row>
    <row r="183">
      <c r="AL183" s="40"/>
      <c r="AM183" s="5"/>
      <c r="AO183" s="40"/>
      <c r="AP183" s="5"/>
      <c r="AR183" s="40"/>
      <c r="AS183" s="5"/>
      <c r="AU183" s="40"/>
      <c r="AV183" s="5"/>
      <c r="AX183" s="40"/>
      <c r="AY183" s="5"/>
      <c r="BA183" s="40"/>
      <c r="BB183" s="5"/>
      <c r="BD183" s="40"/>
      <c r="BE183" s="5"/>
      <c r="BG183" s="40"/>
      <c r="BH183" s="5"/>
      <c r="BJ183" s="40"/>
      <c r="BK183" s="5"/>
      <c r="BM183" s="40"/>
      <c r="BN183" s="5"/>
      <c r="BP183" s="40"/>
      <c r="BQ183" s="5"/>
      <c r="BS183" s="40"/>
      <c r="BT183" s="5"/>
      <c r="BV183" s="40"/>
      <c r="BW183" s="5"/>
      <c r="BY183" s="40"/>
      <c r="BZ183" s="5"/>
      <c r="CB183" s="40"/>
      <c r="CC183" s="5"/>
      <c r="CE183" s="40"/>
      <c r="CF183" s="5"/>
      <c r="CH183" s="40"/>
      <c r="CI183" s="5"/>
      <c r="CK183" s="40"/>
      <c r="CL183" s="5"/>
      <c r="CN183" s="40"/>
      <c r="CO183" s="5"/>
      <c r="CQ183" s="40"/>
      <c r="CR183" s="5"/>
    </row>
    <row r="184">
      <c r="AL184" s="40"/>
      <c r="AM184" s="5"/>
      <c r="AO184" s="40"/>
      <c r="AP184" s="5"/>
      <c r="AR184" s="40"/>
      <c r="AS184" s="5"/>
      <c r="AU184" s="40"/>
      <c r="AV184" s="5"/>
      <c r="AX184" s="40"/>
      <c r="AY184" s="5"/>
      <c r="BA184" s="40"/>
      <c r="BB184" s="5"/>
      <c r="BD184" s="40"/>
      <c r="BE184" s="5"/>
      <c r="BG184" s="40"/>
      <c r="BH184" s="5"/>
      <c r="BJ184" s="40"/>
      <c r="BK184" s="5"/>
      <c r="BM184" s="40"/>
      <c r="BN184" s="5"/>
      <c r="BP184" s="40"/>
      <c r="BQ184" s="5"/>
      <c r="BS184" s="40"/>
      <c r="BT184" s="5"/>
      <c r="BV184" s="40"/>
      <c r="BW184" s="5"/>
      <c r="BY184" s="40"/>
      <c r="BZ184" s="5"/>
      <c r="CB184" s="40"/>
      <c r="CC184" s="5"/>
      <c r="CE184" s="40"/>
      <c r="CF184" s="5"/>
      <c r="CH184" s="40"/>
      <c r="CI184" s="5"/>
      <c r="CK184" s="40"/>
      <c r="CL184" s="5"/>
      <c r="CN184" s="40"/>
      <c r="CO184" s="5"/>
      <c r="CQ184" s="40"/>
      <c r="CR184" s="5"/>
    </row>
    <row r="185">
      <c r="AL185" s="40"/>
      <c r="AM185" s="5"/>
      <c r="AO185" s="40"/>
      <c r="AP185" s="5"/>
      <c r="AR185" s="40"/>
      <c r="AS185" s="5"/>
      <c r="AU185" s="40"/>
      <c r="AV185" s="5"/>
      <c r="AX185" s="40"/>
      <c r="AY185" s="5"/>
      <c r="BA185" s="40"/>
      <c r="BB185" s="5"/>
      <c r="BD185" s="40"/>
      <c r="BE185" s="5"/>
      <c r="BG185" s="40"/>
      <c r="BH185" s="5"/>
      <c r="BJ185" s="40"/>
      <c r="BK185" s="5"/>
      <c r="BM185" s="40"/>
      <c r="BN185" s="5"/>
      <c r="BP185" s="40"/>
      <c r="BQ185" s="5"/>
      <c r="BS185" s="40"/>
      <c r="BT185" s="5"/>
      <c r="BV185" s="40"/>
      <c r="BW185" s="5"/>
      <c r="BY185" s="40"/>
      <c r="BZ185" s="5"/>
      <c r="CB185" s="40"/>
      <c r="CC185" s="5"/>
      <c r="CE185" s="40"/>
      <c r="CF185" s="5"/>
      <c r="CH185" s="40"/>
      <c r="CI185" s="5"/>
      <c r="CK185" s="40"/>
      <c r="CL185" s="5"/>
      <c r="CN185" s="40"/>
      <c r="CO185" s="5"/>
      <c r="CQ185" s="40"/>
      <c r="CR185" s="5"/>
    </row>
    <row r="186">
      <c r="AL186" s="40"/>
      <c r="AM186" s="5"/>
      <c r="AO186" s="40"/>
      <c r="AP186" s="5"/>
      <c r="AR186" s="40"/>
      <c r="AS186" s="5"/>
      <c r="AU186" s="40"/>
      <c r="AV186" s="5"/>
      <c r="AX186" s="40"/>
      <c r="AY186" s="5"/>
      <c r="BA186" s="40"/>
      <c r="BB186" s="5"/>
      <c r="BD186" s="40"/>
      <c r="BE186" s="5"/>
      <c r="BG186" s="40"/>
      <c r="BH186" s="5"/>
      <c r="BJ186" s="40"/>
      <c r="BK186" s="5"/>
      <c r="BM186" s="40"/>
      <c r="BN186" s="5"/>
      <c r="BP186" s="40"/>
      <c r="BQ186" s="5"/>
      <c r="BS186" s="40"/>
      <c r="BT186" s="5"/>
      <c r="BV186" s="40"/>
      <c r="BW186" s="5"/>
      <c r="BY186" s="40"/>
      <c r="BZ186" s="5"/>
      <c r="CB186" s="40"/>
      <c r="CC186" s="5"/>
      <c r="CE186" s="40"/>
      <c r="CF186" s="5"/>
      <c r="CH186" s="40"/>
      <c r="CI186" s="5"/>
      <c r="CK186" s="40"/>
      <c r="CL186" s="5"/>
      <c r="CN186" s="40"/>
      <c r="CO186" s="5"/>
      <c r="CQ186" s="40"/>
      <c r="CR186" s="5"/>
    </row>
    <row r="187">
      <c r="AL187" s="40"/>
      <c r="AM187" s="5"/>
      <c r="AO187" s="40"/>
      <c r="AP187" s="5"/>
      <c r="AR187" s="40"/>
      <c r="AS187" s="5"/>
      <c r="AU187" s="40"/>
      <c r="AV187" s="5"/>
      <c r="AX187" s="40"/>
      <c r="AY187" s="5"/>
      <c r="BA187" s="40"/>
      <c r="BB187" s="5"/>
      <c r="BD187" s="40"/>
      <c r="BE187" s="5"/>
      <c r="BG187" s="40"/>
      <c r="BH187" s="5"/>
      <c r="BJ187" s="40"/>
      <c r="BK187" s="5"/>
      <c r="BM187" s="40"/>
      <c r="BN187" s="5"/>
      <c r="BP187" s="40"/>
      <c r="BQ187" s="5"/>
      <c r="BS187" s="40"/>
      <c r="BT187" s="5"/>
      <c r="BV187" s="40"/>
      <c r="BW187" s="5"/>
      <c r="BY187" s="40"/>
      <c r="BZ187" s="5"/>
      <c r="CB187" s="40"/>
      <c r="CC187" s="5"/>
      <c r="CE187" s="40"/>
      <c r="CF187" s="5"/>
      <c r="CH187" s="40"/>
      <c r="CI187" s="5"/>
      <c r="CK187" s="40"/>
      <c r="CL187" s="5"/>
      <c r="CN187" s="40"/>
      <c r="CO187" s="5"/>
      <c r="CQ187" s="40"/>
      <c r="CR187" s="5"/>
    </row>
    <row r="188">
      <c r="AL188" s="40"/>
      <c r="AM188" s="5"/>
      <c r="AO188" s="40"/>
      <c r="AP188" s="5"/>
      <c r="AR188" s="40"/>
      <c r="AS188" s="5"/>
      <c r="AU188" s="40"/>
      <c r="AV188" s="5"/>
      <c r="AX188" s="40"/>
      <c r="AY188" s="5"/>
      <c r="BA188" s="40"/>
      <c r="BB188" s="5"/>
      <c r="BD188" s="40"/>
      <c r="BE188" s="5"/>
      <c r="BG188" s="40"/>
      <c r="BH188" s="5"/>
      <c r="BJ188" s="40"/>
      <c r="BK188" s="5"/>
      <c r="BM188" s="40"/>
      <c r="BN188" s="5"/>
      <c r="BP188" s="40"/>
      <c r="BQ188" s="5"/>
      <c r="BS188" s="40"/>
      <c r="BT188" s="5"/>
      <c r="BV188" s="40"/>
      <c r="BW188" s="5"/>
      <c r="BY188" s="40"/>
      <c r="BZ188" s="5"/>
      <c r="CB188" s="40"/>
      <c r="CC188" s="5"/>
      <c r="CE188" s="40"/>
      <c r="CF188" s="5"/>
      <c r="CH188" s="40"/>
      <c r="CI188" s="5"/>
      <c r="CK188" s="40"/>
      <c r="CL188" s="5"/>
      <c r="CN188" s="40"/>
      <c r="CO188" s="5"/>
      <c r="CQ188" s="40"/>
      <c r="CR188" s="5"/>
    </row>
    <row r="189">
      <c r="AL189" s="40"/>
      <c r="AM189" s="5"/>
      <c r="AO189" s="40"/>
      <c r="AP189" s="5"/>
      <c r="AR189" s="40"/>
      <c r="AS189" s="5"/>
      <c r="AU189" s="40"/>
      <c r="AV189" s="5"/>
      <c r="AX189" s="40"/>
      <c r="AY189" s="5"/>
      <c r="BA189" s="40"/>
      <c r="BB189" s="5"/>
      <c r="BD189" s="40"/>
      <c r="BE189" s="5"/>
      <c r="BG189" s="40"/>
      <c r="BH189" s="5"/>
      <c r="BJ189" s="40"/>
      <c r="BK189" s="5"/>
      <c r="BM189" s="40"/>
      <c r="BN189" s="5"/>
      <c r="BP189" s="40"/>
      <c r="BQ189" s="5"/>
      <c r="BS189" s="40"/>
      <c r="BT189" s="5"/>
      <c r="BV189" s="40"/>
      <c r="BW189" s="5"/>
      <c r="BY189" s="40"/>
      <c r="BZ189" s="5"/>
      <c r="CB189" s="40"/>
      <c r="CC189" s="5"/>
      <c r="CE189" s="40"/>
      <c r="CF189" s="5"/>
      <c r="CH189" s="40"/>
      <c r="CI189" s="5"/>
      <c r="CK189" s="40"/>
      <c r="CL189" s="5"/>
      <c r="CN189" s="40"/>
      <c r="CO189" s="5"/>
      <c r="CQ189" s="40"/>
      <c r="CR189" s="5"/>
    </row>
    <row r="190">
      <c r="AL190" s="40"/>
      <c r="AM190" s="5"/>
      <c r="AO190" s="40"/>
      <c r="AP190" s="5"/>
      <c r="AR190" s="40"/>
      <c r="AS190" s="5"/>
      <c r="AU190" s="40"/>
      <c r="AV190" s="5"/>
      <c r="AX190" s="40"/>
      <c r="AY190" s="5"/>
      <c r="BA190" s="40"/>
      <c r="BB190" s="5"/>
      <c r="BD190" s="40"/>
      <c r="BE190" s="5"/>
      <c r="BG190" s="40"/>
      <c r="BH190" s="5"/>
      <c r="BJ190" s="40"/>
      <c r="BK190" s="5"/>
      <c r="BM190" s="40"/>
      <c r="BN190" s="5"/>
      <c r="BP190" s="40"/>
      <c r="BQ190" s="5"/>
      <c r="BS190" s="40"/>
      <c r="BT190" s="5"/>
      <c r="BV190" s="40"/>
      <c r="BW190" s="5"/>
      <c r="BY190" s="40"/>
      <c r="BZ190" s="5"/>
      <c r="CB190" s="40"/>
      <c r="CC190" s="5"/>
      <c r="CE190" s="40"/>
      <c r="CF190" s="5"/>
      <c r="CH190" s="40"/>
      <c r="CI190" s="5"/>
      <c r="CK190" s="40"/>
      <c r="CL190" s="5"/>
      <c r="CN190" s="40"/>
      <c r="CO190" s="5"/>
      <c r="CQ190" s="40"/>
      <c r="CR190" s="5"/>
    </row>
    <row r="191">
      <c r="AL191" s="40"/>
      <c r="AM191" s="5"/>
      <c r="AO191" s="40"/>
      <c r="AP191" s="5"/>
      <c r="AR191" s="40"/>
      <c r="AS191" s="5"/>
      <c r="AU191" s="40"/>
      <c r="AV191" s="5"/>
      <c r="AX191" s="40"/>
      <c r="AY191" s="5"/>
      <c r="BA191" s="40"/>
      <c r="BB191" s="5"/>
      <c r="BD191" s="40"/>
      <c r="BE191" s="5"/>
      <c r="BG191" s="40"/>
      <c r="BH191" s="5"/>
      <c r="BJ191" s="40"/>
      <c r="BK191" s="5"/>
      <c r="BM191" s="40"/>
      <c r="BN191" s="5"/>
      <c r="BP191" s="40"/>
      <c r="BQ191" s="5"/>
      <c r="BS191" s="40"/>
      <c r="BT191" s="5"/>
      <c r="BV191" s="40"/>
      <c r="BW191" s="5"/>
      <c r="BY191" s="40"/>
      <c r="BZ191" s="5"/>
      <c r="CB191" s="40"/>
      <c r="CC191" s="5"/>
      <c r="CE191" s="40"/>
      <c r="CF191" s="5"/>
      <c r="CH191" s="40"/>
      <c r="CI191" s="5"/>
      <c r="CK191" s="40"/>
      <c r="CL191" s="5"/>
      <c r="CN191" s="40"/>
      <c r="CO191" s="5"/>
      <c r="CQ191" s="40"/>
      <c r="CR191" s="5"/>
    </row>
    <row r="192">
      <c r="AL192" s="40"/>
      <c r="AM192" s="5"/>
      <c r="AO192" s="40"/>
      <c r="AP192" s="5"/>
      <c r="AR192" s="40"/>
      <c r="AS192" s="5"/>
      <c r="AU192" s="40"/>
      <c r="AV192" s="5"/>
      <c r="AX192" s="40"/>
      <c r="AY192" s="5"/>
      <c r="BA192" s="40"/>
      <c r="BB192" s="5"/>
      <c r="BD192" s="40"/>
      <c r="BE192" s="5"/>
      <c r="BG192" s="40"/>
      <c r="BH192" s="5"/>
      <c r="BJ192" s="40"/>
      <c r="BK192" s="5"/>
      <c r="BM192" s="40"/>
      <c r="BN192" s="5"/>
      <c r="BP192" s="40"/>
      <c r="BQ192" s="5"/>
      <c r="BS192" s="40"/>
      <c r="BT192" s="5"/>
      <c r="BV192" s="40"/>
      <c r="BW192" s="5"/>
      <c r="BY192" s="40"/>
      <c r="BZ192" s="5"/>
      <c r="CB192" s="40"/>
      <c r="CC192" s="5"/>
      <c r="CE192" s="40"/>
      <c r="CF192" s="5"/>
      <c r="CH192" s="40"/>
      <c r="CI192" s="5"/>
      <c r="CK192" s="40"/>
      <c r="CL192" s="5"/>
      <c r="CN192" s="40"/>
      <c r="CO192" s="5"/>
      <c r="CQ192" s="40"/>
      <c r="CR192" s="5"/>
    </row>
    <row r="193">
      <c r="AL193" s="40"/>
      <c r="AM193" s="5"/>
      <c r="AO193" s="40"/>
      <c r="AP193" s="5"/>
      <c r="AR193" s="40"/>
      <c r="AS193" s="5"/>
      <c r="AU193" s="40"/>
      <c r="AV193" s="5"/>
      <c r="AX193" s="40"/>
      <c r="AY193" s="5"/>
      <c r="BA193" s="40"/>
      <c r="BB193" s="5"/>
      <c r="BD193" s="40"/>
      <c r="BE193" s="5"/>
      <c r="BG193" s="40"/>
      <c r="BH193" s="5"/>
      <c r="BJ193" s="40"/>
      <c r="BK193" s="5"/>
      <c r="BM193" s="40"/>
      <c r="BN193" s="5"/>
      <c r="BP193" s="40"/>
      <c r="BQ193" s="5"/>
      <c r="BS193" s="40"/>
      <c r="BT193" s="5"/>
      <c r="BV193" s="40"/>
      <c r="BW193" s="5"/>
      <c r="BY193" s="40"/>
      <c r="BZ193" s="5"/>
      <c r="CB193" s="40"/>
      <c r="CC193" s="5"/>
      <c r="CE193" s="40"/>
      <c r="CF193" s="5"/>
      <c r="CH193" s="40"/>
      <c r="CI193" s="5"/>
      <c r="CK193" s="40"/>
      <c r="CL193" s="5"/>
      <c r="CN193" s="40"/>
      <c r="CO193" s="5"/>
      <c r="CQ193" s="40"/>
      <c r="CR193" s="5"/>
    </row>
    <row r="194">
      <c r="AL194" s="40"/>
      <c r="AM194" s="5"/>
      <c r="AO194" s="40"/>
      <c r="AP194" s="5"/>
      <c r="AR194" s="40"/>
      <c r="AS194" s="5"/>
      <c r="AU194" s="40"/>
      <c r="AV194" s="5"/>
      <c r="AX194" s="40"/>
      <c r="AY194" s="5"/>
      <c r="BA194" s="40"/>
      <c r="BB194" s="5"/>
      <c r="BD194" s="40"/>
      <c r="BE194" s="5"/>
      <c r="BG194" s="40"/>
      <c r="BH194" s="5"/>
      <c r="BJ194" s="40"/>
      <c r="BK194" s="5"/>
      <c r="BM194" s="40"/>
      <c r="BN194" s="5"/>
      <c r="BP194" s="40"/>
      <c r="BQ194" s="5"/>
      <c r="BS194" s="40"/>
      <c r="BT194" s="5"/>
      <c r="BV194" s="40"/>
      <c r="BW194" s="5"/>
      <c r="BY194" s="40"/>
      <c r="BZ194" s="5"/>
      <c r="CB194" s="40"/>
      <c r="CC194" s="5"/>
      <c r="CE194" s="40"/>
      <c r="CF194" s="5"/>
      <c r="CH194" s="40"/>
      <c r="CI194" s="5"/>
      <c r="CK194" s="40"/>
      <c r="CL194" s="5"/>
      <c r="CN194" s="40"/>
      <c r="CO194" s="5"/>
      <c r="CQ194" s="40"/>
      <c r="CR194" s="5"/>
    </row>
    <row r="195">
      <c r="AL195" s="40"/>
      <c r="AM195" s="5"/>
      <c r="AO195" s="40"/>
      <c r="AP195" s="5"/>
      <c r="AR195" s="40"/>
      <c r="AS195" s="5"/>
      <c r="AU195" s="40"/>
      <c r="AV195" s="5"/>
      <c r="AX195" s="40"/>
      <c r="AY195" s="5"/>
      <c r="BA195" s="40"/>
      <c r="BB195" s="5"/>
      <c r="BD195" s="40"/>
      <c r="BE195" s="5"/>
      <c r="BG195" s="40"/>
      <c r="BH195" s="5"/>
      <c r="BJ195" s="40"/>
      <c r="BK195" s="5"/>
      <c r="BM195" s="40"/>
      <c r="BN195" s="5"/>
      <c r="BP195" s="40"/>
      <c r="BQ195" s="5"/>
      <c r="BS195" s="40"/>
      <c r="BT195" s="5"/>
      <c r="BV195" s="40"/>
      <c r="BW195" s="5"/>
      <c r="BY195" s="40"/>
      <c r="BZ195" s="5"/>
      <c r="CB195" s="40"/>
      <c r="CC195" s="5"/>
      <c r="CE195" s="40"/>
      <c r="CF195" s="5"/>
      <c r="CH195" s="40"/>
      <c r="CI195" s="5"/>
      <c r="CK195" s="40"/>
      <c r="CL195" s="5"/>
      <c r="CN195" s="40"/>
      <c r="CO195" s="5"/>
      <c r="CQ195" s="40"/>
      <c r="CR195" s="5"/>
    </row>
    <row r="196">
      <c r="AL196" s="40"/>
      <c r="AM196" s="5"/>
      <c r="AO196" s="40"/>
      <c r="AP196" s="5"/>
      <c r="AR196" s="40"/>
      <c r="AS196" s="5"/>
      <c r="AU196" s="40"/>
      <c r="AV196" s="5"/>
      <c r="AX196" s="40"/>
      <c r="AY196" s="5"/>
      <c r="BA196" s="40"/>
      <c r="BB196" s="5"/>
      <c r="BD196" s="40"/>
      <c r="BE196" s="5"/>
      <c r="BG196" s="40"/>
      <c r="BH196" s="5"/>
      <c r="BJ196" s="40"/>
      <c r="BK196" s="5"/>
      <c r="BM196" s="40"/>
      <c r="BN196" s="5"/>
      <c r="BP196" s="40"/>
      <c r="BQ196" s="5"/>
      <c r="BS196" s="40"/>
      <c r="BT196" s="5"/>
      <c r="BV196" s="40"/>
      <c r="BW196" s="5"/>
      <c r="BY196" s="40"/>
      <c r="BZ196" s="5"/>
      <c r="CB196" s="40"/>
      <c r="CC196" s="5"/>
      <c r="CE196" s="40"/>
      <c r="CF196" s="5"/>
      <c r="CH196" s="40"/>
      <c r="CI196" s="5"/>
      <c r="CK196" s="40"/>
      <c r="CL196" s="5"/>
      <c r="CN196" s="40"/>
      <c r="CO196" s="5"/>
      <c r="CQ196" s="40"/>
      <c r="CR196" s="5"/>
    </row>
    <row r="197">
      <c r="AL197" s="40"/>
      <c r="AM197" s="5"/>
      <c r="AO197" s="40"/>
      <c r="AP197" s="5"/>
      <c r="AR197" s="40"/>
      <c r="AS197" s="5"/>
      <c r="AU197" s="40"/>
      <c r="AV197" s="5"/>
      <c r="AX197" s="40"/>
      <c r="AY197" s="5"/>
      <c r="BA197" s="40"/>
      <c r="BB197" s="5"/>
      <c r="BD197" s="40"/>
      <c r="BE197" s="5"/>
      <c r="BG197" s="40"/>
      <c r="BH197" s="5"/>
      <c r="BJ197" s="40"/>
      <c r="BK197" s="5"/>
      <c r="BM197" s="40"/>
      <c r="BN197" s="5"/>
      <c r="BP197" s="40"/>
      <c r="BQ197" s="5"/>
      <c r="BS197" s="40"/>
      <c r="BT197" s="5"/>
      <c r="BV197" s="40"/>
      <c r="BW197" s="5"/>
      <c r="BY197" s="40"/>
      <c r="BZ197" s="5"/>
      <c r="CB197" s="40"/>
      <c r="CC197" s="5"/>
      <c r="CE197" s="40"/>
      <c r="CF197" s="5"/>
      <c r="CH197" s="40"/>
      <c r="CI197" s="5"/>
      <c r="CK197" s="40"/>
      <c r="CL197" s="5"/>
      <c r="CN197" s="40"/>
      <c r="CO197" s="5"/>
      <c r="CQ197" s="40"/>
      <c r="CR197" s="5"/>
    </row>
    <row r="198">
      <c r="AL198" s="40"/>
      <c r="AM198" s="5"/>
      <c r="AO198" s="40"/>
      <c r="AP198" s="5"/>
      <c r="AR198" s="40"/>
      <c r="AS198" s="5"/>
      <c r="AU198" s="40"/>
      <c r="AV198" s="5"/>
      <c r="AX198" s="40"/>
      <c r="AY198" s="5"/>
      <c r="BA198" s="40"/>
      <c r="BB198" s="5"/>
      <c r="BD198" s="40"/>
      <c r="BE198" s="5"/>
      <c r="BG198" s="40"/>
      <c r="BH198" s="5"/>
      <c r="BJ198" s="40"/>
      <c r="BK198" s="5"/>
      <c r="BM198" s="40"/>
      <c r="BN198" s="5"/>
      <c r="BP198" s="40"/>
      <c r="BQ198" s="5"/>
      <c r="BS198" s="40"/>
      <c r="BT198" s="5"/>
      <c r="BV198" s="40"/>
      <c r="BW198" s="5"/>
      <c r="BY198" s="40"/>
      <c r="BZ198" s="5"/>
      <c r="CB198" s="40"/>
      <c r="CC198" s="5"/>
      <c r="CE198" s="40"/>
      <c r="CF198" s="5"/>
      <c r="CH198" s="40"/>
      <c r="CI198" s="5"/>
      <c r="CK198" s="40"/>
      <c r="CL198" s="5"/>
      <c r="CN198" s="40"/>
      <c r="CO198" s="5"/>
      <c r="CQ198" s="40"/>
      <c r="CR198" s="5"/>
    </row>
    <row r="199">
      <c r="AL199" s="40"/>
      <c r="AM199" s="5"/>
      <c r="AO199" s="40"/>
      <c r="AP199" s="5"/>
      <c r="AR199" s="40"/>
      <c r="AS199" s="5"/>
      <c r="AU199" s="40"/>
      <c r="AV199" s="5"/>
      <c r="AX199" s="40"/>
      <c r="AY199" s="5"/>
      <c r="BA199" s="40"/>
      <c r="BB199" s="5"/>
      <c r="BD199" s="40"/>
      <c r="BE199" s="5"/>
      <c r="BG199" s="40"/>
      <c r="BH199" s="5"/>
      <c r="BJ199" s="40"/>
      <c r="BK199" s="5"/>
      <c r="BM199" s="40"/>
      <c r="BN199" s="5"/>
      <c r="BP199" s="40"/>
      <c r="BQ199" s="5"/>
      <c r="BS199" s="40"/>
      <c r="BT199" s="5"/>
      <c r="BV199" s="40"/>
      <c r="BW199" s="5"/>
      <c r="BY199" s="40"/>
      <c r="BZ199" s="5"/>
      <c r="CB199" s="40"/>
      <c r="CC199" s="5"/>
      <c r="CE199" s="40"/>
      <c r="CF199" s="5"/>
      <c r="CH199" s="40"/>
      <c r="CI199" s="5"/>
      <c r="CK199" s="40"/>
      <c r="CL199" s="5"/>
      <c r="CN199" s="40"/>
      <c r="CO199" s="5"/>
      <c r="CQ199" s="40"/>
      <c r="CR199" s="5"/>
    </row>
    <row r="200">
      <c r="AL200" s="40"/>
      <c r="AM200" s="5"/>
      <c r="AO200" s="40"/>
      <c r="AP200" s="5"/>
      <c r="AR200" s="40"/>
      <c r="AS200" s="5"/>
      <c r="AU200" s="40"/>
      <c r="AV200" s="5"/>
      <c r="AX200" s="40"/>
      <c r="AY200" s="5"/>
      <c r="BA200" s="40"/>
      <c r="BB200" s="5"/>
      <c r="BD200" s="40"/>
      <c r="BE200" s="5"/>
      <c r="BG200" s="40"/>
      <c r="BH200" s="5"/>
      <c r="BJ200" s="40"/>
      <c r="BK200" s="5"/>
      <c r="BM200" s="40"/>
      <c r="BN200" s="5"/>
      <c r="BP200" s="40"/>
      <c r="BQ200" s="5"/>
      <c r="BS200" s="40"/>
      <c r="BT200" s="5"/>
      <c r="BV200" s="40"/>
      <c r="BW200" s="5"/>
      <c r="BY200" s="40"/>
      <c r="BZ200" s="5"/>
      <c r="CB200" s="40"/>
      <c r="CC200" s="5"/>
      <c r="CE200" s="40"/>
      <c r="CF200" s="5"/>
      <c r="CH200" s="40"/>
      <c r="CI200" s="5"/>
      <c r="CK200" s="40"/>
      <c r="CL200" s="5"/>
      <c r="CN200" s="40"/>
      <c r="CO200" s="5"/>
      <c r="CQ200" s="40"/>
      <c r="CR200" s="5"/>
    </row>
    <row r="201">
      <c r="AL201" s="40"/>
      <c r="AM201" s="5"/>
      <c r="AO201" s="40"/>
      <c r="AP201" s="5"/>
      <c r="AR201" s="40"/>
      <c r="AS201" s="5"/>
      <c r="AU201" s="40"/>
      <c r="AV201" s="5"/>
      <c r="AX201" s="40"/>
      <c r="AY201" s="5"/>
      <c r="BA201" s="40"/>
      <c r="BB201" s="5"/>
      <c r="BD201" s="40"/>
      <c r="BE201" s="5"/>
      <c r="BG201" s="40"/>
      <c r="BH201" s="5"/>
      <c r="BJ201" s="40"/>
      <c r="BK201" s="5"/>
      <c r="BM201" s="40"/>
      <c r="BN201" s="5"/>
      <c r="BP201" s="40"/>
      <c r="BQ201" s="5"/>
      <c r="BS201" s="40"/>
      <c r="BT201" s="5"/>
      <c r="BV201" s="40"/>
      <c r="BW201" s="5"/>
      <c r="BY201" s="40"/>
      <c r="BZ201" s="5"/>
      <c r="CB201" s="40"/>
      <c r="CC201" s="5"/>
      <c r="CE201" s="40"/>
      <c r="CF201" s="5"/>
      <c r="CH201" s="40"/>
      <c r="CI201" s="5"/>
      <c r="CK201" s="40"/>
      <c r="CL201" s="5"/>
      <c r="CN201" s="40"/>
      <c r="CO201" s="5"/>
      <c r="CQ201" s="40"/>
      <c r="CR201" s="5"/>
    </row>
    <row r="202">
      <c r="AL202" s="40"/>
      <c r="AM202" s="5"/>
      <c r="AO202" s="40"/>
      <c r="AP202" s="5"/>
      <c r="AR202" s="40"/>
      <c r="AS202" s="5"/>
      <c r="AU202" s="40"/>
      <c r="AV202" s="5"/>
      <c r="AX202" s="40"/>
      <c r="AY202" s="5"/>
      <c r="BA202" s="40"/>
      <c r="BB202" s="5"/>
      <c r="BD202" s="40"/>
      <c r="BE202" s="5"/>
      <c r="BG202" s="40"/>
      <c r="BH202" s="5"/>
      <c r="BJ202" s="40"/>
      <c r="BK202" s="5"/>
      <c r="BM202" s="40"/>
      <c r="BN202" s="5"/>
      <c r="BP202" s="40"/>
      <c r="BQ202" s="5"/>
      <c r="BS202" s="40"/>
      <c r="BT202" s="5"/>
      <c r="BV202" s="40"/>
      <c r="BW202" s="5"/>
      <c r="BY202" s="40"/>
      <c r="BZ202" s="5"/>
      <c r="CB202" s="40"/>
      <c r="CC202" s="5"/>
      <c r="CE202" s="40"/>
      <c r="CF202" s="5"/>
      <c r="CH202" s="40"/>
      <c r="CI202" s="5"/>
      <c r="CK202" s="40"/>
      <c r="CL202" s="5"/>
      <c r="CN202" s="40"/>
      <c r="CO202" s="5"/>
      <c r="CQ202" s="40"/>
      <c r="CR202" s="5"/>
    </row>
    <row r="203">
      <c r="AL203" s="40"/>
      <c r="AM203" s="5"/>
      <c r="AO203" s="40"/>
      <c r="AP203" s="5"/>
      <c r="AR203" s="40"/>
      <c r="AS203" s="5"/>
      <c r="AU203" s="40"/>
      <c r="AV203" s="5"/>
      <c r="AX203" s="40"/>
      <c r="AY203" s="5"/>
      <c r="BA203" s="40"/>
      <c r="BB203" s="5"/>
      <c r="BD203" s="40"/>
      <c r="BE203" s="5"/>
      <c r="BG203" s="40"/>
      <c r="BH203" s="5"/>
      <c r="BJ203" s="40"/>
      <c r="BK203" s="5"/>
      <c r="BM203" s="40"/>
      <c r="BN203" s="5"/>
      <c r="BP203" s="40"/>
      <c r="BQ203" s="5"/>
      <c r="BS203" s="40"/>
      <c r="BT203" s="5"/>
      <c r="BV203" s="40"/>
      <c r="BW203" s="5"/>
      <c r="BY203" s="40"/>
      <c r="BZ203" s="5"/>
      <c r="CB203" s="40"/>
      <c r="CC203" s="5"/>
      <c r="CE203" s="40"/>
      <c r="CF203" s="5"/>
      <c r="CH203" s="40"/>
      <c r="CI203" s="5"/>
      <c r="CK203" s="40"/>
      <c r="CL203" s="5"/>
      <c r="CN203" s="40"/>
      <c r="CO203" s="5"/>
      <c r="CQ203" s="40"/>
      <c r="CR203" s="5"/>
    </row>
    <row r="204">
      <c r="AL204" s="40"/>
      <c r="AM204" s="5"/>
      <c r="AO204" s="40"/>
      <c r="AP204" s="5"/>
      <c r="AR204" s="40"/>
      <c r="AS204" s="5"/>
      <c r="AU204" s="40"/>
      <c r="AV204" s="5"/>
      <c r="AX204" s="40"/>
      <c r="AY204" s="5"/>
      <c r="BA204" s="40"/>
      <c r="BB204" s="5"/>
      <c r="BD204" s="40"/>
      <c r="BE204" s="5"/>
      <c r="BG204" s="40"/>
      <c r="BH204" s="5"/>
      <c r="BJ204" s="40"/>
      <c r="BK204" s="5"/>
      <c r="BM204" s="40"/>
      <c r="BN204" s="5"/>
      <c r="BP204" s="40"/>
      <c r="BQ204" s="5"/>
      <c r="BS204" s="40"/>
      <c r="BT204" s="5"/>
      <c r="BV204" s="40"/>
      <c r="BW204" s="5"/>
      <c r="BY204" s="40"/>
      <c r="BZ204" s="5"/>
      <c r="CB204" s="40"/>
      <c r="CC204" s="5"/>
      <c r="CE204" s="40"/>
      <c r="CF204" s="5"/>
      <c r="CH204" s="40"/>
      <c r="CI204" s="5"/>
      <c r="CK204" s="40"/>
      <c r="CL204" s="5"/>
      <c r="CN204" s="40"/>
      <c r="CO204" s="5"/>
      <c r="CQ204" s="40"/>
      <c r="CR204" s="5"/>
    </row>
    <row r="205">
      <c r="AL205" s="40"/>
      <c r="AM205" s="5"/>
      <c r="AO205" s="40"/>
      <c r="AP205" s="5"/>
      <c r="AR205" s="40"/>
      <c r="AS205" s="5"/>
      <c r="AU205" s="40"/>
      <c r="AV205" s="5"/>
      <c r="AX205" s="40"/>
      <c r="AY205" s="5"/>
      <c r="BA205" s="40"/>
      <c r="BB205" s="5"/>
      <c r="BD205" s="40"/>
      <c r="BE205" s="5"/>
      <c r="BG205" s="40"/>
      <c r="BH205" s="5"/>
      <c r="BJ205" s="40"/>
      <c r="BK205" s="5"/>
      <c r="BM205" s="40"/>
      <c r="BN205" s="5"/>
      <c r="BP205" s="40"/>
      <c r="BQ205" s="5"/>
      <c r="BS205" s="40"/>
      <c r="BT205" s="5"/>
      <c r="BV205" s="40"/>
      <c r="BW205" s="5"/>
      <c r="BY205" s="40"/>
      <c r="BZ205" s="5"/>
      <c r="CB205" s="40"/>
      <c r="CC205" s="5"/>
      <c r="CE205" s="40"/>
      <c r="CF205" s="5"/>
      <c r="CH205" s="40"/>
      <c r="CI205" s="5"/>
      <c r="CK205" s="40"/>
      <c r="CL205" s="5"/>
      <c r="CN205" s="40"/>
      <c r="CO205" s="5"/>
      <c r="CQ205" s="40"/>
      <c r="CR205" s="5"/>
    </row>
    <row r="206">
      <c r="AL206" s="40"/>
      <c r="AM206" s="5"/>
      <c r="AO206" s="40"/>
      <c r="AP206" s="5"/>
      <c r="AR206" s="40"/>
      <c r="AS206" s="5"/>
      <c r="AU206" s="40"/>
      <c r="AV206" s="5"/>
      <c r="AX206" s="40"/>
      <c r="AY206" s="5"/>
      <c r="BA206" s="40"/>
      <c r="BB206" s="5"/>
      <c r="BD206" s="40"/>
      <c r="BE206" s="5"/>
      <c r="BG206" s="40"/>
      <c r="BH206" s="5"/>
      <c r="BJ206" s="40"/>
      <c r="BK206" s="5"/>
      <c r="BM206" s="40"/>
      <c r="BN206" s="5"/>
      <c r="BP206" s="40"/>
      <c r="BQ206" s="5"/>
      <c r="BS206" s="40"/>
      <c r="BT206" s="5"/>
      <c r="BV206" s="40"/>
      <c r="BW206" s="5"/>
      <c r="BY206" s="40"/>
      <c r="BZ206" s="5"/>
      <c r="CB206" s="40"/>
      <c r="CC206" s="5"/>
      <c r="CE206" s="40"/>
      <c r="CF206" s="5"/>
      <c r="CH206" s="40"/>
      <c r="CI206" s="5"/>
      <c r="CK206" s="40"/>
      <c r="CL206" s="5"/>
      <c r="CN206" s="40"/>
      <c r="CO206" s="5"/>
      <c r="CQ206" s="40"/>
      <c r="CR206" s="5"/>
    </row>
    <row r="207">
      <c r="AL207" s="40"/>
      <c r="AM207" s="5"/>
      <c r="AO207" s="40"/>
      <c r="AP207" s="5"/>
      <c r="AR207" s="40"/>
      <c r="AS207" s="5"/>
      <c r="AU207" s="40"/>
      <c r="AV207" s="5"/>
      <c r="AX207" s="40"/>
      <c r="AY207" s="5"/>
      <c r="BA207" s="40"/>
      <c r="BB207" s="5"/>
      <c r="BD207" s="40"/>
      <c r="BE207" s="5"/>
      <c r="BG207" s="40"/>
      <c r="BH207" s="5"/>
      <c r="BJ207" s="40"/>
      <c r="BK207" s="5"/>
      <c r="BM207" s="40"/>
      <c r="BN207" s="5"/>
      <c r="BP207" s="40"/>
      <c r="BQ207" s="5"/>
      <c r="BS207" s="40"/>
      <c r="BT207" s="5"/>
      <c r="BV207" s="40"/>
      <c r="BW207" s="5"/>
      <c r="BY207" s="40"/>
      <c r="BZ207" s="5"/>
      <c r="CB207" s="40"/>
      <c r="CC207" s="5"/>
      <c r="CE207" s="40"/>
      <c r="CF207" s="5"/>
      <c r="CH207" s="40"/>
      <c r="CI207" s="5"/>
      <c r="CK207" s="40"/>
      <c r="CL207" s="5"/>
      <c r="CN207" s="40"/>
      <c r="CO207" s="5"/>
      <c r="CQ207" s="40"/>
      <c r="CR207" s="5"/>
    </row>
    <row r="208">
      <c r="AL208" s="40"/>
      <c r="AM208" s="5"/>
      <c r="AO208" s="40"/>
      <c r="AP208" s="5"/>
      <c r="AR208" s="40"/>
      <c r="AS208" s="5"/>
      <c r="AU208" s="40"/>
      <c r="AV208" s="5"/>
      <c r="AX208" s="40"/>
      <c r="AY208" s="5"/>
      <c r="BA208" s="40"/>
      <c r="BB208" s="5"/>
      <c r="BD208" s="40"/>
      <c r="BE208" s="5"/>
      <c r="BG208" s="40"/>
      <c r="BH208" s="5"/>
      <c r="BJ208" s="40"/>
      <c r="BK208" s="5"/>
      <c r="BM208" s="40"/>
      <c r="BN208" s="5"/>
      <c r="BP208" s="40"/>
      <c r="BQ208" s="5"/>
      <c r="BS208" s="40"/>
      <c r="BT208" s="5"/>
      <c r="BV208" s="40"/>
      <c r="BW208" s="5"/>
      <c r="BY208" s="40"/>
      <c r="BZ208" s="5"/>
      <c r="CB208" s="40"/>
      <c r="CC208" s="5"/>
      <c r="CE208" s="40"/>
      <c r="CF208" s="5"/>
      <c r="CH208" s="40"/>
      <c r="CI208" s="5"/>
      <c r="CK208" s="40"/>
      <c r="CL208" s="5"/>
      <c r="CN208" s="40"/>
      <c r="CO208" s="5"/>
      <c r="CQ208" s="40"/>
      <c r="CR208" s="5"/>
    </row>
    <row r="209">
      <c r="AL209" s="40"/>
      <c r="AM209" s="5"/>
      <c r="AO209" s="40"/>
      <c r="AP209" s="5"/>
      <c r="AR209" s="40"/>
      <c r="AS209" s="5"/>
      <c r="AU209" s="40"/>
      <c r="AV209" s="5"/>
      <c r="AX209" s="40"/>
      <c r="AY209" s="5"/>
      <c r="BA209" s="40"/>
      <c r="BB209" s="5"/>
      <c r="BD209" s="40"/>
      <c r="BE209" s="5"/>
      <c r="BG209" s="40"/>
      <c r="BH209" s="5"/>
      <c r="BJ209" s="40"/>
      <c r="BK209" s="5"/>
      <c r="BM209" s="40"/>
      <c r="BN209" s="5"/>
      <c r="BP209" s="40"/>
      <c r="BQ209" s="5"/>
      <c r="BS209" s="40"/>
      <c r="BT209" s="5"/>
      <c r="BV209" s="40"/>
      <c r="BW209" s="5"/>
      <c r="BY209" s="40"/>
      <c r="BZ209" s="5"/>
      <c r="CB209" s="40"/>
      <c r="CC209" s="5"/>
      <c r="CE209" s="40"/>
      <c r="CF209" s="5"/>
      <c r="CH209" s="40"/>
      <c r="CI209" s="5"/>
      <c r="CK209" s="40"/>
      <c r="CL209" s="5"/>
      <c r="CN209" s="40"/>
      <c r="CO209" s="5"/>
      <c r="CQ209" s="40"/>
      <c r="CR209" s="5"/>
    </row>
    <row r="210">
      <c r="AL210" s="40"/>
      <c r="AM210" s="5"/>
      <c r="AO210" s="40"/>
      <c r="AP210" s="5"/>
      <c r="AR210" s="40"/>
      <c r="AS210" s="5"/>
      <c r="AU210" s="40"/>
      <c r="AV210" s="5"/>
      <c r="AX210" s="40"/>
      <c r="AY210" s="5"/>
      <c r="BA210" s="40"/>
      <c r="BB210" s="5"/>
      <c r="BD210" s="40"/>
      <c r="BE210" s="5"/>
      <c r="BG210" s="40"/>
      <c r="BH210" s="5"/>
      <c r="BJ210" s="40"/>
      <c r="BK210" s="5"/>
      <c r="BM210" s="40"/>
      <c r="BN210" s="5"/>
      <c r="BP210" s="40"/>
      <c r="BQ210" s="5"/>
      <c r="BS210" s="40"/>
      <c r="BT210" s="5"/>
      <c r="BV210" s="40"/>
      <c r="BW210" s="5"/>
      <c r="BY210" s="40"/>
      <c r="BZ210" s="5"/>
      <c r="CB210" s="40"/>
      <c r="CC210" s="5"/>
      <c r="CE210" s="40"/>
      <c r="CF210" s="5"/>
      <c r="CH210" s="40"/>
      <c r="CI210" s="5"/>
      <c r="CK210" s="40"/>
      <c r="CL210" s="5"/>
      <c r="CN210" s="40"/>
      <c r="CO210" s="5"/>
      <c r="CQ210" s="40"/>
      <c r="CR210" s="5"/>
    </row>
    <row r="211">
      <c r="AL211" s="40"/>
      <c r="AM211" s="5"/>
      <c r="AO211" s="40"/>
      <c r="AP211" s="5"/>
      <c r="AR211" s="40"/>
      <c r="AS211" s="5"/>
      <c r="AU211" s="40"/>
      <c r="AV211" s="5"/>
      <c r="AX211" s="40"/>
      <c r="AY211" s="5"/>
      <c r="BA211" s="40"/>
      <c r="BB211" s="5"/>
      <c r="BD211" s="40"/>
      <c r="BE211" s="5"/>
      <c r="BG211" s="40"/>
      <c r="BH211" s="5"/>
      <c r="BJ211" s="40"/>
      <c r="BK211" s="5"/>
      <c r="BM211" s="40"/>
      <c r="BN211" s="5"/>
      <c r="BP211" s="40"/>
      <c r="BQ211" s="5"/>
      <c r="BS211" s="40"/>
      <c r="BT211" s="5"/>
      <c r="BV211" s="40"/>
      <c r="BW211" s="5"/>
      <c r="BY211" s="40"/>
      <c r="BZ211" s="5"/>
      <c r="CB211" s="40"/>
      <c r="CC211" s="5"/>
      <c r="CE211" s="40"/>
      <c r="CF211" s="5"/>
      <c r="CH211" s="40"/>
      <c r="CI211" s="5"/>
      <c r="CK211" s="40"/>
      <c r="CL211" s="5"/>
      <c r="CN211" s="40"/>
      <c r="CO211" s="5"/>
      <c r="CQ211" s="40"/>
      <c r="CR211" s="5"/>
    </row>
    <row r="212">
      <c r="AL212" s="40"/>
      <c r="AM212" s="5"/>
      <c r="AO212" s="40"/>
      <c r="AP212" s="5"/>
      <c r="AR212" s="40"/>
      <c r="AS212" s="5"/>
      <c r="AU212" s="40"/>
      <c r="AV212" s="5"/>
      <c r="AX212" s="40"/>
      <c r="AY212" s="5"/>
      <c r="BA212" s="40"/>
      <c r="BB212" s="5"/>
      <c r="BD212" s="40"/>
      <c r="BE212" s="5"/>
      <c r="BG212" s="40"/>
      <c r="BH212" s="5"/>
      <c r="BJ212" s="40"/>
      <c r="BK212" s="5"/>
      <c r="BM212" s="40"/>
      <c r="BN212" s="5"/>
      <c r="BP212" s="40"/>
      <c r="BQ212" s="5"/>
      <c r="BS212" s="40"/>
      <c r="BT212" s="5"/>
      <c r="BV212" s="40"/>
      <c r="BW212" s="5"/>
      <c r="BY212" s="40"/>
      <c r="BZ212" s="5"/>
      <c r="CB212" s="40"/>
      <c r="CC212" s="5"/>
      <c r="CE212" s="40"/>
      <c r="CF212" s="5"/>
      <c r="CH212" s="40"/>
      <c r="CI212" s="5"/>
      <c r="CK212" s="40"/>
      <c r="CL212" s="5"/>
      <c r="CN212" s="40"/>
      <c r="CO212" s="5"/>
      <c r="CQ212" s="40"/>
      <c r="CR212" s="5"/>
    </row>
    <row r="213">
      <c r="AL213" s="40"/>
      <c r="AM213" s="5"/>
      <c r="AO213" s="40"/>
      <c r="AP213" s="5"/>
      <c r="AR213" s="40"/>
      <c r="AS213" s="5"/>
      <c r="AU213" s="40"/>
      <c r="AV213" s="5"/>
      <c r="AX213" s="40"/>
      <c r="AY213" s="5"/>
      <c r="BA213" s="40"/>
      <c r="BB213" s="5"/>
      <c r="BD213" s="40"/>
      <c r="BE213" s="5"/>
      <c r="BG213" s="40"/>
      <c r="BH213" s="5"/>
      <c r="BJ213" s="40"/>
      <c r="BK213" s="5"/>
      <c r="BM213" s="40"/>
      <c r="BN213" s="5"/>
      <c r="BP213" s="40"/>
      <c r="BQ213" s="5"/>
      <c r="BS213" s="40"/>
      <c r="BT213" s="5"/>
      <c r="BV213" s="40"/>
      <c r="BW213" s="5"/>
      <c r="BY213" s="40"/>
      <c r="BZ213" s="5"/>
      <c r="CB213" s="40"/>
      <c r="CC213" s="5"/>
      <c r="CE213" s="40"/>
      <c r="CF213" s="5"/>
      <c r="CH213" s="40"/>
      <c r="CI213" s="5"/>
      <c r="CK213" s="40"/>
      <c r="CL213" s="5"/>
      <c r="CN213" s="40"/>
      <c r="CO213" s="5"/>
      <c r="CQ213" s="40"/>
      <c r="CR213" s="5"/>
    </row>
    <row r="214">
      <c r="AL214" s="40"/>
      <c r="AM214" s="5"/>
      <c r="AO214" s="40"/>
      <c r="AP214" s="5"/>
      <c r="AR214" s="40"/>
      <c r="AS214" s="5"/>
      <c r="AU214" s="40"/>
      <c r="AV214" s="5"/>
      <c r="AX214" s="40"/>
      <c r="AY214" s="5"/>
      <c r="BA214" s="40"/>
      <c r="BB214" s="5"/>
      <c r="BD214" s="40"/>
      <c r="BE214" s="5"/>
      <c r="BG214" s="40"/>
      <c r="BH214" s="5"/>
      <c r="BJ214" s="40"/>
      <c r="BK214" s="5"/>
      <c r="BM214" s="40"/>
      <c r="BN214" s="5"/>
      <c r="BP214" s="40"/>
      <c r="BQ214" s="5"/>
      <c r="BS214" s="40"/>
      <c r="BT214" s="5"/>
      <c r="BV214" s="40"/>
      <c r="BW214" s="5"/>
      <c r="BY214" s="40"/>
      <c r="BZ214" s="5"/>
      <c r="CB214" s="40"/>
      <c r="CC214" s="5"/>
      <c r="CE214" s="40"/>
      <c r="CF214" s="5"/>
      <c r="CH214" s="40"/>
      <c r="CI214" s="5"/>
      <c r="CK214" s="40"/>
      <c r="CL214" s="5"/>
      <c r="CN214" s="40"/>
      <c r="CO214" s="5"/>
      <c r="CQ214" s="40"/>
      <c r="CR214" s="5"/>
    </row>
    <row r="215">
      <c r="AL215" s="40"/>
      <c r="AM215" s="5"/>
      <c r="AO215" s="40"/>
      <c r="AP215" s="5"/>
      <c r="AR215" s="40"/>
      <c r="AS215" s="5"/>
      <c r="AU215" s="40"/>
      <c r="AV215" s="5"/>
      <c r="AX215" s="40"/>
      <c r="AY215" s="5"/>
      <c r="BA215" s="40"/>
      <c r="BB215" s="5"/>
      <c r="BD215" s="40"/>
      <c r="BE215" s="5"/>
      <c r="BG215" s="40"/>
      <c r="BH215" s="5"/>
      <c r="BJ215" s="40"/>
      <c r="BK215" s="5"/>
      <c r="BM215" s="40"/>
      <c r="BN215" s="5"/>
      <c r="BP215" s="40"/>
      <c r="BQ215" s="5"/>
      <c r="BS215" s="40"/>
      <c r="BT215" s="5"/>
      <c r="BV215" s="40"/>
      <c r="BW215" s="5"/>
      <c r="BY215" s="40"/>
      <c r="BZ215" s="5"/>
      <c r="CB215" s="40"/>
      <c r="CC215" s="5"/>
      <c r="CE215" s="40"/>
      <c r="CF215" s="5"/>
      <c r="CH215" s="40"/>
      <c r="CI215" s="5"/>
      <c r="CK215" s="40"/>
      <c r="CL215" s="5"/>
      <c r="CN215" s="40"/>
      <c r="CO215" s="5"/>
      <c r="CQ215" s="40"/>
      <c r="CR215" s="5"/>
    </row>
    <row r="216">
      <c r="AL216" s="40"/>
      <c r="AM216" s="5"/>
      <c r="AO216" s="40"/>
      <c r="AP216" s="5"/>
      <c r="AR216" s="40"/>
      <c r="AS216" s="5"/>
      <c r="AU216" s="40"/>
      <c r="AV216" s="5"/>
      <c r="AX216" s="40"/>
      <c r="AY216" s="5"/>
      <c r="BA216" s="40"/>
      <c r="BB216" s="5"/>
      <c r="BD216" s="40"/>
      <c r="BE216" s="5"/>
      <c r="BG216" s="40"/>
      <c r="BH216" s="5"/>
      <c r="BJ216" s="40"/>
      <c r="BK216" s="5"/>
      <c r="BM216" s="40"/>
      <c r="BN216" s="5"/>
      <c r="BP216" s="40"/>
      <c r="BQ216" s="5"/>
      <c r="BS216" s="40"/>
      <c r="BT216" s="5"/>
      <c r="BV216" s="40"/>
      <c r="BW216" s="5"/>
      <c r="BY216" s="40"/>
      <c r="BZ216" s="5"/>
      <c r="CB216" s="40"/>
      <c r="CC216" s="5"/>
      <c r="CE216" s="40"/>
      <c r="CF216" s="5"/>
      <c r="CH216" s="40"/>
      <c r="CI216" s="5"/>
      <c r="CK216" s="40"/>
      <c r="CL216" s="5"/>
      <c r="CN216" s="40"/>
      <c r="CO216" s="5"/>
      <c r="CQ216" s="40"/>
      <c r="CR216" s="5"/>
    </row>
    <row r="217">
      <c r="AL217" s="40"/>
      <c r="AM217" s="5"/>
      <c r="AO217" s="40"/>
      <c r="AP217" s="5"/>
      <c r="AR217" s="40"/>
      <c r="AS217" s="5"/>
      <c r="AU217" s="40"/>
      <c r="AV217" s="5"/>
      <c r="AX217" s="40"/>
      <c r="AY217" s="5"/>
      <c r="BA217" s="40"/>
      <c r="BB217" s="5"/>
      <c r="BD217" s="40"/>
      <c r="BE217" s="5"/>
      <c r="BG217" s="40"/>
      <c r="BH217" s="5"/>
      <c r="BJ217" s="40"/>
      <c r="BK217" s="5"/>
      <c r="BM217" s="40"/>
      <c r="BN217" s="5"/>
      <c r="BP217" s="40"/>
      <c r="BQ217" s="5"/>
      <c r="BS217" s="40"/>
      <c r="BT217" s="5"/>
      <c r="BV217" s="40"/>
      <c r="BW217" s="5"/>
      <c r="BY217" s="40"/>
      <c r="BZ217" s="5"/>
      <c r="CB217" s="40"/>
      <c r="CC217" s="5"/>
      <c r="CE217" s="40"/>
      <c r="CF217" s="5"/>
      <c r="CH217" s="40"/>
      <c r="CI217" s="5"/>
      <c r="CK217" s="40"/>
      <c r="CL217" s="5"/>
      <c r="CN217" s="40"/>
      <c r="CO217" s="5"/>
      <c r="CQ217" s="40"/>
      <c r="CR217" s="5"/>
    </row>
    <row r="218">
      <c r="AL218" s="40"/>
      <c r="AM218" s="5"/>
      <c r="AO218" s="40"/>
      <c r="AP218" s="5"/>
      <c r="AR218" s="40"/>
      <c r="AS218" s="5"/>
      <c r="AU218" s="40"/>
      <c r="AV218" s="5"/>
      <c r="AX218" s="40"/>
      <c r="AY218" s="5"/>
      <c r="BA218" s="40"/>
      <c r="BB218" s="5"/>
      <c r="BD218" s="40"/>
      <c r="BE218" s="5"/>
      <c r="BG218" s="40"/>
      <c r="BH218" s="5"/>
      <c r="BJ218" s="40"/>
      <c r="BK218" s="5"/>
      <c r="BM218" s="40"/>
      <c r="BN218" s="5"/>
      <c r="BP218" s="40"/>
      <c r="BQ218" s="5"/>
      <c r="BS218" s="40"/>
      <c r="BT218" s="5"/>
      <c r="BV218" s="40"/>
      <c r="BW218" s="5"/>
      <c r="BY218" s="40"/>
      <c r="BZ218" s="5"/>
      <c r="CB218" s="40"/>
      <c r="CC218" s="5"/>
      <c r="CE218" s="40"/>
      <c r="CF218" s="5"/>
      <c r="CH218" s="40"/>
      <c r="CI218" s="5"/>
      <c r="CK218" s="40"/>
      <c r="CL218" s="5"/>
      <c r="CN218" s="40"/>
      <c r="CO218" s="5"/>
      <c r="CQ218" s="40"/>
      <c r="CR218" s="5"/>
    </row>
    <row r="219">
      <c r="AL219" s="40"/>
      <c r="AM219" s="5"/>
      <c r="AO219" s="40"/>
      <c r="AP219" s="5"/>
      <c r="AR219" s="40"/>
      <c r="AS219" s="5"/>
      <c r="AU219" s="40"/>
      <c r="AV219" s="5"/>
      <c r="AX219" s="40"/>
      <c r="AY219" s="5"/>
      <c r="BA219" s="40"/>
      <c r="BB219" s="5"/>
      <c r="BD219" s="40"/>
      <c r="BE219" s="5"/>
      <c r="BG219" s="40"/>
      <c r="BH219" s="5"/>
      <c r="BJ219" s="40"/>
      <c r="BK219" s="5"/>
      <c r="BM219" s="40"/>
      <c r="BN219" s="5"/>
      <c r="BP219" s="40"/>
      <c r="BQ219" s="5"/>
      <c r="BS219" s="40"/>
      <c r="BT219" s="5"/>
      <c r="BV219" s="40"/>
      <c r="BW219" s="5"/>
      <c r="BY219" s="40"/>
      <c r="BZ219" s="5"/>
      <c r="CB219" s="40"/>
      <c r="CC219" s="5"/>
      <c r="CE219" s="40"/>
      <c r="CF219" s="5"/>
      <c r="CH219" s="40"/>
      <c r="CI219" s="5"/>
      <c r="CK219" s="40"/>
      <c r="CL219" s="5"/>
      <c r="CN219" s="40"/>
      <c r="CO219" s="5"/>
      <c r="CQ219" s="40"/>
      <c r="CR219" s="5"/>
    </row>
    <row r="220">
      <c r="AL220" s="40"/>
      <c r="AM220" s="5"/>
      <c r="AO220" s="40"/>
      <c r="AP220" s="5"/>
      <c r="AR220" s="40"/>
      <c r="AS220" s="5"/>
      <c r="AU220" s="40"/>
      <c r="AV220" s="5"/>
      <c r="AX220" s="40"/>
      <c r="AY220" s="5"/>
      <c r="BA220" s="40"/>
      <c r="BB220" s="5"/>
      <c r="BD220" s="40"/>
      <c r="BE220" s="5"/>
      <c r="BG220" s="40"/>
      <c r="BH220" s="5"/>
      <c r="BJ220" s="40"/>
      <c r="BK220" s="5"/>
      <c r="BM220" s="40"/>
      <c r="BN220" s="5"/>
      <c r="BP220" s="40"/>
      <c r="BQ220" s="5"/>
      <c r="BS220" s="40"/>
      <c r="BT220" s="5"/>
      <c r="BV220" s="40"/>
      <c r="BW220" s="5"/>
      <c r="BY220" s="40"/>
      <c r="BZ220" s="5"/>
      <c r="CB220" s="40"/>
      <c r="CC220" s="5"/>
      <c r="CE220" s="40"/>
      <c r="CF220" s="5"/>
      <c r="CH220" s="40"/>
      <c r="CI220" s="5"/>
      <c r="CK220" s="40"/>
      <c r="CL220" s="5"/>
      <c r="CN220" s="40"/>
      <c r="CO220" s="5"/>
      <c r="CQ220" s="40"/>
      <c r="CR220" s="5"/>
    </row>
    <row r="221">
      <c r="AL221" s="40"/>
      <c r="AM221" s="5"/>
      <c r="AO221" s="40"/>
      <c r="AP221" s="5"/>
      <c r="AR221" s="40"/>
      <c r="AS221" s="5"/>
      <c r="AU221" s="40"/>
      <c r="AV221" s="5"/>
      <c r="AX221" s="40"/>
      <c r="AY221" s="5"/>
      <c r="BA221" s="40"/>
      <c r="BB221" s="5"/>
      <c r="BD221" s="40"/>
      <c r="BE221" s="5"/>
      <c r="BG221" s="40"/>
      <c r="BH221" s="5"/>
      <c r="BJ221" s="40"/>
      <c r="BK221" s="5"/>
      <c r="BM221" s="40"/>
      <c r="BN221" s="5"/>
      <c r="BP221" s="40"/>
      <c r="BQ221" s="5"/>
      <c r="BS221" s="40"/>
      <c r="BT221" s="5"/>
      <c r="BV221" s="40"/>
      <c r="BW221" s="5"/>
      <c r="BY221" s="40"/>
      <c r="BZ221" s="5"/>
      <c r="CB221" s="40"/>
      <c r="CC221" s="5"/>
      <c r="CE221" s="40"/>
      <c r="CF221" s="5"/>
      <c r="CH221" s="40"/>
      <c r="CI221" s="5"/>
      <c r="CK221" s="40"/>
      <c r="CL221" s="5"/>
      <c r="CN221" s="40"/>
      <c r="CO221" s="5"/>
      <c r="CQ221" s="40"/>
      <c r="CR221" s="5"/>
    </row>
    <row r="222">
      <c r="AL222" s="40"/>
      <c r="AM222" s="5"/>
      <c r="AO222" s="40"/>
      <c r="AP222" s="5"/>
      <c r="AR222" s="40"/>
      <c r="AS222" s="5"/>
      <c r="AU222" s="40"/>
      <c r="AV222" s="5"/>
      <c r="AX222" s="40"/>
      <c r="AY222" s="5"/>
      <c r="BA222" s="40"/>
      <c r="BB222" s="5"/>
      <c r="BD222" s="40"/>
      <c r="BE222" s="5"/>
      <c r="BG222" s="40"/>
      <c r="BH222" s="5"/>
      <c r="BJ222" s="40"/>
      <c r="BK222" s="5"/>
      <c r="BM222" s="40"/>
      <c r="BN222" s="5"/>
      <c r="BP222" s="40"/>
      <c r="BQ222" s="5"/>
      <c r="BS222" s="40"/>
      <c r="BT222" s="5"/>
      <c r="BV222" s="40"/>
      <c r="BW222" s="5"/>
      <c r="BY222" s="40"/>
      <c r="BZ222" s="5"/>
      <c r="CB222" s="40"/>
      <c r="CC222" s="5"/>
      <c r="CE222" s="40"/>
      <c r="CF222" s="5"/>
      <c r="CH222" s="40"/>
      <c r="CI222" s="5"/>
      <c r="CK222" s="40"/>
      <c r="CL222" s="5"/>
      <c r="CN222" s="40"/>
      <c r="CO222" s="5"/>
      <c r="CQ222" s="40"/>
      <c r="CR222" s="5"/>
    </row>
    <row r="223">
      <c r="AL223" s="40"/>
      <c r="AM223" s="5"/>
      <c r="AO223" s="40"/>
      <c r="AP223" s="5"/>
      <c r="AR223" s="40"/>
      <c r="AS223" s="5"/>
      <c r="AU223" s="40"/>
      <c r="AV223" s="5"/>
      <c r="AX223" s="40"/>
      <c r="AY223" s="5"/>
      <c r="BA223" s="40"/>
      <c r="BB223" s="5"/>
      <c r="BD223" s="40"/>
      <c r="BE223" s="5"/>
      <c r="BG223" s="40"/>
      <c r="BH223" s="5"/>
      <c r="BJ223" s="40"/>
      <c r="BK223" s="5"/>
      <c r="BM223" s="40"/>
      <c r="BN223" s="5"/>
      <c r="BP223" s="40"/>
      <c r="BQ223" s="5"/>
      <c r="BS223" s="40"/>
      <c r="BT223" s="5"/>
      <c r="BV223" s="40"/>
      <c r="BW223" s="5"/>
      <c r="BY223" s="40"/>
      <c r="BZ223" s="5"/>
      <c r="CB223" s="40"/>
      <c r="CC223" s="5"/>
      <c r="CE223" s="40"/>
      <c r="CF223" s="5"/>
      <c r="CH223" s="40"/>
      <c r="CI223" s="5"/>
      <c r="CK223" s="40"/>
      <c r="CL223" s="5"/>
      <c r="CN223" s="40"/>
      <c r="CO223" s="5"/>
      <c r="CQ223" s="40"/>
      <c r="CR223" s="5"/>
    </row>
    <row r="224">
      <c r="AL224" s="40"/>
      <c r="AM224" s="5"/>
      <c r="AO224" s="40"/>
      <c r="AP224" s="5"/>
      <c r="AR224" s="40"/>
      <c r="AS224" s="5"/>
      <c r="AU224" s="40"/>
      <c r="AV224" s="5"/>
      <c r="AX224" s="40"/>
      <c r="AY224" s="5"/>
      <c r="BA224" s="40"/>
      <c r="BB224" s="5"/>
      <c r="BD224" s="40"/>
      <c r="BE224" s="5"/>
      <c r="BG224" s="40"/>
      <c r="BH224" s="5"/>
      <c r="BJ224" s="40"/>
      <c r="BK224" s="5"/>
      <c r="BM224" s="40"/>
      <c r="BN224" s="5"/>
      <c r="BP224" s="40"/>
      <c r="BQ224" s="5"/>
      <c r="BS224" s="40"/>
      <c r="BT224" s="5"/>
      <c r="BV224" s="40"/>
      <c r="BW224" s="5"/>
      <c r="BY224" s="40"/>
      <c r="BZ224" s="5"/>
      <c r="CB224" s="40"/>
      <c r="CC224" s="5"/>
      <c r="CE224" s="40"/>
      <c r="CF224" s="5"/>
      <c r="CH224" s="40"/>
      <c r="CI224" s="5"/>
      <c r="CK224" s="40"/>
      <c r="CL224" s="5"/>
      <c r="CN224" s="40"/>
      <c r="CO224" s="5"/>
      <c r="CQ224" s="40"/>
      <c r="CR224" s="5"/>
    </row>
    <row r="225">
      <c r="AL225" s="40"/>
      <c r="AM225" s="5"/>
      <c r="AO225" s="40"/>
      <c r="AP225" s="5"/>
      <c r="AR225" s="40"/>
      <c r="AS225" s="5"/>
      <c r="AU225" s="40"/>
      <c r="AV225" s="5"/>
      <c r="AX225" s="40"/>
      <c r="AY225" s="5"/>
      <c r="BA225" s="40"/>
      <c r="BB225" s="5"/>
      <c r="BD225" s="40"/>
      <c r="BE225" s="5"/>
      <c r="BG225" s="40"/>
      <c r="BH225" s="5"/>
      <c r="BJ225" s="40"/>
      <c r="BK225" s="5"/>
      <c r="BM225" s="40"/>
      <c r="BN225" s="5"/>
      <c r="BP225" s="40"/>
      <c r="BQ225" s="5"/>
      <c r="BS225" s="40"/>
      <c r="BT225" s="5"/>
      <c r="BV225" s="40"/>
      <c r="BW225" s="5"/>
      <c r="BY225" s="40"/>
      <c r="BZ225" s="5"/>
      <c r="CB225" s="40"/>
      <c r="CC225" s="5"/>
      <c r="CE225" s="40"/>
      <c r="CF225" s="5"/>
      <c r="CH225" s="40"/>
      <c r="CI225" s="5"/>
      <c r="CK225" s="40"/>
      <c r="CL225" s="5"/>
      <c r="CN225" s="40"/>
      <c r="CO225" s="5"/>
      <c r="CQ225" s="40"/>
      <c r="CR225" s="5"/>
    </row>
    <row r="226">
      <c r="AL226" s="40"/>
      <c r="AM226" s="5"/>
      <c r="AO226" s="40"/>
      <c r="AP226" s="5"/>
      <c r="AR226" s="40"/>
      <c r="AS226" s="5"/>
      <c r="AU226" s="40"/>
      <c r="AV226" s="5"/>
      <c r="AX226" s="40"/>
      <c r="AY226" s="5"/>
      <c r="BA226" s="40"/>
      <c r="BB226" s="5"/>
      <c r="BD226" s="40"/>
      <c r="BE226" s="5"/>
      <c r="BG226" s="40"/>
      <c r="BH226" s="5"/>
      <c r="BJ226" s="40"/>
      <c r="BK226" s="5"/>
      <c r="BM226" s="40"/>
      <c r="BN226" s="5"/>
      <c r="BP226" s="40"/>
      <c r="BQ226" s="5"/>
      <c r="BS226" s="40"/>
      <c r="BT226" s="5"/>
      <c r="BV226" s="40"/>
      <c r="BW226" s="5"/>
      <c r="BY226" s="40"/>
      <c r="BZ226" s="5"/>
      <c r="CB226" s="40"/>
      <c r="CC226" s="5"/>
      <c r="CE226" s="40"/>
      <c r="CF226" s="5"/>
      <c r="CH226" s="40"/>
      <c r="CI226" s="5"/>
      <c r="CK226" s="40"/>
      <c r="CL226" s="5"/>
      <c r="CN226" s="40"/>
      <c r="CO226" s="5"/>
      <c r="CQ226" s="40"/>
      <c r="CR226" s="5"/>
    </row>
    <row r="227">
      <c r="AL227" s="40"/>
      <c r="AM227" s="5"/>
      <c r="AO227" s="40"/>
      <c r="AP227" s="5"/>
      <c r="AR227" s="40"/>
      <c r="AS227" s="5"/>
      <c r="AU227" s="40"/>
      <c r="AV227" s="5"/>
      <c r="AX227" s="40"/>
      <c r="AY227" s="5"/>
      <c r="BA227" s="40"/>
      <c r="BB227" s="5"/>
      <c r="BD227" s="40"/>
      <c r="BE227" s="5"/>
      <c r="BG227" s="40"/>
      <c r="BH227" s="5"/>
      <c r="BJ227" s="40"/>
      <c r="BK227" s="5"/>
      <c r="BM227" s="40"/>
      <c r="BN227" s="5"/>
      <c r="BP227" s="40"/>
      <c r="BQ227" s="5"/>
      <c r="BS227" s="40"/>
      <c r="BT227" s="5"/>
      <c r="BV227" s="40"/>
      <c r="BW227" s="5"/>
      <c r="BY227" s="40"/>
      <c r="BZ227" s="5"/>
      <c r="CB227" s="40"/>
      <c r="CC227" s="5"/>
      <c r="CE227" s="40"/>
      <c r="CF227" s="5"/>
      <c r="CH227" s="40"/>
      <c r="CI227" s="5"/>
      <c r="CK227" s="40"/>
      <c r="CL227" s="5"/>
      <c r="CN227" s="40"/>
      <c r="CO227" s="5"/>
      <c r="CQ227" s="40"/>
      <c r="CR227" s="5"/>
    </row>
    <row r="228">
      <c r="AL228" s="40"/>
      <c r="AM228" s="5"/>
      <c r="AO228" s="40"/>
      <c r="AP228" s="5"/>
      <c r="AR228" s="40"/>
      <c r="AS228" s="5"/>
      <c r="AU228" s="40"/>
      <c r="AV228" s="5"/>
      <c r="AX228" s="40"/>
      <c r="AY228" s="5"/>
      <c r="BA228" s="40"/>
      <c r="BB228" s="5"/>
      <c r="BD228" s="40"/>
      <c r="BE228" s="5"/>
      <c r="BG228" s="40"/>
      <c r="BH228" s="5"/>
      <c r="BJ228" s="40"/>
      <c r="BK228" s="5"/>
      <c r="BM228" s="40"/>
      <c r="BN228" s="5"/>
      <c r="BP228" s="40"/>
      <c r="BQ228" s="5"/>
      <c r="BS228" s="40"/>
      <c r="BT228" s="5"/>
      <c r="BV228" s="40"/>
      <c r="BW228" s="5"/>
      <c r="BY228" s="40"/>
      <c r="BZ228" s="5"/>
      <c r="CB228" s="40"/>
      <c r="CC228" s="5"/>
      <c r="CE228" s="40"/>
      <c r="CF228" s="5"/>
      <c r="CH228" s="40"/>
      <c r="CI228" s="5"/>
      <c r="CK228" s="40"/>
      <c r="CL228" s="5"/>
      <c r="CN228" s="40"/>
      <c r="CO228" s="5"/>
      <c r="CQ228" s="40"/>
      <c r="CR228" s="5"/>
    </row>
    <row r="229">
      <c r="AL229" s="40"/>
      <c r="AM229" s="5"/>
      <c r="AO229" s="40"/>
      <c r="AP229" s="5"/>
      <c r="AR229" s="40"/>
      <c r="AS229" s="5"/>
      <c r="AU229" s="40"/>
      <c r="AV229" s="5"/>
      <c r="AX229" s="40"/>
      <c r="AY229" s="5"/>
      <c r="BA229" s="40"/>
      <c r="BB229" s="5"/>
      <c r="BD229" s="40"/>
      <c r="BE229" s="5"/>
      <c r="BG229" s="40"/>
      <c r="BH229" s="5"/>
      <c r="BJ229" s="40"/>
      <c r="BK229" s="5"/>
      <c r="BM229" s="40"/>
      <c r="BN229" s="5"/>
      <c r="BP229" s="40"/>
      <c r="BQ229" s="5"/>
      <c r="BS229" s="40"/>
      <c r="BT229" s="5"/>
      <c r="BV229" s="40"/>
      <c r="BW229" s="5"/>
      <c r="BY229" s="40"/>
      <c r="BZ229" s="5"/>
      <c r="CB229" s="40"/>
      <c r="CC229" s="5"/>
      <c r="CE229" s="40"/>
      <c r="CF229" s="5"/>
      <c r="CH229" s="40"/>
      <c r="CI229" s="5"/>
      <c r="CK229" s="40"/>
      <c r="CL229" s="5"/>
      <c r="CN229" s="40"/>
      <c r="CO229" s="5"/>
      <c r="CQ229" s="40"/>
      <c r="CR229" s="5"/>
    </row>
    <row r="230">
      <c r="AL230" s="40"/>
      <c r="AM230" s="5"/>
      <c r="AO230" s="40"/>
      <c r="AP230" s="5"/>
      <c r="AR230" s="40"/>
      <c r="AS230" s="5"/>
      <c r="AU230" s="40"/>
      <c r="AV230" s="5"/>
      <c r="AX230" s="40"/>
      <c r="AY230" s="5"/>
      <c r="BA230" s="40"/>
      <c r="BB230" s="5"/>
      <c r="BD230" s="40"/>
      <c r="BE230" s="5"/>
      <c r="BG230" s="40"/>
      <c r="BH230" s="5"/>
      <c r="BJ230" s="40"/>
      <c r="BK230" s="5"/>
      <c r="BM230" s="40"/>
      <c r="BN230" s="5"/>
      <c r="BP230" s="40"/>
      <c r="BQ230" s="5"/>
      <c r="BS230" s="40"/>
      <c r="BT230" s="5"/>
      <c r="BV230" s="40"/>
      <c r="BW230" s="5"/>
      <c r="BY230" s="40"/>
      <c r="BZ230" s="5"/>
      <c r="CB230" s="40"/>
      <c r="CC230" s="5"/>
      <c r="CE230" s="40"/>
      <c r="CF230" s="5"/>
      <c r="CH230" s="40"/>
      <c r="CI230" s="5"/>
      <c r="CK230" s="40"/>
      <c r="CL230" s="5"/>
      <c r="CN230" s="40"/>
      <c r="CO230" s="5"/>
      <c r="CQ230" s="40"/>
      <c r="CR230" s="5"/>
    </row>
    <row r="231">
      <c r="AL231" s="40"/>
      <c r="AM231" s="5"/>
      <c r="AO231" s="40"/>
      <c r="AP231" s="5"/>
      <c r="AR231" s="40"/>
      <c r="AS231" s="5"/>
      <c r="AU231" s="40"/>
      <c r="AV231" s="5"/>
      <c r="AX231" s="40"/>
      <c r="AY231" s="5"/>
      <c r="BA231" s="40"/>
      <c r="BB231" s="5"/>
      <c r="BD231" s="40"/>
      <c r="BE231" s="5"/>
      <c r="BG231" s="40"/>
      <c r="BH231" s="5"/>
      <c r="BJ231" s="40"/>
      <c r="BK231" s="5"/>
      <c r="BM231" s="40"/>
      <c r="BN231" s="5"/>
      <c r="BP231" s="40"/>
      <c r="BQ231" s="5"/>
      <c r="BS231" s="40"/>
      <c r="BT231" s="5"/>
      <c r="BV231" s="40"/>
      <c r="BW231" s="5"/>
      <c r="BY231" s="40"/>
      <c r="BZ231" s="5"/>
      <c r="CB231" s="40"/>
      <c r="CC231" s="5"/>
      <c r="CE231" s="40"/>
      <c r="CF231" s="5"/>
      <c r="CH231" s="40"/>
      <c r="CI231" s="5"/>
      <c r="CK231" s="40"/>
      <c r="CL231" s="5"/>
      <c r="CN231" s="40"/>
      <c r="CO231" s="5"/>
      <c r="CQ231" s="40"/>
      <c r="CR231" s="5"/>
    </row>
    <row r="232">
      <c r="AL232" s="40"/>
      <c r="AM232" s="5"/>
      <c r="AO232" s="40"/>
      <c r="AP232" s="5"/>
      <c r="AR232" s="40"/>
      <c r="AS232" s="5"/>
      <c r="AU232" s="40"/>
      <c r="AV232" s="5"/>
      <c r="AX232" s="40"/>
      <c r="AY232" s="5"/>
      <c r="BA232" s="40"/>
      <c r="BB232" s="5"/>
      <c r="BD232" s="40"/>
      <c r="BE232" s="5"/>
      <c r="BG232" s="40"/>
      <c r="BH232" s="5"/>
      <c r="BJ232" s="40"/>
      <c r="BK232" s="5"/>
      <c r="BM232" s="40"/>
      <c r="BN232" s="5"/>
      <c r="BP232" s="40"/>
      <c r="BQ232" s="5"/>
      <c r="BS232" s="40"/>
      <c r="BT232" s="5"/>
      <c r="BV232" s="40"/>
      <c r="BW232" s="5"/>
      <c r="BY232" s="40"/>
      <c r="BZ232" s="5"/>
      <c r="CB232" s="40"/>
      <c r="CC232" s="5"/>
      <c r="CE232" s="40"/>
      <c r="CF232" s="5"/>
      <c r="CH232" s="40"/>
      <c r="CI232" s="5"/>
      <c r="CK232" s="40"/>
      <c r="CL232" s="5"/>
      <c r="CN232" s="40"/>
      <c r="CO232" s="5"/>
      <c r="CQ232" s="40"/>
      <c r="CR232" s="5"/>
    </row>
    <row r="233">
      <c r="AL233" s="40"/>
      <c r="AM233" s="5"/>
      <c r="AO233" s="40"/>
      <c r="AP233" s="5"/>
      <c r="AR233" s="40"/>
      <c r="AS233" s="5"/>
      <c r="AU233" s="40"/>
      <c r="AV233" s="5"/>
      <c r="AX233" s="40"/>
      <c r="AY233" s="5"/>
      <c r="BA233" s="40"/>
      <c r="BB233" s="5"/>
      <c r="BD233" s="40"/>
      <c r="BE233" s="5"/>
      <c r="BG233" s="40"/>
      <c r="BH233" s="5"/>
      <c r="BJ233" s="40"/>
      <c r="BK233" s="5"/>
      <c r="BM233" s="40"/>
      <c r="BN233" s="5"/>
      <c r="BP233" s="40"/>
      <c r="BQ233" s="5"/>
      <c r="BS233" s="40"/>
      <c r="BT233" s="5"/>
      <c r="BV233" s="40"/>
      <c r="BW233" s="5"/>
      <c r="BY233" s="40"/>
      <c r="BZ233" s="5"/>
      <c r="CB233" s="40"/>
      <c r="CC233" s="5"/>
      <c r="CE233" s="40"/>
      <c r="CF233" s="5"/>
      <c r="CH233" s="40"/>
      <c r="CI233" s="5"/>
      <c r="CK233" s="40"/>
      <c r="CL233" s="5"/>
      <c r="CN233" s="40"/>
      <c r="CO233" s="5"/>
      <c r="CQ233" s="40"/>
      <c r="CR233" s="5"/>
    </row>
    <row r="234">
      <c r="AL234" s="40"/>
      <c r="AM234" s="5"/>
      <c r="AO234" s="40"/>
      <c r="AP234" s="5"/>
      <c r="AR234" s="40"/>
      <c r="AS234" s="5"/>
      <c r="AU234" s="40"/>
      <c r="AV234" s="5"/>
      <c r="AX234" s="40"/>
      <c r="AY234" s="5"/>
      <c r="BA234" s="40"/>
      <c r="BB234" s="5"/>
      <c r="BD234" s="40"/>
      <c r="BE234" s="5"/>
      <c r="BG234" s="40"/>
      <c r="BH234" s="5"/>
      <c r="BJ234" s="40"/>
      <c r="BK234" s="5"/>
      <c r="BM234" s="40"/>
      <c r="BN234" s="5"/>
      <c r="BP234" s="40"/>
      <c r="BQ234" s="5"/>
      <c r="BS234" s="40"/>
      <c r="BT234" s="5"/>
      <c r="BV234" s="40"/>
      <c r="BW234" s="5"/>
      <c r="BY234" s="40"/>
      <c r="BZ234" s="5"/>
      <c r="CB234" s="40"/>
      <c r="CC234" s="5"/>
      <c r="CE234" s="40"/>
      <c r="CF234" s="5"/>
      <c r="CH234" s="40"/>
      <c r="CI234" s="5"/>
      <c r="CK234" s="40"/>
      <c r="CL234" s="5"/>
      <c r="CN234" s="40"/>
      <c r="CO234" s="5"/>
      <c r="CQ234" s="40"/>
      <c r="CR234" s="5"/>
    </row>
    <row r="235">
      <c r="AL235" s="40"/>
      <c r="AM235" s="5"/>
      <c r="AO235" s="40"/>
      <c r="AP235" s="5"/>
      <c r="AR235" s="40"/>
      <c r="AS235" s="5"/>
      <c r="AU235" s="40"/>
      <c r="AV235" s="5"/>
      <c r="AX235" s="40"/>
      <c r="AY235" s="5"/>
      <c r="BA235" s="40"/>
      <c r="BB235" s="5"/>
      <c r="BD235" s="40"/>
      <c r="BE235" s="5"/>
      <c r="BG235" s="40"/>
      <c r="BH235" s="5"/>
      <c r="BJ235" s="40"/>
      <c r="BK235" s="5"/>
      <c r="BM235" s="40"/>
      <c r="BN235" s="5"/>
      <c r="BP235" s="40"/>
      <c r="BQ235" s="5"/>
      <c r="BS235" s="40"/>
      <c r="BT235" s="5"/>
      <c r="BV235" s="40"/>
      <c r="BW235" s="5"/>
      <c r="BY235" s="40"/>
      <c r="BZ235" s="5"/>
      <c r="CB235" s="40"/>
      <c r="CC235" s="5"/>
      <c r="CE235" s="40"/>
      <c r="CF235" s="5"/>
      <c r="CH235" s="40"/>
      <c r="CI235" s="5"/>
      <c r="CK235" s="40"/>
      <c r="CL235" s="5"/>
      <c r="CN235" s="40"/>
      <c r="CO235" s="5"/>
      <c r="CQ235" s="40"/>
      <c r="CR235" s="5"/>
    </row>
    <row r="236">
      <c r="AL236" s="40"/>
      <c r="AM236" s="5"/>
      <c r="AO236" s="40"/>
      <c r="AP236" s="5"/>
      <c r="AR236" s="40"/>
      <c r="AS236" s="5"/>
      <c r="AU236" s="40"/>
      <c r="AV236" s="5"/>
      <c r="AX236" s="40"/>
      <c r="AY236" s="5"/>
      <c r="BA236" s="40"/>
      <c r="BB236" s="5"/>
      <c r="BD236" s="40"/>
      <c r="BE236" s="5"/>
      <c r="BG236" s="40"/>
      <c r="BH236" s="5"/>
      <c r="BJ236" s="40"/>
      <c r="BK236" s="5"/>
      <c r="BM236" s="40"/>
      <c r="BN236" s="5"/>
      <c r="BP236" s="40"/>
      <c r="BQ236" s="5"/>
      <c r="BS236" s="40"/>
      <c r="BT236" s="5"/>
      <c r="BV236" s="40"/>
      <c r="BW236" s="5"/>
      <c r="BY236" s="40"/>
      <c r="BZ236" s="5"/>
      <c r="CB236" s="40"/>
      <c r="CC236" s="5"/>
      <c r="CE236" s="40"/>
      <c r="CF236" s="5"/>
      <c r="CH236" s="40"/>
      <c r="CI236" s="5"/>
      <c r="CK236" s="40"/>
      <c r="CL236" s="5"/>
      <c r="CN236" s="40"/>
      <c r="CO236" s="5"/>
      <c r="CQ236" s="40"/>
      <c r="CR236" s="5"/>
    </row>
    <row r="237">
      <c r="AL237" s="40"/>
      <c r="AM237" s="5"/>
      <c r="AO237" s="40"/>
      <c r="AP237" s="5"/>
      <c r="AR237" s="40"/>
      <c r="AS237" s="5"/>
      <c r="AU237" s="40"/>
      <c r="AV237" s="5"/>
      <c r="AX237" s="40"/>
      <c r="AY237" s="5"/>
      <c r="BA237" s="40"/>
      <c r="BB237" s="5"/>
      <c r="BD237" s="40"/>
      <c r="BE237" s="5"/>
      <c r="BG237" s="40"/>
      <c r="BH237" s="5"/>
      <c r="BJ237" s="40"/>
      <c r="BK237" s="5"/>
      <c r="BM237" s="40"/>
      <c r="BN237" s="5"/>
      <c r="BP237" s="40"/>
      <c r="BQ237" s="5"/>
      <c r="BS237" s="40"/>
      <c r="BT237" s="5"/>
      <c r="BV237" s="40"/>
      <c r="BW237" s="5"/>
      <c r="BY237" s="40"/>
      <c r="BZ237" s="5"/>
      <c r="CB237" s="40"/>
      <c r="CC237" s="5"/>
      <c r="CE237" s="40"/>
      <c r="CF237" s="5"/>
      <c r="CH237" s="40"/>
      <c r="CI237" s="5"/>
      <c r="CK237" s="40"/>
      <c r="CL237" s="5"/>
      <c r="CN237" s="40"/>
      <c r="CO237" s="5"/>
      <c r="CQ237" s="40"/>
      <c r="CR237" s="5"/>
    </row>
    <row r="238">
      <c r="AL238" s="40"/>
      <c r="AM238" s="5"/>
      <c r="AO238" s="40"/>
      <c r="AP238" s="5"/>
      <c r="AR238" s="40"/>
      <c r="AS238" s="5"/>
      <c r="AU238" s="40"/>
      <c r="AV238" s="5"/>
      <c r="AX238" s="40"/>
      <c r="AY238" s="5"/>
      <c r="BA238" s="40"/>
      <c r="BB238" s="5"/>
      <c r="BD238" s="40"/>
      <c r="BE238" s="5"/>
      <c r="BG238" s="40"/>
      <c r="BH238" s="5"/>
      <c r="BJ238" s="40"/>
      <c r="BK238" s="5"/>
      <c r="BM238" s="40"/>
      <c r="BN238" s="5"/>
      <c r="BP238" s="40"/>
      <c r="BQ238" s="5"/>
      <c r="BS238" s="40"/>
      <c r="BT238" s="5"/>
      <c r="BV238" s="40"/>
      <c r="BW238" s="5"/>
      <c r="BY238" s="40"/>
      <c r="BZ238" s="5"/>
      <c r="CB238" s="40"/>
      <c r="CC238" s="5"/>
      <c r="CE238" s="40"/>
      <c r="CF238" s="5"/>
      <c r="CH238" s="40"/>
      <c r="CI238" s="5"/>
      <c r="CK238" s="40"/>
      <c r="CL238" s="5"/>
      <c r="CN238" s="40"/>
      <c r="CO238" s="5"/>
      <c r="CQ238" s="40"/>
      <c r="CR238" s="5"/>
    </row>
    <row r="239">
      <c r="AL239" s="40"/>
      <c r="AM239" s="5"/>
      <c r="AO239" s="40"/>
      <c r="AP239" s="5"/>
      <c r="AR239" s="40"/>
      <c r="AS239" s="5"/>
      <c r="AU239" s="40"/>
      <c r="AV239" s="5"/>
      <c r="AX239" s="40"/>
      <c r="AY239" s="5"/>
      <c r="BA239" s="40"/>
      <c r="BB239" s="5"/>
      <c r="BD239" s="40"/>
      <c r="BE239" s="5"/>
      <c r="BG239" s="40"/>
      <c r="BH239" s="5"/>
      <c r="BJ239" s="40"/>
      <c r="BK239" s="5"/>
      <c r="BM239" s="40"/>
      <c r="BN239" s="5"/>
      <c r="BP239" s="40"/>
      <c r="BQ239" s="5"/>
      <c r="BS239" s="40"/>
      <c r="BT239" s="5"/>
      <c r="BV239" s="40"/>
      <c r="BW239" s="5"/>
      <c r="BY239" s="40"/>
      <c r="BZ239" s="5"/>
      <c r="CB239" s="40"/>
      <c r="CC239" s="5"/>
      <c r="CE239" s="40"/>
      <c r="CF239" s="5"/>
      <c r="CH239" s="40"/>
      <c r="CI239" s="5"/>
      <c r="CK239" s="40"/>
      <c r="CL239" s="5"/>
      <c r="CN239" s="40"/>
      <c r="CO239" s="5"/>
      <c r="CQ239" s="40"/>
      <c r="CR239" s="5"/>
    </row>
    <row r="240">
      <c r="AL240" s="40"/>
      <c r="AM240" s="5"/>
      <c r="AO240" s="40"/>
      <c r="AP240" s="5"/>
      <c r="AR240" s="40"/>
      <c r="AS240" s="5"/>
      <c r="AU240" s="40"/>
      <c r="AV240" s="5"/>
      <c r="AX240" s="40"/>
      <c r="AY240" s="5"/>
      <c r="BA240" s="40"/>
      <c r="BB240" s="5"/>
      <c r="BD240" s="40"/>
      <c r="BE240" s="5"/>
      <c r="BG240" s="40"/>
      <c r="BH240" s="5"/>
      <c r="BJ240" s="40"/>
      <c r="BK240" s="5"/>
      <c r="BM240" s="40"/>
      <c r="BN240" s="5"/>
      <c r="BP240" s="40"/>
      <c r="BQ240" s="5"/>
      <c r="BS240" s="40"/>
      <c r="BT240" s="5"/>
      <c r="BV240" s="40"/>
      <c r="BW240" s="5"/>
      <c r="BY240" s="40"/>
      <c r="BZ240" s="5"/>
      <c r="CB240" s="40"/>
      <c r="CC240" s="5"/>
      <c r="CE240" s="40"/>
      <c r="CF240" s="5"/>
      <c r="CH240" s="40"/>
      <c r="CI240" s="5"/>
      <c r="CK240" s="40"/>
      <c r="CL240" s="5"/>
      <c r="CN240" s="40"/>
      <c r="CO240" s="5"/>
      <c r="CQ240" s="40"/>
      <c r="CR240" s="5"/>
    </row>
    <row r="241">
      <c r="AL241" s="40"/>
      <c r="AM241" s="5"/>
      <c r="AO241" s="40"/>
      <c r="AP241" s="5"/>
      <c r="AR241" s="40"/>
      <c r="AS241" s="5"/>
      <c r="AU241" s="40"/>
      <c r="AV241" s="5"/>
      <c r="AX241" s="40"/>
      <c r="AY241" s="5"/>
      <c r="BA241" s="40"/>
      <c r="BB241" s="5"/>
      <c r="BD241" s="40"/>
      <c r="BE241" s="5"/>
      <c r="BG241" s="40"/>
      <c r="BH241" s="5"/>
      <c r="BJ241" s="40"/>
      <c r="BK241" s="5"/>
      <c r="BM241" s="40"/>
      <c r="BN241" s="5"/>
      <c r="BP241" s="40"/>
      <c r="BQ241" s="5"/>
      <c r="BS241" s="40"/>
      <c r="BT241" s="5"/>
      <c r="BV241" s="40"/>
      <c r="BW241" s="5"/>
      <c r="BY241" s="40"/>
      <c r="BZ241" s="5"/>
      <c r="CB241" s="40"/>
      <c r="CC241" s="5"/>
      <c r="CE241" s="40"/>
      <c r="CF241" s="5"/>
      <c r="CH241" s="40"/>
      <c r="CI241" s="5"/>
      <c r="CK241" s="40"/>
      <c r="CL241" s="5"/>
      <c r="CN241" s="40"/>
      <c r="CO241" s="5"/>
      <c r="CQ241" s="40"/>
      <c r="CR241" s="5"/>
    </row>
    <row r="242">
      <c r="AL242" s="40"/>
      <c r="AM242" s="5"/>
      <c r="AO242" s="40"/>
      <c r="AP242" s="5"/>
      <c r="AR242" s="40"/>
      <c r="AS242" s="5"/>
      <c r="AU242" s="40"/>
      <c r="AV242" s="5"/>
      <c r="AX242" s="40"/>
      <c r="AY242" s="5"/>
      <c r="BA242" s="40"/>
      <c r="BB242" s="5"/>
      <c r="BD242" s="40"/>
      <c r="BE242" s="5"/>
      <c r="BG242" s="40"/>
      <c r="BH242" s="5"/>
      <c r="BJ242" s="40"/>
      <c r="BK242" s="5"/>
      <c r="BM242" s="40"/>
      <c r="BN242" s="5"/>
      <c r="BP242" s="40"/>
      <c r="BQ242" s="5"/>
      <c r="BS242" s="40"/>
      <c r="BT242" s="5"/>
      <c r="BV242" s="40"/>
      <c r="BW242" s="5"/>
      <c r="BY242" s="40"/>
      <c r="BZ242" s="5"/>
      <c r="CB242" s="40"/>
      <c r="CC242" s="5"/>
      <c r="CE242" s="40"/>
      <c r="CF242" s="5"/>
      <c r="CH242" s="40"/>
      <c r="CI242" s="5"/>
      <c r="CK242" s="40"/>
      <c r="CL242" s="5"/>
      <c r="CN242" s="40"/>
      <c r="CO242" s="5"/>
      <c r="CQ242" s="40"/>
      <c r="CR242" s="5"/>
    </row>
    <row r="243">
      <c r="AL243" s="40"/>
      <c r="AM243" s="5"/>
      <c r="AO243" s="40"/>
      <c r="AP243" s="5"/>
      <c r="AR243" s="40"/>
      <c r="AS243" s="5"/>
      <c r="AU243" s="40"/>
      <c r="AV243" s="5"/>
      <c r="AX243" s="40"/>
      <c r="AY243" s="5"/>
      <c r="BA243" s="40"/>
      <c r="BB243" s="5"/>
      <c r="BD243" s="40"/>
      <c r="BE243" s="5"/>
      <c r="BG243" s="40"/>
      <c r="BH243" s="5"/>
      <c r="BJ243" s="40"/>
      <c r="BK243" s="5"/>
      <c r="BM243" s="40"/>
      <c r="BN243" s="5"/>
      <c r="BP243" s="40"/>
      <c r="BQ243" s="5"/>
      <c r="BS243" s="40"/>
      <c r="BT243" s="5"/>
      <c r="BV243" s="40"/>
      <c r="BW243" s="5"/>
      <c r="BY243" s="40"/>
      <c r="BZ243" s="5"/>
      <c r="CB243" s="40"/>
      <c r="CC243" s="5"/>
      <c r="CE243" s="40"/>
      <c r="CF243" s="5"/>
      <c r="CH243" s="40"/>
      <c r="CI243" s="5"/>
      <c r="CK243" s="40"/>
      <c r="CL243" s="5"/>
      <c r="CN243" s="40"/>
      <c r="CO243" s="5"/>
      <c r="CQ243" s="40"/>
      <c r="CR243" s="5"/>
    </row>
    <row r="244">
      <c r="AL244" s="40"/>
      <c r="AM244" s="5"/>
      <c r="AO244" s="40"/>
      <c r="AP244" s="5"/>
      <c r="AR244" s="40"/>
      <c r="AS244" s="5"/>
      <c r="AU244" s="40"/>
      <c r="AV244" s="5"/>
      <c r="AX244" s="40"/>
      <c r="AY244" s="5"/>
      <c r="BA244" s="40"/>
      <c r="BB244" s="5"/>
      <c r="BD244" s="40"/>
      <c r="BE244" s="5"/>
      <c r="BG244" s="40"/>
      <c r="BH244" s="5"/>
      <c r="BJ244" s="40"/>
      <c r="BK244" s="5"/>
      <c r="BM244" s="40"/>
      <c r="BN244" s="5"/>
      <c r="BP244" s="40"/>
      <c r="BQ244" s="5"/>
      <c r="BS244" s="40"/>
      <c r="BT244" s="5"/>
      <c r="BV244" s="40"/>
      <c r="BW244" s="5"/>
      <c r="BY244" s="40"/>
      <c r="BZ244" s="5"/>
      <c r="CB244" s="40"/>
      <c r="CC244" s="5"/>
      <c r="CE244" s="40"/>
      <c r="CF244" s="5"/>
      <c r="CH244" s="40"/>
      <c r="CI244" s="5"/>
      <c r="CK244" s="40"/>
      <c r="CL244" s="5"/>
      <c r="CN244" s="40"/>
      <c r="CO244" s="5"/>
      <c r="CQ244" s="40"/>
      <c r="CR244" s="5"/>
    </row>
    <row r="245">
      <c r="AL245" s="40"/>
      <c r="AM245" s="5"/>
      <c r="AO245" s="40"/>
      <c r="AP245" s="5"/>
      <c r="AR245" s="40"/>
      <c r="AS245" s="5"/>
      <c r="AU245" s="40"/>
      <c r="AV245" s="5"/>
      <c r="AX245" s="40"/>
      <c r="AY245" s="5"/>
      <c r="BA245" s="40"/>
      <c r="BB245" s="5"/>
      <c r="BD245" s="40"/>
      <c r="BE245" s="5"/>
      <c r="BG245" s="40"/>
      <c r="BH245" s="5"/>
      <c r="BJ245" s="40"/>
      <c r="BK245" s="5"/>
      <c r="BM245" s="40"/>
      <c r="BN245" s="5"/>
      <c r="BP245" s="40"/>
      <c r="BQ245" s="5"/>
      <c r="BS245" s="40"/>
      <c r="BT245" s="5"/>
      <c r="BV245" s="40"/>
      <c r="BW245" s="5"/>
      <c r="BY245" s="40"/>
      <c r="BZ245" s="5"/>
      <c r="CB245" s="40"/>
      <c r="CC245" s="5"/>
      <c r="CE245" s="40"/>
      <c r="CF245" s="5"/>
      <c r="CH245" s="40"/>
      <c r="CI245" s="5"/>
      <c r="CK245" s="40"/>
      <c r="CL245" s="5"/>
      <c r="CN245" s="40"/>
      <c r="CO245" s="5"/>
      <c r="CQ245" s="40"/>
      <c r="CR245" s="5"/>
    </row>
    <row r="246">
      <c r="AL246" s="40"/>
      <c r="AM246" s="5"/>
      <c r="AO246" s="40"/>
      <c r="AP246" s="5"/>
      <c r="AR246" s="40"/>
      <c r="AS246" s="5"/>
      <c r="AU246" s="40"/>
      <c r="AV246" s="5"/>
      <c r="AX246" s="40"/>
      <c r="AY246" s="5"/>
      <c r="BA246" s="40"/>
      <c r="BB246" s="5"/>
      <c r="BD246" s="40"/>
      <c r="BE246" s="5"/>
      <c r="BG246" s="40"/>
      <c r="BH246" s="5"/>
      <c r="BJ246" s="40"/>
      <c r="BK246" s="5"/>
      <c r="BM246" s="40"/>
      <c r="BN246" s="5"/>
      <c r="BP246" s="40"/>
      <c r="BQ246" s="5"/>
      <c r="BS246" s="40"/>
      <c r="BT246" s="5"/>
      <c r="BV246" s="40"/>
      <c r="BW246" s="5"/>
      <c r="BY246" s="40"/>
      <c r="BZ246" s="5"/>
      <c r="CB246" s="40"/>
      <c r="CC246" s="5"/>
      <c r="CE246" s="40"/>
      <c r="CF246" s="5"/>
      <c r="CH246" s="40"/>
      <c r="CI246" s="5"/>
      <c r="CK246" s="40"/>
      <c r="CL246" s="5"/>
      <c r="CN246" s="40"/>
      <c r="CO246" s="5"/>
      <c r="CQ246" s="40"/>
      <c r="CR246" s="5"/>
    </row>
    <row r="247">
      <c r="AL247" s="40"/>
      <c r="AM247" s="5"/>
      <c r="AO247" s="40"/>
      <c r="AP247" s="5"/>
      <c r="AR247" s="40"/>
      <c r="AS247" s="5"/>
      <c r="AU247" s="40"/>
      <c r="AV247" s="5"/>
      <c r="AX247" s="40"/>
      <c r="AY247" s="5"/>
      <c r="BA247" s="40"/>
      <c r="BB247" s="5"/>
      <c r="BD247" s="40"/>
      <c r="BE247" s="5"/>
      <c r="BG247" s="40"/>
      <c r="BH247" s="5"/>
      <c r="BJ247" s="40"/>
      <c r="BK247" s="5"/>
      <c r="BM247" s="40"/>
      <c r="BN247" s="5"/>
      <c r="BP247" s="40"/>
      <c r="BQ247" s="5"/>
      <c r="BS247" s="40"/>
      <c r="BT247" s="5"/>
      <c r="BV247" s="40"/>
      <c r="BW247" s="5"/>
      <c r="BY247" s="40"/>
      <c r="BZ247" s="5"/>
      <c r="CB247" s="40"/>
      <c r="CC247" s="5"/>
      <c r="CE247" s="40"/>
      <c r="CF247" s="5"/>
      <c r="CH247" s="40"/>
      <c r="CI247" s="5"/>
      <c r="CK247" s="40"/>
      <c r="CL247" s="5"/>
      <c r="CN247" s="40"/>
      <c r="CO247" s="5"/>
      <c r="CQ247" s="40"/>
      <c r="CR247" s="5"/>
    </row>
    <row r="248">
      <c r="AL248" s="40"/>
      <c r="AM248" s="5"/>
      <c r="AO248" s="40"/>
      <c r="AP248" s="5"/>
      <c r="AR248" s="40"/>
      <c r="AS248" s="5"/>
      <c r="AU248" s="40"/>
      <c r="AV248" s="5"/>
      <c r="AX248" s="40"/>
      <c r="AY248" s="5"/>
      <c r="BA248" s="40"/>
      <c r="BB248" s="5"/>
      <c r="BD248" s="40"/>
      <c r="BE248" s="5"/>
      <c r="BG248" s="40"/>
      <c r="BH248" s="5"/>
      <c r="BJ248" s="40"/>
      <c r="BK248" s="5"/>
      <c r="BM248" s="40"/>
      <c r="BN248" s="5"/>
      <c r="BP248" s="40"/>
      <c r="BQ248" s="5"/>
      <c r="BS248" s="40"/>
      <c r="BT248" s="5"/>
      <c r="BV248" s="40"/>
      <c r="BW248" s="5"/>
      <c r="BY248" s="40"/>
      <c r="BZ248" s="5"/>
      <c r="CB248" s="40"/>
      <c r="CC248" s="5"/>
      <c r="CE248" s="40"/>
      <c r="CF248" s="5"/>
      <c r="CH248" s="40"/>
      <c r="CI248" s="5"/>
      <c r="CK248" s="40"/>
      <c r="CL248" s="5"/>
      <c r="CN248" s="40"/>
      <c r="CO248" s="5"/>
      <c r="CQ248" s="40"/>
      <c r="CR248" s="5"/>
    </row>
    <row r="249">
      <c r="AL249" s="40"/>
      <c r="AM249" s="5"/>
      <c r="AO249" s="40"/>
      <c r="AP249" s="5"/>
      <c r="AR249" s="40"/>
      <c r="AS249" s="5"/>
      <c r="AU249" s="40"/>
      <c r="AV249" s="5"/>
      <c r="AX249" s="40"/>
      <c r="AY249" s="5"/>
      <c r="BA249" s="40"/>
      <c r="BB249" s="5"/>
      <c r="BD249" s="40"/>
      <c r="BE249" s="5"/>
      <c r="BG249" s="40"/>
      <c r="BH249" s="5"/>
      <c r="BJ249" s="40"/>
      <c r="BK249" s="5"/>
      <c r="BM249" s="40"/>
      <c r="BN249" s="5"/>
      <c r="BP249" s="40"/>
      <c r="BQ249" s="5"/>
      <c r="BS249" s="40"/>
      <c r="BT249" s="5"/>
      <c r="BV249" s="40"/>
      <c r="BW249" s="5"/>
      <c r="BY249" s="40"/>
      <c r="BZ249" s="5"/>
      <c r="CB249" s="40"/>
      <c r="CC249" s="5"/>
      <c r="CE249" s="40"/>
      <c r="CF249" s="5"/>
      <c r="CH249" s="40"/>
      <c r="CI249" s="5"/>
      <c r="CK249" s="40"/>
      <c r="CL249" s="5"/>
      <c r="CN249" s="40"/>
      <c r="CO249" s="5"/>
      <c r="CQ249" s="40"/>
      <c r="CR249" s="5"/>
    </row>
    <row r="250">
      <c r="AL250" s="40"/>
      <c r="AM250" s="5"/>
      <c r="AO250" s="40"/>
      <c r="AP250" s="5"/>
      <c r="AR250" s="40"/>
      <c r="AS250" s="5"/>
      <c r="AU250" s="40"/>
      <c r="AV250" s="5"/>
      <c r="AX250" s="40"/>
      <c r="AY250" s="5"/>
      <c r="BA250" s="40"/>
      <c r="BB250" s="5"/>
      <c r="BD250" s="40"/>
      <c r="BE250" s="5"/>
      <c r="BG250" s="40"/>
      <c r="BH250" s="5"/>
      <c r="BJ250" s="40"/>
      <c r="BK250" s="5"/>
      <c r="BM250" s="40"/>
      <c r="BN250" s="5"/>
      <c r="BP250" s="40"/>
      <c r="BQ250" s="5"/>
      <c r="BS250" s="40"/>
      <c r="BT250" s="5"/>
      <c r="BV250" s="40"/>
      <c r="BW250" s="5"/>
      <c r="BY250" s="40"/>
      <c r="BZ250" s="5"/>
      <c r="CB250" s="40"/>
      <c r="CC250" s="5"/>
      <c r="CE250" s="40"/>
      <c r="CF250" s="5"/>
      <c r="CH250" s="40"/>
      <c r="CI250" s="5"/>
      <c r="CK250" s="40"/>
      <c r="CL250" s="5"/>
      <c r="CN250" s="40"/>
      <c r="CO250" s="5"/>
      <c r="CQ250" s="40"/>
      <c r="CR250" s="5"/>
    </row>
    <row r="251">
      <c r="AL251" s="40"/>
      <c r="AM251" s="5"/>
      <c r="AO251" s="40"/>
      <c r="AP251" s="5"/>
      <c r="AR251" s="40"/>
      <c r="AS251" s="5"/>
      <c r="AU251" s="40"/>
      <c r="AV251" s="5"/>
      <c r="AX251" s="40"/>
      <c r="AY251" s="5"/>
      <c r="BA251" s="40"/>
      <c r="BB251" s="5"/>
      <c r="BD251" s="40"/>
      <c r="BE251" s="5"/>
      <c r="BG251" s="40"/>
      <c r="BH251" s="5"/>
      <c r="BJ251" s="40"/>
      <c r="BK251" s="5"/>
      <c r="BM251" s="40"/>
      <c r="BN251" s="5"/>
      <c r="BP251" s="40"/>
      <c r="BQ251" s="5"/>
      <c r="BS251" s="40"/>
      <c r="BT251" s="5"/>
      <c r="BV251" s="40"/>
      <c r="BW251" s="5"/>
      <c r="BY251" s="40"/>
      <c r="BZ251" s="5"/>
      <c r="CB251" s="40"/>
      <c r="CC251" s="5"/>
      <c r="CE251" s="40"/>
      <c r="CF251" s="5"/>
      <c r="CH251" s="40"/>
      <c r="CI251" s="5"/>
      <c r="CK251" s="40"/>
      <c r="CL251" s="5"/>
      <c r="CN251" s="40"/>
      <c r="CO251" s="5"/>
      <c r="CQ251" s="40"/>
      <c r="CR251" s="5"/>
    </row>
    <row r="252">
      <c r="AL252" s="40"/>
      <c r="AM252" s="5"/>
      <c r="AO252" s="40"/>
      <c r="AP252" s="5"/>
      <c r="AR252" s="40"/>
      <c r="AS252" s="5"/>
      <c r="AU252" s="40"/>
      <c r="AV252" s="5"/>
      <c r="AX252" s="40"/>
      <c r="AY252" s="5"/>
      <c r="BA252" s="40"/>
      <c r="BB252" s="5"/>
      <c r="BD252" s="40"/>
      <c r="BE252" s="5"/>
      <c r="BG252" s="40"/>
      <c r="BH252" s="5"/>
      <c r="BJ252" s="40"/>
      <c r="BK252" s="5"/>
      <c r="BM252" s="40"/>
      <c r="BN252" s="5"/>
      <c r="BP252" s="40"/>
      <c r="BQ252" s="5"/>
      <c r="BS252" s="40"/>
      <c r="BT252" s="5"/>
      <c r="BV252" s="40"/>
      <c r="BW252" s="5"/>
      <c r="BY252" s="40"/>
      <c r="BZ252" s="5"/>
      <c r="CB252" s="40"/>
      <c r="CC252" s="5"/>
      <c r="CE252" s="40"/>
      <c r="CF252" s="5"/>
      <c r="CH252" s="40"/>
      <c r="CI252" s="5"/>
      <c r="CK252" s="40"/>
      <c r="CL252" s="5"/>
      <c r="CN252" s="40"/>
      <c r="CO252" s="5"/>
      <c r="CQ252" s="40"/>
      <c r="CR252" s="5"/>
    </row>
    <row r="253">
      <c r="AL253" s="40"/>
      <c r="AM253" s="5"/>
      <c r="AO253" s="40"/>
      <c r="AP253" s="5"/>
      <c r="AR253" s="40"/>
      <c r="AS253" s="5"/>
      <c r="AU253" s="40"/>
      <c r="AV253" s="5"/>
      <c r="AX253" s="40"/>
      <c r="AY253" s="5"/>
      <c r="BA253" s="40"/>
      <c r="BB253" s="5"/>
      <c r="BD253" s="40"/>
      <c r="BE253" s="5"/>
      <c r="BG253" s="40"/>
      <c r="BH253" s="5"/>
      <c r="BJ253" s="40"/>
      <c r="BK253" s="5"/>
      <c r="BM253" s="40"/>
      <c r="BN253" s="5"/>
      <c r="BP253" s="40"/>
      <c r="BQ253" s="5"/>
      <c r="BS253" s="40"/>
      <c r="BT253" s="5"/>
      <c r="BV253" s="40"/>
      <c r="BW253" s="5"/>
      <c r="BY253" s="40"/>
      <c r="BZ253" s="5"/>
      <c r="CB253" s="40"/>
      <c r="CC253" s="5"/>
      <c r="CE253" s="40"/>
      <c r="CF253" s="5"/>
      <c r="CH253" s="40"/>
      <c r="CI253" s="5"/>
      <c r="CK253" s="40"/>
      <c r="CL253" s="5"/>
      <c r="CN253" s="40"/>
      <c r="CO253" s="5"/>
      <c r="CQ253" s="40"/>
      <c r="CR253" s="5"/>
    </row>
    <row r="254">
      <c r="AL254" s="40"/>
      <c r="AM254" s="5"/>
      <c r="AO254" s="40"/>
      <c r="AP254" s="5"/>
      <c r="AR254" s="40"/>
      <c r="AS254" s="5"/>
      <c r="AU254" s="40"/>
      <c r="AV254" s="5"/>
      <c r="AX254" s="40"/>
      <c r="AY254" s="5"/>
      <c r="BA254" s="40"/>
      <c r="BB254" s="5"/>
      <c r="BD254" s="40"/>
      <c r="BE254" s="5"/>
      <c r="BG254" s="40"/>
      <c r="BH254" s="5"/>
      <c r="BJ254" s="40"/>
      <c r="BK254" s="5"/>
      <c r="BM254" s="40"/>
      <c r="BN254" s="5"/>
      <c r="BP254" s="40"/>
      <c r="BQ254" s="5"/>
      <c r="BS254" s="40"/>
      <c r="BT254" s="5"/>
      <c r="BV254" s="40"/>
      <c r="BW254" s="5"/>
      <c r="BY254" s="40"/>
      <c r="BZ254" s="5"/>
      <c r="CB254" s="40"/>
      <c r="CC254" s="5"/>
      <c r="CE254" s="40"/>
      <c r="CF254" s="5"/>
      <c r="CH254" s="40"/>
      <c r="CI254" s="5"/>
      <c r="CK254" s="40"/>
      <c r="CL254" s="5"/>
      <c r="CN254" s="40"/>
      <c r="CO254" s="5"/>
      <c r="CQ254" s="40"/>
      <c r="CR254" s="5"/>
    </row>
    <row r="255">
      <c r="AL255" s="40"/>
      <c r="AM255" s="5"/>
      <c r="AO255" s="40"/>
      <c r="AP255" s="5"/>
      <c r="AR255" s="40"/>
      <c r="AS255" s="5"/>
      <c r="AU255" s="40"/>
      <c r="AV255" s="5"/>
      <c r="AX255" s="40"/>
      <c r="AY255" s="5"/>
      <c r="BA255" s="40"/>
      <c r="BB255" s="5"/>
      <c r="BD255" s="40"/>
      <c r="BE255" s="5"/>
      <c r="BG255" s="40"/>
      <c r="BH255" s="5"/>
      <c r="BJ255" s="40"/>
      <c r="BK255" s="5"/>
      <c r="BM255" s="40"/>
      <c r="BN255" s="5"/>
      <c r="BP255" s="40"/>
      <c r="BQ255" s="5"/>
      <c r="BS255" s="40"/>
      <c r="BT255" s="5"/>
      <c r="BV255" s="40"/>
      <c r="BW255" s="5"/>
      <c r="BY255" s="40"/>
      <c r="BZ255" s="5"/>
      <c r="CB255" s="40"/>
      <c r="CC255" s="5"/>
      <c r="CE255" s="40"/>
      <c r="CF255" s="5"/>
      <c r="CH255" s="40"/>
      <c r="CI255" s="5"/>
      <c r="CK255" s="40"/>
      <c r="CL255" s="5"/>
      <c r="CN255" s="40"/>
      <c r="CO255" s="5"/>
      <c r="CQ255" s="40"/>
      <c r="CR255" s="5"/>
    </row>
    <row r="256">
      <c r="AL256" s="40"/>
      <c r="AM256" s="5"/>
      <c r="AO256" s="40"/>
      <c r="AP256" s="5"/>
      <c r="AR256" s="40"/>
      <c r="AS256" s="5"/>
      <c r="AU256" s="40"/>
      <c r="AV256" s="5"/>
      <c r="AX256" s="40"/>
      <c r="AY256" s="5"/>
      <c r="BA256" s="40"/>
      <c r="BB256" s="5"/>
      <c r="BD256" s="40"/>
      <c r="BE256" s="5"/>
      <c r="BG256" s="40"/>
      <c r="BH256" s="5"/>
      <c r="BJ256" s="40"/>
      <c r="BK256" s="5"/>
      <c r="BM256" s="40"/>
      <c r="BN256" s="5"/>
      <c r="BP256" s="40"/>
      <c r="BQ256" s="5"/>
      <c r="BS256" s="40"/>
      <c r="BT256" s="5"/>
      <c r="BV256" s="40"/>
      <c r="BW256" s="5"/>
      <c r="BY256" s="40"/>
      <c r="BZ256" s="5"/>
      <c r="CB256" s="40"/>
      <c r="CC256" s="5"/>
      <c r="CE256" s="40"/>
      <c r="CF256" s="5"/>
      <c r="CH256" s="40"/>
      <c r="CI256" s="5"/>
      <c r="CK256" s="40"/>
      <c r="CL256" s="5"/>
      <c r="CN256" s="40"/>
      <c r="CO256" s="5"/>
      <c r="CQ256" s="40"/>
      <c r="CR256" s="5"/>
    </row>
    <row r="257">
      <c r="AL257" s="40"/>
      <c r="AM257" s="5"/>
      <c r="AO257" s="40"/>
      <c r="AP257" s="5"/>
      <c r="AR257" s="40"/>
      <c r="AS257" s="5"/>
      <c r="AU257" s="40"/>
      <c r="AV257" s="5"/>
      <c r="AX257" s="40"/>
      <c r="AY257" s="5"/>
      <c r="BA257" s="40"/>
      <c r="BB257" s="5"/>
      <c r="BD257" s="40"/>
      <c r="BE257" s="5"/>
      <c r="BG257" s="40"/>
      <c r="BH257" s="5"/>
      <c r="BJ257" s="40"/>
      <c r="BK257" s="5"/>
      <c r="BM257" s="40"/>
      <c r="BN257" s="5"/>
      <c r="BP257" s="40"/>
      <c r="BQ257" s="5"/>
      <c r="BS257" s="40"/>
      <c r="BT257" s="5"/>
      <c r="BV257" s="40"/>
      <c r="BW257" s="5"/>
      <c r="BY257" s="40"/>
      <c r="BZ257" s="5"/>
      <c r="CB257" s="40"/>
      <c r="CC257" s="5"/>
      <c r="CE257" s="40"/>
      <c r="CF257" s="5"/>
      <c r="CH257" s="40"/>
      <c r="CI257" s="5"/>
      <c r="CK257" s="40"/>
      <c r="CL257" s="5"/>
      <c r="CN257" s="40"/>
      <c r="CO257" s="5"/>
      <c r="CQ257" s="40"/>
      <c r="CR257" s="5"/>
    </row>
    <row r="258">
      <c r="AL258" s="40"/>
      <c r="AM258" s="5"/>
      <c r="AO258" s="40"/>
      <c r="AP258" s="5"/>
      <c r="AR258" s="40"/>
      <c r="AS258" s="5"/>
      <c r="AU258" s="40"/>
      <c r="AV258" s="5"/>
      <c r="AX258" s="40"/>
      <c r="AY258" s="5"/>
      <c r="BA258" s="40"/>
      <c r="BB258" s="5"/>
      <c r="BD258" s="40"/>
      <c r="BE258" s="5"/>
      <c r="BG258" s="40"/>
      <c r="BH258" s="5"/>
      <c r="BJ258" s="40"/>
      <c r="BK258" s="5"/>
      <c r="BM258" s="40"/>
      <c r="BN258" s="5"/>
      <c r="BP258" s="40"/>
      <c r="BQ258" s="5"/>
      <c r="BS258" s="40"/>
      <c r="BT258" s="5"/>
      <c r="BV258" s="40"/>
      <c r="BW258" s="5"/>
      <c r="BY258" s="40"/>
      <c r="BZ258" s="5"/>
      <c r="CB258" s="40"/>
      <c r="CC258" s="5"/>
      <c r="CE258" s="40"/>
      <c r="CF258" s="5"/>
      <c r="CH258" s="40"/>
      <c r="CI258" s="5"/>
      <c r="CK258" s="40"/>
      <c r="CL258" s="5"/>
      <c r="CN258" s="40"/>
      <c r="CO258" s="5"/>
      <c r="CQ258" s="40"/>
      <c r="CR258" s="5"/>
    </row>
    <row r="259">
      <c r="AL259" s="40"/>
      <c r="AM259" s="5"/>
      <c r="AO259" s="40"/>
      <c r="AP259" s="5"/>
      <c r="AR259" s="40"/>
      <c r="AS259" s="5"/>
      <c r="AU259" s="40"/>
      <c r="AV259" s="5"/>
      <c r="AX259" s="40"/>
      <c r="AY259" s="5"/>
      <c r="BA259" s="40"/>
      <c r="BB259" s="5"/>
      <c r="BD259" s="40"/>
      <c r="BE259" s="5"/>
      <c r="BG259" s="40"/>
      <c r="BH259" s="5"/>
      <c r="BJ259" s="40"/>
      <c r="BK259" s="5"/>
      <c r="BM259" s="40"/>
      <c r="BN259" s="5"/>
      <c r="BP259" s="40"/>
      <c r="BQ259" s="5"/>
      <c r="BS259" s="40"/>
      <c r="BT259" s="5"/>
      <c r="BV259" s="40"/>
      <c r="BW259" s="5"/>
      <c r="BY259" s="40"/>
      <c r="BZ259" s="5"/>
      <c r="CB259" s="40"/>
      <c r="CC259" s="5"/>
      <c r="CE259" s="40"/>
      <c r="CF259" s="5"/>
      <c r="CH259" s="40"/>
      <c r="CI259" s="5"/>
      <c r="CK259" s="40"/>
      <c r="CL259" s="5"/>
      <c r="CN259" s="40"/>
      <c r="CO259" s="5"/>
      <c r="CQ259" s="40"/>
      <c r="CR259" s="5"/>
    </row>
    <row r="260">
      <c r="AL260" s="40"/>
      <c r="AM260" s="5"/>
      <c r="AO260" s="40"/>
      <c r="AP260" s="5"/>
      <c r="AR260" s="40"/>
      <c r="AS260" s="5"/>
      <c r="AU260" s="40"/>
      <c r="AV260" s="5"/>
      <c r="AX260" s="40"/>
      <c r="AY260" s="5"/>
      <c r="BA260" s="40"/>
      <c r="BB260" s="5"/>
      <c r="BD260" s="40"/>
      <c r="BE260" s="5"/>
      <c r="BG260" s="40"/>
      <c r="BH260" s="5"/>
      <c r="BJ260" s="40"/>
      <c r="BK260" s="5"/>
      <c r="BM260" s="40"/>
      <c r="BN260" s="5"/>
      <c r="BP260" s="40"/>
      <c r="BQ260" s="5"/>
      <c r="BS260" s="40"/>
      <c r="BT260" s="5"/>
      <c r="BV260" s="40"/>
      <c r="BW260" s="5"/>
      <c r="BY260" s="40"/>
      <c r="BZ260" s="5"/>
      <c r="CB260" s="40"/>
      <c r="CC260" s="5"/>
      <c r="CE260" s="40"/>
      <c r="CF260" s="5"/>
      <c r="CH260" s="40"/>
      <c r="CI260" s="5"/>
      <c r="CK260" s="40"/>
      <c r="CL260" s="5"/>
      <c r="CN260" s="40"/>
      <c r="CO260" s="5"/>
      <c r="CQ260" s="40"/>
      <c r="CR260" s="5"/>
    </row>
    <row r="261">
      <c r="AL261" s="40"/>
      <c r="AM261" s="5"/>
      <c r="AO261" s="40"/>
      <c r="AP261" s="5"/>
      <c r="AR261" s="40"/>
      <c r="AS261" s="5"/>
      <c r="AU261" s="40"/>
      <c r="AV261" s="5"/>
      <c r="AX261" s="40"/>
      <c r="AY261" s="5"/>
      <c r="BA261" s="40"/>
      <c r="BB261" s="5"/>
      <c r="BD261" s="40"/>
      <c r="BE261" s="5"/>
      <c r="BG261" s="40"/>
      <c r="BH261" s="5"/>
      <c r="BJ261" s="40"/>
      <c r="BK261" s="5"/>
      <c r="BM261" s="40"/>
      <c r="BN261" s="5"/>
      <c r="BP261" s="40"/>
      <c r="BQ261" s="5"/>
      <c r="BS261" s="40"/>
      <c r="BT261" s="5"/>
      <c r="BV261" s="40"/>
      <c r="BW261" s="5"/>
      <c r="BY261" s="40"/>
      <c r="BZ261" s="5"/>
      <c r="CB261" s="40"/>
      <c r="CC261" s="5"/>
      <c r="CE261" s="40"/>
      <c r="CF261" s="5"/>
      <c r="CH261" s="40"/>
      <c r="CI261" s="5"/>
      <c r="CK261" s="40"/>
      <c r="CL261" s="5"/>
      <c r="CN261" s="40"/>
      <c r="CO261" s="5"/>
      <c r="CQ261" s="40"/>
      <c r="CR261" s="5"/>
    </row>
    <row r="262">
      <c r="AL262" s="40"/>
      <c r="AM262" s="5"/>
      <c r="AO262" s="40"/>
      <c r="AP262" s="5"/>
      <c r="AR262" s="40"/>
      <c r="AS262" s="5"/>
      <c r="AU262" s="40"/>
      <c r="AV262" s="5"/>
      <c r="AX262" s="40"/>
      <c r="AY262" s="5"/>
      <c r="BA262" s="40"/>
      <c r="BB262" s="5"/>
      <c r="BD262" s="40"/>
      <c r="BE262" s="5"/>
      <c r="BG262" s="40"/>
      <c r="BH262" s="5"/>
      <c r="BJ262" s="40"/>
      <c r="BK262" s="5"/>
      <c r="BM262" s="40"/>
      <c r="BN262" s="5"/>
      <c r="BP262" s="40"/>
      <c r="BQ262" s="5"/>
      <c r="BS262" s="40"/>
      <c r="BT262" s="5"/>
      <c r="BV262" s="40"/>
      <c r="BW262" s="5"/>
      <c r="BY262" s="40"/>
      <c r="BZ262" s="5"/>
      <c r="CB262" s="40"/>
      <c r="CC262" s="5"/>
      <c r="CE262" s="40"/>
      <c r="CF262" s="5"/>
      <c r="CH262" s="40"/>
      <c r="CI262" s="5"/>
      <c r="CK262" s="40"/>
      <c r="CL262" s="5"/>
      <c r="CN262" s="40"/>
      <c r="CO262" s="5"/>
      <c r="CQ262" s="40"/>
      <c r="CR262" s="5"/>
    </row>
    <row r="263">
      <c r="AL263" s="40"/>
      <c r="AM263" s="5"/>
      <c r="AO263" s="40"/>
      <c r="AP263" s="5"/>
      <c r="AR263" s="40"/>
      <c r="AS263" s="5"/>
      <c r="AU263" s="40"/>
      <c r="AV263" s="5"/>
      <c r="AX263" s="40"/>
      <c r="AY263" s="5"/>
      <c r="BA263" s="40"/>
      <c r="BB263" s="5"/>
      <c r="BD263" s="40"/>
      <c r="BE263" s="5"/>
      <c r="BG263" s="40"/>
      <c r="BH263" s="5"/>
      <c r="BJ263" s="40"/>
      <c r="BK263" s="5"/>
      <c r="BM263" s="40"/>
      <c r="BN263" s="5"/>
      <c r="BP263" s="40"/>
      <c r="BQ263" s="5"/>
      <c r="BS263" s="40"/>
      <c r="BT263" s="5"/>
      <c r="BV263" s="40"/>
      <c r="BW263" s="5"/>
      <c r="BY263" s="40"/>
      <c r="BZ263" s="5"/>
      <c r="CB263" s="40"/>
      <c r="CC263" s="5"/>
      <c r="CE263" s="40"/>
      <c r="CF263" s="5"/>
      <c r="CH263" s="40"/>
      <c r="CI263" s="5"/>
      <c r="CK263" s="40"/>
      <c r="CL263" s="5"/>
      <c r="CN263" s="40"/>
      <c r="CO263" s="5"/>
      <c r="CQ263" s="40"/>
      <c r="CR263" s="5"/>
    </row>
    <row r="264">
      <c r="AL264" s="40"/>
      <c r="AM264" s="5"/>
      <c r="AO264" s="40"/>
      <c r="AP264" s="5"/>
      <c r="AR264" s="40"/>
      <c r="AS264" s="5"/>
      <c r="AU264" s="40"/>
      <c r="AV264" s="5"/>
      <c r="AX264" s="40"/>
      <c r="AY264" s="5"/>
      <c r="BA264" s="40"/>
      <c r="BB264" s="5"/>
      <c r="BD264" s="40"/>
      <c r="BE264" s="5"/>
      <c r="BG264" s="40"/>
      <c r="BH264" s="5"/>
      <c r="BJ264" s="40"/>
      <c r="BK264" s="5"/>
      <c r="BM264" s="40"/>
      <c r="BN264" s="5"/>
      <c r="BP264" s="40"/>
      <c r="BQ264" s="5"/>
      <c r="BS264" s="40"/>
      <c r="BT264" s="5"/>
      <c r="BV264" s="40"/>
      <c r="BW264" s="5"/>
      <c r="BY264" s="40"/>
      <c r="BZ264" s="5"/>
      <c r="CB264" s="40"/>
      <c r="CC264" s="5"/>
      <c r="CE264" s="40"/>
      <c r="CF264" s="5"/>
      <c r="CH264" s="40"/>
      <c r="CI264" s="5"/>
      <c r="CK264" s="40"/>
      <c r="CL264" s="5"/>
      <c r="CN264" s="40"/>
      <c r="CO264" s="5"/>
      <c r="CQ264" s="40"/>
      <c r="CR264" s="5"/>
    </row>
    <row r="265">
      <c r="AL265" s="40"/>
      <c r="AM265" s="5"/>
      <c r="AO265" s="40"/>
      <c r="AP265" s="5"/>
      <c r="AR265" s="40"/>
      <c r="AS265" s="5"/>
      <c r="AU265" s="40"/>
      <c r="AV265" s="5"/>
      <c r="AX265" s="40"/>
      <c r="AY265" s="5"/>
      <c r="BA265" s="40"/>
      <c r="BB265" s="5"/>
      <c r="BD265" s="40"/>
      <c r="BE265" s="5"/>
      <c r="BG265" s="40"/>
      <c r="BH265" s="5"/>
      <c r="BJ265" s="40"/>
      <c r="BK265" s="5"/>
      <c r="BM265" s="40"/>
      <c r="BN265" s="5"/>
      <c r="BP265" s="40"/>
      <c r="BQ265" s="5"/>
      <c r="BS265" s="40"/>
      <c r="BT265" s="5"/>
      <c r="BV265" s="40"/>
      <c r="BW265" s="5"/>
      <c r="BY265" s="40"/>
      <c r="BZ265" s="5"/>
      <c r="CB265" s="40"/>
      <c r="CC265" s="5"/>
      <c r="CE265" s="40"/>
      <c r="CF265" s="5"/>
      <c r="CH265" s="40"/>
      <c r="CI265" s="5"/>
      <c r="CK265" s="40"/>
      <c r="CL265" s="5"/>
      <c r="CN265" s="40"/>
      <c r="CO265" s="5"/>
      <c r="CQ265" s="40"/>
      <c r="CR265" s="5"/>
    </row>
    <row r="266">
      <c r="AL266" s="40"/>
      <c r="AM266" s="5"/>
      <c r="AO266" s="40"/>
      <c r="AP266" s="5"/>
      <c r="AR266" s="40"/>
      <c r="AS266" s="5"/>
      <c r="AU266" s="40"/>
      <c r="AV266" s="5"/>
      <c r="AX266" s="40"/>
      <c r="AY266" s="5"/>
      <c r="BA266" s="40"/>
      <c r="BB266" s="5"/>
      <c r="BD266" s="40"/>
      <c r="BE266" s="5"/>
      <c r="BG266" s="40"/>
      <c r="BH266" s="5"/>
      <c r="BJ266" s="40"/>
      <c r="BK266" s="5"/>
      <c r="BM266" s="40"/>
      <c r="BN266" s="5"/>
      <c r="BP266" s="40"/>
      <c r="BQ266" s="5"/>
      <c r="BS266" s="40"/>
      <c r="BT266" s="5"/>
      <c r="BV266" s="40"/>
      <c r="BW266" s="5"/>
      <c r="BY266" s="40"/>
      <c r="BZ266" s="5"/>
      <c r="CB266" s="40"/>
      <c r="CC266" s="5"/>
      <c r="CE266" s="40"/>
      <c r="CF266" s="5"/>
      <c r="CH266" s="40"/>
      <c r="CI266" s="5"/>
      <c r="CK266" s="40"/>
      <c r="CL266" s="5"/>
      <c r="CN266" s="40"/>
      <c r="CO266" s="5"/>
      <c r="CQ266" s="40"/>
      <c r="CR266" s="5"/>
    </row>
    <row r="267">
      <c r="AL267" s="40"/>
      <c r="AM267" s="5"/>
      <c r="AO267" s="40"/>
      <c r="AP267" s="5"/>
      <c r="AR267" s="40"/>
      <c r="AS267" s="5"/>
      <c r="AU267" s="40"/>
      <c r="AV267" s="5"/>
      <c r="AX267" s="40"/>
      <c r="AY267" s="5"/>
      <c r="BA267" s="40"/>
      <c r="BB267" s="5"/>
      <c r="BD267" s="40"/>
      <c r="BE267" s="5"/>
      <c r="BG267" s="40"/>
      <c r="BH267" s="5"/>
      <c r="BJ267" s="40"/>
      <c r="BK267" s="5"/>
      <c r="BM267" s="40"/>
      <c r="BN267" s="5"/>
      <c r="BP267" s="40"/>
      <c r="BQ267" s="5"/>
      <c r="BS267" s="40"/>
      <c r="BT267" s="5"/>
      <c r="BV267" s="40"/>
      <c r="BW267" s="5"/>
      <c r="BY267" s="40"/>
      <c r="BZ267" s="5"/>
      <c r="CB267" s="40"/>
      <c r="CC267" s="5"/>
      <c r="CE267" s="40"/>
      <c r="CF267" s="5"/>
      <c r="CH267" s="40"/>
      <c r="CI267" s="5"/>
      <c r="CK267" s="40"/>
      <c r="CL267" s="5"/>
      <c r="CN267" s="40"/>
      <c r="CO267" s="5"/>
      <c r="CQ267" s="40"/>
      <c r="CR267" s="5"/>
    </row>
    <row r="268">
      <c r="AL268" s="40"/>
      <c r="AM268" s="5"/>
      <c r="AO268" s="40"/>
      <c r="AP268" s="5"/>
      <c r="AR268" s="40"/>
      <c r="AS268" s="5"/>
      <c r="AU268" s="40"/>
      <c r="AV268" s="5"/>
      <c r="AX268" s="40"/>
      <c r="AY268" s="5"/>
      <c r="BA268" s="40"/>
      <c r="BB268" s="5"/>
      <c r="BD268" s="40"/>
      <c r="BE268" s="5"/>
      <c r="BG268" s="40"/>
      <c r="BH268" s="5"/>
      <c r="BJ268" s="40"/>
      <c r="BK268" s="5"/>
      <c r="BM268" s="40"/>
      <c r="BN268" s="5"/>
      <c r="BP268" s="40"/>
      <c r="BQ268" s="5"/>
      <c r="BS268" s="40"/>
      <c r="BT268" s="5"/>
      <c r="BV268" s="40"/>
      <c r="BW268" s="5"/>
      <c r="BY268" s="40"/>
      <c r="BZ268" s="5"/>
      <c r="CB268" s="40"/>
      <c r="CC268" s="5"/>
      <c r="CE268" s="40"/>
      <c r="CF268" s="5"/>
      <c r="CH268" s="40"/>
      <c r="CI268" s="5"/>
      <c r="CK268" s="40"/>
      <c r="CL268" s="5"/>
      <c r="CN268" s="40"/>
      <c r="CO268" s="5"/>
      <c r="CQ268" s="40"/>
      <c r="CR268" s="5"/>
    </row>
    <row r="269">
      <c r="AL269" s="40"/>
      <c r="AM269" s="5"/>
      <c r="AO269" s="40"/>
      <c r="AP269" s="5"/>
      <c r="AR269" s="40"/>
      <c r="AS269" s="5"/>
      <c r="AU269" s="40"/>
      <c r="AV269" s="5"/>
      <c r="AX269" s="40"/>
      <c r="AY269" s="5"/>
      <c r="BA269" s="40"/>
      <c r="BB269" s="5"/>
      <c r="BD269" s="40"/>
      <c r="BE269" s="5"/>
      <c r="BG269" s="40"/>
      <c r="BH269" s="5"/>
      <c r="BJ269" s="40"/>
      <c r="BK269" s="5"/>
      <c r="BM269" s="40"/>
      <c r="BN269" s="5"/>
      <c r="BP269" s="40"/>
      <c r="BQ269" s="5"/>
      <c r="BS269" s="40"/>
      <c r="BT269" s="5"/>
      <c r="BV269" s="40"/>
      <c r="BW269" s="5"/>
      <c r="BY269" s="40"/>
      <c r="BZ269" s="5"/>
      <c r="CB269" s="40"/>
      <c r="CC269" s="5"/>
      <c r="CE269" s="40"/>
      <c r="CF269" s="5"/>
      <c r="CH269" s="40"/>
      <c r="CI269" s="5"/>
      <c r="CK269" s="40"/>
      <c r="CL269" s="5"/>
      <c r="CN269" s="40"/>
      <c r="CO269" s="5"/>
      <c r="CQ269" s="40"/>
      <c r="CR269" s="5"/>
    </row>
    <row r="270">
      <c r="AL270" s="40"/>
      <c r="AM270" s="5"/>
      <c r="AO270" s="40"/>
      <c r="AP270" s="5"/>
      <c r="AR270" s="40"/>
      <c r="AS270" s="5"/>
      <c r="AU270" s="40"/>
      <c r="AV270" s="5"/>
      <c r="AX270" s="40"/>
      <c r="AY270" s="5"/>
      <c r="BA270" s="40"/>
      <c r="BB270" s="5"/>
      <c r="BD270" s="40"/>
      <c r="BE270" s="5"/>
      <c r="BG270" s="40"/>
      <c r="BH270" s="5"/>
      <c r="BJ270" s="40"/>
      <c r="BK270" s="5"/>
      <c r="BM270" s="40"/>
      <c r="BN270" s="5"/>
      <c r="BP270" s="40"/>
      <c r="BQ270" s="5"/>
      <c r="BS270" s="40"/>
      <c r="BT270" s="5"/>
      <c r="BV270" s="40"/>
      <c r="BW270" s="5"/>
      <c r="BY270" s="40"/>
      <c r="BZ270" s="5"/>
      <c r="CB270" s="40"/>
      <c r="CC270" s="5"/>
      <c r="CE270" s="40"/>
      <c r="CF270" s="5"/>
      <c r="CH270" s="40"/>
      <c r="CI270" s="5"/>
      <c r="CK270" s="40"/>
      <c r="CL270" s="5"/>
      <c r="CN270" s="40"/>
      <c r="CO270" s="5"/>
      <c r="CQ270" s="40"/>
      <c r="CR270" s="5"/>
    </row>
    <row r="271">
      <c r="AL271" s="40"/>
      <c r="AM271" s="5"/>
      <c r="AO271" s="40"/>
      <c r="AP271" s="5"/>
      <c r="AR271" s="40"/>
      <c r="AS271" s="5"/>
      <c r="AU271" s="40"/>
      <c r="AV271" s="5"/>
      <c r="AX271" s="40"/>
      <c r="AY271" s="5"/>
      <c r="BA271" s="40"/>
      <c r="BB271" s="5"/>
      <c r="BD271" s="40"/>
      <c r="BE271" s="5"/>
      <c r="BG271" s="40"/>
      <c r="BH271" s="5"/>
      <c r="BJ271" s="40"/>
      <c r="BK271" s="5"/>
      <c r="BM271" s="40"/>
      <c r="BN271" s="5"/>
      <c r="BP271" s="40"/>
      <c r="BQ271" s="5"/>
      <c r="BS271" s="40"/>
      <c r="BT271" s="5"/>
      <c r="BV271" s="40"/>
      <c r="BW271" s="5"/>
      <c r="BY271" s="40"/>
      <c r="BZ271" s="5"/>
      <c r="CB271" s="40"/>
      <c r="CC271" s="5"/>
      <c r="CE271" s="40"/>
      <c r="CF271" s="5"/>
      <c r="CH271" s="40"/>
      <c r="CI271" s="5"/>
      <c r="CK271" s="40"/>
      <c r="CL271" s="5"/>
      <c r="CN271" s="40"/>
      <c r="CO271" s="5"/>
      <c r="CQ271" s="40"/>
      <c r="CR271" s="5"/>
    </row>
    <row r="272">
      <c r="AL272" s="40"/>
      <c r="AM272" s="5"/>
      <c r="AO272" s="40"/>
      <c r="AP272" s="5"/>
      <c r="AR272" s="40"/>
      <c r="AS272" s="5"/>
      <c r="AU272" s="40"/>
      <c r="AV272" s="5"/>
      <c r="AX272" s="40"/>
      <c r="AY272" s="5"/>
      <c r="BA272" s="40"/>
      <c r="BB272" s="5"/>
      <c r="BD272" s="40"/>
      <c r="BE272" s="5"/>
      <c r="BG272" s="40"/>
      <c r="BH272" s="5"/>
      <c r="BJ272" s="40"/>
      <c r="BK272" s="5"/>
      <c r="BM272" s="40"/>
      <c r="BN272" s="5"/>
      <c r="BP272" s="40"/>
      <c r="BQ272" s="5"/>
      <c r="BS272" s="40"/>
      <c r="BT272" s="5"/>
      <c r="BV272" s="40"/>
      <c r="BW272" s="5"/>
      <c r="BY272" s="40"/>
      <c r="BZ272" s="5"/>
      <c r="CB272" s="40"/>
      <c r="CC272" s="5"/>
      <c r="CE272" s="40"/>
      <c r="CF272" s="5"/>
      <c r="CH272" s="40"/>
      <c r="CI272" s="5"/>
      <c r="CK272" s="40"/>
      <c r="CL272" s="5"/>
      <c r="CN272" s="40"/>
      <c r="CO272" s="5"/>
      <c r="CQ272" s="40"/>
      <c r="CR272" s="5"/>
    </row>
    <row r="273">
      <c r="AL273" s="40"/>
      <c r="AM273" s="5"/>
      <c r="AO273" s="40"/>
      <c r="AP273" s="5"/>
      <c r="AR273" s="40"/>
      <c r="AS273" s="5"/>
      <c r="AU273" s="40"/>
      <c r="AV273" s="5"/>
      <c r="AX273" s="40"/>
      <c r="AY273" s="5"/>
      <c r="BA273" s="40"/>
      <c r="BB273" s="5"/>
      <c r="BD273" s="40"/>
      <c r="BE273" s="5"/>
      <c r="BG273" s="40"/>
      <c r="BH273" s="5"/>
      <c r="BJ273" s="40"/>
      <c r="BK273" s="5"/>
      <c r="BM273" s="40"/>
      <c r="BN273" s="5"/>
      <c r="BP273" s="40"/>
      <c r="BQ273" s="5"/>
      <c r="BS273" s="40"/>
      <c r="BT273" s="5"/>
      <c r="BV273" s="40"/>
      <c r="BW273" s="5"/>
      <c r="BY273" s="40"/>
      <c r="BZ273" s="5"/>
      <c r="CB273" s="40"/>
      <c r="CC273" s="5"/>
      <c r="CE273" s="40"/>
      <c r="CF273" s="5"/>
      <c r="CH273" s="40"/>
      <c r="CI273" s="5"/>
      <c r="CK273" s="40"/>
      <c r="CL273" s="5"/>
      <c r="CN273" s="40"/>
      <c r="CO273" s="5"/>
      <c r="CQ273" s="40"/>
      <c r="CR273" s="5"/>
    </row>
    <row r="274">
      <c r="AL274" s="40"/>
      <c r="AM274" s="5"/>
      <c r="AO274" s="40"/>
      <c r="AP274" s="5"/>
      <c r="AR274" s="40"/>
      <c r="AS274" s="5"/>
      <c r="AU274" s="40"/>
      <c r="AV274" s="5"/>
      <c r="AX274" s="40"/>
      <c r="AY274" s="5"/>
      <c r="BA274" s="40"/>
      <c r="BB274" s="5"/>
      <c r="BD274" s="40"/>
      <c r="BE274" s="5"/>
      <c r="BG274" s="40"/>
      <c r="BH274" s="5"/>
      <c r="BJ274" s="40"/>
      <c r="BK274" s="5"/>
      <c r="BM274" s="40"/>
      <c r="BN274" s="5"/>
      <c r="BP274" s="40"/>
      <c r="BQ274" s="5"/>
      <c r="BS274" s="40"/>
      <c r="BT274" s="5"/>
      <c r="BV274" s="40"/>
      <c r="BW274" s="5"/>
      <c r="BY274" s="40"/>
      <c r="BZ274" s="5"/>
      <c r="CB274" s="40"/>
      <c r="CC274" s="5"/>
      <c r="CE274" s="40"/>
      <c r="CF274" s="5"/>
      <c r="CH274" s="40"/>
      <c r="CI274" s="5"/>
      <c r="CK274" s="40"/>
      <c r="CL274" s="5"/>
      <c r="CN274" s="40"/>
      <c r="CO274" s="5"/>
      <c r="CQ274" s="40"/>
      <c r="CR274" s="5"/>
    </row>
    <row r="275">
      <c r="AL275" s="40"/>
      <c r="AM275" s="5"/>
      <c r="AO275" s="40"/>
      <c r="AP275" s="5"/>
      <c r="AR275" s="40"/>
      <c r="AS275" s="5"/>
      <c r="AU275" s="40"/>
      <c r="AV275" s="5"/>
      <c r="AX275" s="40"/>
      <c r="AY275" s="5"/>
      <c r="BA275" s="40"/>
      <c r="BB275" s="5"/>
      <c r="BD275" s="40"/>
      <c r="BE275" s="5"/>
      <c r="BG275" s="40"/>
      <c r="BH275" s="5"/>
      <c r="BJ275" s="40"/>
      <c r="BK275" s="5"/>
      <c r="BM275" s="40"/>
      <c r="BN275" s="5"/>
      <c r="BP275" s="40"/>
      <c r="BQ275" s="5"/>
      <c r="BS275" s="40"/>
      <c r="BT275" s="5"/>
      <c r="BV275" s="40"/>
      <c r="BW275" s="5"/>
      <c r="BY275" s="40"/>
      <c r="BZ275" s="5"/>
      <c r="CB275" s="40"/>
      <c r="CC275" s="5"/>
      <c r="CE275" s="40"/>
      <c r="CF275" s="5"/>
      <c r="CH275" s="40"/>
      <c r="CI275" s="5"/>
      <c r="CK275" s="40"/>
      <c r="CL275" s="5"/>
      <c r="CN275" s="40"/>
      <c r="CO275" s="5"/>
      <c r="CQ275" s="40"/>
      <c r="CR275" s="5"/>
    </row>
    <row r="276">
      <c r="AL276" s="40"/>
      <c r="AM276" s="5"/>
      <c r="AO276" s="40"/>
      <c r="AP276" s="5"/>
      <c r="AR276" s="40"/>
      <c r="AS276" s="5"/>
      <c r="AU276" s="40"/>
      <c r="AV276" s="5"/>
      <c r="AX276" s="40"/>
      <c r="AY276" s="5"/>
      <c r="BA276" s="40"/>
      <c r="BB276" s="5"/>
      <c r="BD276" s="40"/>
      <c r="BE276" s="5"/>
      <c r="BG276" s="40"/>
      <c r="BH276" s="5"/>
      <c r="BJ276" s="40"/>
      <c r="BK276" s="5"/>
      <c r="BM276" s="40"/>
      <c r="BN276" s="5"/>
      <c r="BP276" s="40"/>
      <c r="BQ276" s="5"/>
      <c r="BS276" s="40"/>
      <c r="BT276" s="5"/>
      <c r="BV276" s="40"/>
      <c r="BW276" s="5"/>
      <c r="BY276" s="40"/>
      <c r="BZ276" s="5"/>
      <c r="CB276" s="40"/>
      <c r="CC276" s="5"/>
      <c r="CE276" s="40"/>
      <c r="CF276" s="5"/>
      <c r="CH276" s="40"/>
      <c r="CI276" s="5"/>
      <c r="CK276" s="40"/>
      <c r="CL276" s="5"/>
      <c r="CN276" s="40"/>
      <c r="CO276" s="5"/>
      <c r="CQ276" s="40"/>
      <c r="CR276" s="5"/>
    </row>
    <row r="277">
      <c r="AL277" s="40"/>
      <c r="AM277" s="5"/>
      <c r="AO277" s="40"/>
      <c r="AP277" s="5"/>
      <c r="AR277" s="40"/>
      <c r="AS277" s="5"/>
      <c r="AU277" s="40"/>
      <c r="AV277" s="5"/>
      <c r="AX277" s="40"/>
      <c r="AY277" s="5"/>
      <c r="BA277" s="40"/>
      <c r="BB277" s="5"/>
      <c r="BD277" s="40"/>
      <c r="BE277" s="5"/>
      <c r="BG277" s="40"/>
      <c r="BH277" s="5"/>
      <c r="BJ277" s="40"/>
      <c r="BK277" s="5"/>
      <c r="BM277" s="40"/>
      <c r="BN277" s="5"/>
      <c r="BP277" s="40"/>
      <c r="BQ277" s="5"/>
      <c r="BS277" s="40"/>
      <c r="BT277" s="5"/>
      <c r="BV277" s="40"/>
      <c r="BW277" s="5"/>
      <c r="BY277" s="40"/>
      <c r="BZ277" s="5"/>
      <c r="CB277" s="40"/>
      <c r="CC277" s="5"/>
      <c r="CE277" s="40"/>
      <c r="CF277" s="5"/>
      <c r="CH277" s="40"/>
      <c r="CI277" s="5"/>
      <c r="CK277" s="40"/>
      <c r="CL277" s="5"/>
      <c r="CN277" s="40"/>
      <c r="CO277" s="5"/>
      <c r="CQ277" s="40"/>
      <c r="CR277" s="5"/>
    </row>
    <row r="278">
      <c r="AL278" s="40"/>
      <c r="AM278" s="5"/>
      <c r="AO278" s="40"/>
      <c r="AP278" s="5"/>
      <c r="AR278" s="40"/>
      <c r="AS278" s="5"/>
      <c r="AU278" s="40"/>
      <c r="AV278" s="5"/>
      <c r="AX278" s="40"/>
      <c r="AY278" s="5"/>
      <c r="BA278" s="40"/>
      <c r="BB278" s="5"/>
      <c r="BD278" s="40"/>
      <c r="BE278" s="5"/>
      <c r="BG278" s="40"/>
      <c r="BH278" s="5"/>
      <c r="BJ278" s="40"/>
      <c r="BK278" s="5"/>
      <c r="BM278" s="40"/>
      <c r="BN278" s="5"/>
      <c r="BP278" s="40"/>
      <c r="BQ278" s="5"/>
      <c r="BS278" s="40"/>
      <c r="BT278" s="5"/>
      <c r="BV278" s="40"/>
      <c r="BW278" s="5"/>
      <c r="BY278" s="40"/>
      <c r="BZ278" s="5"/>
      <c r="CB278" s="40"/>
      <c r="CC278" s="5"/>
      <c r="CE278" s="40"/>
      <c r="CF278" s="5"/>
      <c r="CH278" s="40"/>
      <c r="CI278" s="5"/>
      <c r="CK278" s="40"/>
      <c r="CL278" s="5"/>
      <c r="CN278" s="40"/>
      <c r="CO278" s="5"/>
      <c r="CQ278" s="40"/>
      <c r="CR278" s="5"/>
    </row>
    <row r="279">
      <c r="AL279" s="40"/>
      <c r="AM279" s="5"/>
      <c r="AO279" s="40"/>
      <c r="AP279" s="5"/>
      <c r="AR279" s="40"/>
      <c r="AS279" s="5"/>
      <c r="AU279" s="40"/>
      <c r="AV279" s="5"/>
      <c r="AX279" s="40"/>
      <c r="AY279" s="5"/>
      <c r="BA279" s="40"/>
      <c r="BB279" s="5"/>
      <c r="BD279" s="40"/>
      <c r="BE279" s="5"/>
      <c r="BG279" s="40"/>
      <c r="BH279" s="5"/>
      <c r="BJ279" s="40"/>
      <c r="BK279" s="5"/>
      <c r="BM279" s="40"/>
      <c r="BN279" s="5"/>
      <c r="BP279" s="40"/>
      <c r="BQ279" s="5"/>
      <c r="BS279" s="40"/>
      <c r="BT279" s="5"/>
      <c r="BV279" s="40"/>
      <c r="BW279" s="5"/>
      <c r="BY279" s="40"/>
      <c r="BZ279" s="5"/>
      <c r="CB279" s="40"/>
      <c r="CC279" s="5"/>
      <c r="CE279" s="40"/>
      <c r="CF279" s="5"/>
      <c r="CH279" s="40"/>
      <c r="CI279" s="5"/>
      <c r="CK279" s="40"/>
      <c r="CL279" s="5"/>
      <c r="CN279" s="40"/>
      <c r="CO279" s="5"/>
      <c r="CQ279" s="40"/>
      <c r="CR279" s="5"/>
    </row>
    <row r="280">
      <c r="AL280" s="40"/>
      <c r="AM280" s="5"/>
      <c r="AO280" s="40"/>
      <c r="AP280" s="5"/>
      <c r="AR280" s="40"/>
      <c r="AS280" s="5"/>
      <c r="AU280" s="40"/>
      <c r="AV280" s="5"/>
      <c r="AX280" s="40"/>
      <c r="AY280" s="5"/>
      <c r="BA280" s="40"/>
      <c r="BB280" s="5"/>
      <c r="BD280" s="40"/>
      <c r="BE280" s="5"/>
      <c r="BG280" s="40"/>
      <c r="BH280" s="5"/>
      <c r="BJ280" s="40"/>
      <c r="BK280" s="5"/>
      <c r="BM280" s="40"/>
      <c r="BN280" s="5"/>
      <c r="BP280" s="40"/>
      <c r="BQ280" s="5"/>
      <c r="BS280" s="40"/>
      <c r="BT280" s="5"/>
      <c r="BV280" s="40"/>
      <c r="BW280" s="5"/>
      <c r="BY280" s="40"/>
      <c r="BZ280" s="5"/>
      <c r="CB280" s="40"/>
      <c r="CC280" s="5"/>
      <c r="CE280" s="40"/>
      <c r="CF280" s="5"/>
      <c r="CH280" s="40"/>
      <c r="CI280" s="5"/>
      <c r="CK280" s="40"/>
      <c r="CL280" s="5"/>
      <c r="CN280" s="40"/>
      <c r="CO280" s="5"/>
      <c r="CQ280" s="40"/>
      <c r="CR280" s="5"/>
    </row>
    <row r="281">
      <c r="AL281" s="40"/>
      <c r="AM281" s="5"/>
      <c r="AO281" s="40"/>
      <c r="AP281" s="5"/>
      <c r="AR281" s="40"/>
      <c r="AS281" s="5"/>
      <c r="AU281" s="40"/>
      <c r="AV281" s="5"/>
      <c r="AX281" s="40"/>
      <c r="AY281" s="5"/>
      <c r="BA281" s="40"/>
      <c r="BB281" s="5"/>
      <c r="BD281" s="40"/>
      <c r="BE281" s="5"/>
      <c r="BG281" s="40"/>
      <c r="BH281" s="5"/>
      <c r="BJ281" s="40"/>
      <c r="BK281" s="5"/>
      <c r="BM281" s="40"/>
      <c r="BN281" s="5"/>
      <c r="BP281" s="40"/>
      <c r="BQ281" s="5"/>
      <c r="BS281" s="40"/>
      <c r="BT281" s="5"/>
      <c r="BV281" s="40"/>
      <c r="BW281" s="5"/>
      <c r="BY281" s="40"/>
      <c r="BZ281" s="5"/>
      <c r="CB281" s="40"/>
      <c r="CC281" s="5"/>
      <c r="CE281" s="40"/>
      <c r="CF281" s="5"/>
      <c r="CH281" s="40"/>
      <c r="CI281" s="5"/>
      <c r="CK281" s="40"/>
      <c r="CL281" s="5"/>
      <c r="CN281" s="40"/>
      <c r="CO281" s="5"/>
      <c r="CQ281" s="40"/>
      <c r="CR281" s="5"/>
    </row>
    <row r="282">
      <c r="AL282" s="40"/>
      <c r="AM282" s="5"/>
      <c r="AO282" s="40"/>
      <c r="AP282" s="5"/>
      <c r="AR282" s="40"/>
      <c r="AS282" s="5"/>
      <c r="AU282" s="40"/>
      <c r="AV282" s="5"/>
      <c r="AX282" s="40"/>
      <c r="AY282" s="5"/>
      <c r="BA282" s="40"/>
      <c r="BB282" s="5"/>
      <c r="BD282" s="40"/>
      <c r="BE282" s="5"/>
      <c r="BG282" s="40"/>
      <c r="BH282" s="5"/>
      <c r="BJ282" s="40"/>
      <c r="BK282" s="5"/>
      <c r="BM282" s="40"/>
      <c r="BN282" s="5"/>
      <c r="BP282" s="40"/>
      <c r="BQ282" s="5"/>
      <c r="BS282" s="40"/>
      <c r="BT282" s="5"/>
      <c r="BV282" s="40"/>
      <c r="BW282" s="5"/>
      <c r="BY282" s="40"/>
      <c r="BZ282" s="5"/>
      <c r="CB282" s="40"/>
      <c r="CC282" s="5"/>
      <c r="CE282" s="40"/>
      <c r="CF282" s="5"/>
      <c r="CH282" s="40"/>
      <c r="CI282" s="5"/>
      <c r="CK282" s="40"/>
      <c r="CL282" s="5"/>
      <c r="CN282" s="40"/>
      <c r="CO282" s="5"/>
      <c r="CQ282" s="40"/>
      <c r="CR282" s="5"/>
    </row>
    <row r="283">
      <c r="AL283" s="40"/>
      <c r="AM283" s="5"/>
      <c r="AO283" s="40"/>
      <c r="AP283" s="5"/>
      <c r="AR283" s="40"/>
      <c r="AS283" s="5"/>
      <c r="AU283" s="40"/>
      <c r="AV283" s="5"/>
      <c r="AX283" s="40"/>
      <c r="AY283" s="5"/>
      <c r="BA283" s="40"/>
      <c r="BB283" s="5"/>
      <c r="BD283" s="40"/>
      <c r="BE283" s="5"/>
      <c r="BG283" s="40"/>
      <c r="BH283" s="5"/>
      <c r="BJ283" s="40"/>
      <c r="BK283" s="5"/>
      <c r="BM283" s="40"/>
      <c r="BN283" s="5"/>
      <c r="BP283" s="40"/>
      <c r="BQ283" s="5"/>
      <c r="BS283" s="40"/>
      <c r="BT283" s="5"/>
      <c r="BV283" s="40"/>
      <c r="BW283" s="5"/>
      <c r="BY283" s="40"/>
      <c r="BZ283" s="5"/>
      <c r="CB283" s="40"/>
      <c r="CC283" s="5"/>
      <c r="CE283" s="40"/>
      <c r="CF283" s="5"/>
      <c r="CH283" s="40"/>
      <c r="CI283" s="5"/>
      <c r="CK283" s="40"/>
      <c r="CL283" s="5"/>
      <c r="CN283" s="40"/>
      <c r="CO283" s="5"/>
      <c r="CQ283" s="40"/>
      <c r="CR283" s="5"/>
    </row>
    <row r="284">
      <c r="AL284" s="40"/>
      <c r="AM284" s="5"/>
      <c r="AO284" s="40"/>
      <c r="AP284" s="5"/>
      <c r="AR284" s="40"/>
      <c r="AS284" s="5"/>
      <c r="AU284" s="40"/>
      <c r="AV284" s="5"/>
      <c r="AX284" s="40"/>
      <c r="AY284" s="5"/>
      <c r="BA284" s="40"/>
      <c r="BB284" s="5"/>
      <c r="BD284" s="40"/>
      <c r="BE284" s="5"/>
      <c r="BG284" s="40"/>
      <c r="BH284" s="5"/>
      <c r="BJ284" s="40"/>
      <c r="BK284" s="5"/>
      <c r="BM284" s="40"/>
      <c r="BN284" s="5"/>
      <c r="BP284" s="40"/>
      <c r="BQ284" s="5"/>
      <c r="BS284" s="40"/>
      <c r="BT284" s="5"/>
      <c r="BV284" s="40"/>
      <c r="BW284" s="5"/>
      <c r="BY284" s="40"/>
      <c r="BZ284" s="5"/>
      <c r="CB284" s="40"/>
      <c r="CC284" s="5"/>
      <c r="CE284" s="40"/>
      <c r="CF284" s="5"/>
      <c r="CH284" s="40"/>
      <c r="CI284" s="5"/>
      <c r="CK284" s="40"/>
      <c r="CL284" s="5"/>
      <c r="CN284" s="40"/>
      <c r="CO284" s="5"/>
      <c r="CQ284" s="40"/>
      <c r="CR284" s="5"/>
    </row>
    <row r="285">
      <c r="AL285" s="40"/>
      <c r="AM285" s="5"/>
      <c r="AO285" s="40"/>
      <c r="AP285" s="5"/>
      <c r="AR285" s="40"/>
      <c r="AS285" s="5"/>
      <c r="AU285" s="40"/>
      <c r="AV285" s="5"/>
      <c r="AX285" s="40"/>
      <c r="AY285" s="5"/>
      <c r="BA285" s="40"/>
      <c r="BB285" s="5"/>
      <c r="BD285" s="40"/>
      <c r="BE285" s="5"/>
      <c r="BG285" s="40"/>
      <c r="BH285" s="5"/>
      <c r="BJ285" s="40"/>
      <c r="BK285" s="5"/>
      <c r="BM285" s="40"/>
      <c r="BN285" s="5"/>
      <c r="BP285" s="40"/>
      <c r="BQ285" s="5"/>
      <c r="BS285" s="40"/>
      <c r="BT285" s="5"/>
      <c r="BV285" s="40"/>
      <c r="BW285" s="5"/>
      <c r="BY285" s="40"/>
      <c r="BZ285" s="5"/>
      <c r="CB285" s="40"/>
      <c r="CC285" s="5"/>
      <c r="CE285" s="40"/>
      <c r="CF285" s="5"/>
      <c r="CH285" s="40"/>
      <c r="CI285" s="5"/>
      <c r="CK285" s="40"/>
      <c r="CL285" s="5"/>
      <c r="CN285" s="40"/>
      <c r="CO285" s="5"/>
      <c r="CQ285" s="40"/>
      <c r="CR285" s="5"/>
    </row>
    <row r="286">
      <c r="AL286" s="40"/>
      <c r="AM286" s="5"/>
      <c r="AO286" s="40"/>
      <c r="AP286" s="5"/>
      <c r="AR286" s="40"/>
      <c r="AS286" s="5"/>
      <c r="AU286" s="40"/>
      <c r="AV286" s="5"/>
      <c r="AX286" s="40"/>
      <c r="AY286" s="5"/>
      <c r="BA286" s="40"/>
      <c r="BB286" s="5"/>
      <c r="BD286" s="40"/>
      <c r="BE286" s="5"/>
      <c r="BG286" s="40"/>
      <c r="BH286" s="5"/>
      <c r="BJ286" s="40"/>
      <c r="BK286" s="5"/>
      <c r="BM286" s="40"/>
      <c r="BN286" s="5"/>
      <c r="BP286" s="40"/>
      <c r="BQ286" s="5"/>
      <c r="BS286" s="40"/>
      <c r="BT286" s="5"/>
      <c r="BV286" s="40"/>
      <c r="BW286" s="5"/>
      <c r="BY286" s="40"/>
      <c r="BZ286" s="5"/>
      <c r="CB286" s="40"/>
      <c r="CC286" s="5"/>
      <c r="CE286" s="40"/>
      <c r="CF286" s="5"/>
      <c r="CH286" s="40"/>
      <c r="CI286" s="5"/>
      <c r="CK286" s="40"/>
      <c r="CL286" s="5"/>
      <c r="CN286" s="40"/>
      <c r="CO286" s="5"/>
      <c r="CQ286" s="40"/>
      <c r="CR286" s="5"/>
    </row>
    <row r="287">
      <c r="AL287" s="40"/>
      <c r="AM287" s="5"/>
      <c r="AO287" s="40"/>
      <c r="AP287" s="5"/>
      <c r="AR287" s="40"/>
      <c r="AS287" s="5"/>
      <c r="AU287" s="40"/>
      <c r="AV287" s="5"/>
      <c r="AX287" s="40"/>
      <c r="AY287" s="5"/>
      <c r="BA287" s="40"/>
      <c r="BB287" s="5"/>
      <c r="BD287" s="40"/>
      <c r="BE287" s="5"/>
      <c r="BG287" s="40"/>
      <c r="BH287" s="5"/>
      <c r="BJ287" s="40"/>
      <c r="BK287" s="5"/>
      <c r="BM287" s="40"/>
      <c r="BN287" s="5"/>
      <c r="BP287" s="40"/>
      <c r="BQ287" s="5"/>
      <c r="BS287" s="40"/>
      <c r="BT287" s="5"/>
      <c r="BV287" s="40"/>
      <c r="BW287" s="5"/>
      <c r="BY287" s="40"/>
      <c r="BZ287" s="5"/>
      <c r="CB287" s="40"/>
      <c r="CC287" s="5"/>
      <c r="CE287" s="40"/>
      <c r="CF287" s="5"/>
      <c r="CH287" s="40"/>
      <c r="CI287" s="5"/>
      <c r="CK287" s="40"/>
      <c r="CL287" s="5"/>
      <c r="CN287" s="40"/>
      <c r="CO287" s="5"/>
      <c r="CQ287" s="40"/>
      <c r="CR287" s="5"/>
    </row>
    <row r="288">
      <c r="AL288" s="40"/>
      <c r="AM288" s="5"/>
      <c r="AO288" s="40"/>
      <c r="AP288" s="5"/>
      <c r="AR288" s="40"/>
      <c r="AS288" s="5"/>
      <c r="AU288" s="40"/>
      <c r="AV288" s="5"/>
      <c r="AX288" s="40"/>
      <c r="AY288" s="5"/>
      <c r="BA288" s="40"/>
      <c r="BB288" s="5"/>
      <c r="BD288" s="40"/>
      <c r="BE288" s="5"/>
      <c r="BG288" s="40"/>
      <c r="BH288" s="5"/>
      <c r="BJ288" s="40"/>
      <c r="BK288" s="5"/>
      <c r="BM288" s="40"/>
      <c r="BN288" s="5"/>
      <c r="BP288" s="40"/>
      <c r="BQ288" s="5"/>
      <c r="BS288" s="40"/>
      <c r="BT288" s="5"/>
      <c r="BV288" s="40"/>
      <c r="BW288" s="5"/>
      <c r="BY288" s="40"/>
      <c r="BZ288" s="5"/>
      <c r="CB288" s="40"/>
      <c r="CC288" s="5"/>
      <c r="CE288" s="40"/>
      <c r="CF288" s="5"/>
      <c r="CH288" s="40"/>
      <c r="CI288" s="5"/>
      <c r="CK288" s="40"/>
      <c r="CL288" s="5"/>
      <c r="CN288" s="40"/>
      <c r="CO288" s="5"/>
      <c r="CQ288" s="40"/>
      <c r="CR288" s="5"/>
    </row>
    <row r="289">
      <c r="AL289" s="40"/>
      <c r="AM289" s="5"/>
      <c r="AO289" s="40"/>
      <c r="AP289" s="5"/>
      <c r="AR289" s="40"/>
      <c r="AS289" s="5"/>
      <c r="AU289" s="40"/>
      <c r="AV289" s="5"/>
      <c r="AX289" s="40"/>
      <c r="AY289" s="5"/>
      <c r="BA289" s="40"/>
      <c r="BB289" s="5"/>
      <c r="BD289" s="40"/>
      <c r="BE289" s="5"/>
      <c r="BG289" s="40"/>
      <c r="BH289" s="5"/>
      <c r="BJ289" s="40"/>
      <c r="BK289" s="5"/>
      <c r="BM289" s="40"/>
      <c r="BN289" s="5"/>
      <c r="BP289" s="40"/>
      <c r="BQ289" s="5"/>
      <c r="BS289" s="40"/>
      <c r="BT289" s="5"/>
      <c r="BV289" s="40"/>
      <c r="BW289" s="5"/>
      <c r="BY289" s="40"/>
      <c r="BZ289" s="5"/>
      <c r="CB289" s="40"/>
      <c r="CC289" s="5"/>
      <c r="CE289" s="40"/>
      <c r="CF289" s="5"/>
      <c r="CH289" s="40"/>
      <c r="CI289" s="5"/>
      <c r="CK289" s="40"/>
      <c r="CL289" s="5"/>
      <c r="CN289" s="40"/>
      <c r="CO289" s="5"/>
      <c r="CQ289" s="40"/>
      <c r="CR289" s="5"/>
    </row>
    <row r="290">
      <c r="AL290" s="40"/>
      <c r="AM290" s="5"/>
      <c r="AO290" s="40"/>
      <c r="AP290" s="5"/>
      <c r="AR290" s="40"/>
      <c r="AS290" s="5"/>
      <c r="AU290" s="40"/>
      <c r="AV290" s="5"/>
      <c r="AX290" s="40"/>
      <c r="AY290" s="5"/>
      <c r="BA290" s="40"/>
      <c r="BB290" s="5"/>
      <c r="BD290" s="40"/>
      <c r="BE290" s="5"/>
      <c r="BG290" s="40"/>
      <c r="BH290" s="5"/>
      <c r="BJ290" s="40"/>
      <c r="BK290" s="5"/>
      <c r="BM290" s="40"/>
      <c r="BN290" s="5"/>
      <c r="BP290" s="40"/>
      <c r="BQ290" s="5"/>
      <c r="BS290" s="40"/>
      <c r="BT290" s="5"/>
      <c r="BV290" s="40"/>
      <c r="BW290" s="5"/>
      <c r="BY290" s="40"/>
      <c r="BZ290" s="5"/>
      <c r="CB290" s="40"/>
      <c r="CC290" s="5"/>
      <c r="CE290" s="40"/>
      <c r="CF290" s="5"/>
      <c r="CH290" s="40"/>
      <c r="CI290" s="5"/>
      <c r="CK290" s="40"/>
      <c r="CL290" s="5"/>
      <c r="CN290" s="40"/>
      <c r="CO290" s="5"/>
      <c r="CQ290" s="40"/>
      <c r="CR290" s="5"/>
    </row>
    <row r="291">
      <c r="AL291" s="40"/>
      <c r="AM291" s="5"/>
      <c r="AO291" s="40"/>
      <c r="AP291" s="5"/>
      <c r="AR291" s="40"/>
      <c r="AS291" s="5"/>
      <c r="AU291" s="40"/>
      <c r="AV291" s="5"/>
      <c r="AX291" s="40"/>
      <c r="AY291" s="5"/>
      <c r="BA291" s="40"/>
      <c r="BB291" s="5"/>
      <c r="BD291" s="40"/>
      <c r="BE291" s="5"/>
      <c r="BG291" s="40"/>
      <c r="BH291" s="5"/>
      <c r="BJ291" s="40"/>
      <c r="BK291" s="5"/>
      <c r="BM291" s="40"/>
      <c r="BN291" s="5"/>
      <c r="BP291" s="40"/>
      <c r="BQ291" s="5"/>
      <c r="BS291" s="40"/>
      <c r="BT291" s="5"/>
      <c r="BV291" s="40"/>
      <c r="BW291" s="5"/>
      <c r="BY291" s="40"/>
      <c r="BZ291" s="5"/>
      <c r="CB291" s="40"/>
      <c r="CC291" s="5"/>
      <c r="CE291" s="40"/>
      <c r="CF291" s="5"/>
      <c r="CH291" s="40"/>
      <c r="CI291" s="5"/>
      <c r="CK291" s="40"/>
      <c r="CL291" s="5"/>
      <c r="CN291" s="40"/>
      <c r="CO291" s="5"/>
      <c r="CQ291" s="40"/>
      <c r="CR291" s="5"/>
    </row>
    <row r="292">
      <c r="AL292" s="40"/>
      <c r="AM292" s="5"/>
      <c r="AO292" s="40"/>
      <c r="AP292" s="5"/>
      <c r="AR292" s="40"/>
      <c r="AS292" s="5"/>
      <c r="AU292" s="40"/>
      <c r="AV292" s="5"/>
      <c r="AX292" s="40"/>
      <c r="AY292" s="5"/>
      <c r="BA292" s="40"/>
      <c r="BB292" s="5"/>
      <c r="BD292" s="40"/>
      <c r="BE292" s="5"/>
      <c r="BG292" s="40"/>
      <c r="BH292" s="5"/>
      <c r="BJ292" s="40"/>
      <c r="BK292" s="5"/>
      <c r="BM292" s="40"/>
      <c r="BN292" s="5"/>
      <c r="BP292" s="40"/>
      <c r="BQ292" s="5"/>
      <c r="BS292" s="40"/>
      <c r="BT292" s="5"/>
      <c r="BV292" s="40"/>
      <c r="BW292" s="5"/>
      <c r="BY292" s="40"/>
      <c r="BZ292" s="5"/>
      <c r="CB292" s="40"/>
      <c r="CC292" s="5"/>
      <c r="CE292" s="40"/>
      <c r="CF292" s="5"/>
      <c r="CH292" s="40"/>
      <c r="CI292" s="5"/>
      <c r="CK292" s="40"/>
      <c r="CL292" s="5"/>
      <c r="CN292" s="40"/>
      <c r="CO292" s="5"/>
      <c r="CQ292" s="40"/>
      <c r="CR292" s="5"/>
    </row>
    <row r="293">
      <c r="AL293" s="40"/>
      <c r="AM293" s="5"/>
      <c r="AO293" s="40"/>
      <c r="AP293" s="5"/>
      <c r="AR293" s="40"/>
      <c r="AS293" s="5"/>
      <c r="AU293" s="40"/>
      <c r="AV293" s="5"/>
      <c r="AX293" s="40"/>
      <c r="AY293" s="5"/>
      <c r="BA293" s="40"/>
      <c r="BB293" s="5"/>
      <c r="BD293" s="40"/>
      <c r="BE293" s="5"/>
      <c r="BG293" s="40"/>
      <c r="BH293" s="5"/>
      <c r="BJ293" s="40"/>
      <c r="BK293" s="5"/>
      <c r="BM293" s="40"/>
      <c r="BN293" s="5"/>
      <c r="BP293" s="40"/>
      <c r="BQ293" s="5"/>
      <c r="BS293" s="40"/>
      <c r="BT293" s="5"/>
      <c r="BV293" s="40"/>
      <c r="BW293" s="5"/>
      <c r="BY293" s="40"/>
      <c r="BZ293" s="5"/>
      <c r="CB293" s="40"/>
      <c r="CC293" s="5"/>
      <c r="CE293" s="40"/>
      <c r="CF293" s="5"/>
      <c r="CH293" s="40"/>
      <c r="CI293" s="5"/>
      <c r="CK293" s="40"/>
      <c r="CL293" s="5"/>
      <c r="CN293" s="40"/>
      <c r="CO293" s="5"/>
      <c r="CQ293" s="40"/>
      <c r="CR293" s="5"/>
    </row>
    <row r="294">
      <c r="AL294" s="40"/>
      <c r="AM294" s="5"/>
      <c r="AO294" s="40"/>
      <c r="AP294" s="5"/>
      <c r="AR294" s="40"/>
      <c r="AS294" s="5"/>
      <c r="AU294" s="40"/>
      <c r="AV294" s="5"/>
      <c r="AX294" s="40"/>
      <c r="AY294" s="5"/>
      <c r="BA294" s="40"/>
      <c r="BB294" s="5"/>
      <c r="BD294" s="40"/>
      <c r="BE294" s="5"/>
      <c r="BG294" s="40"/>
      <c r="BH294" s="5"/>
      <c r="BJ294" s="40"/>
      <c r="BK294" s="5"/>
      <c r="BM294" s="40"/>
      <c r="BN294" s="5"/>
      <c r="BP294" s="40"/>
      <c r="BQ294" s="5"/>
      <c r="BS294" s="40"/>
      <c r="BT294" s="5"/>
      <c r="BV294" s="40"/>
      <c r="BW294" s="5"/>
      <c r="BY294" s="40"/>
      <c r="BZ294" s="5"/>
      <c r="CB294" s="40"/>
      <c r="CC294" s="5"/>
      <c r="CE294" s="40"/>
      <c r="CF294" s="5"/>
      <c r="CH294" s="40"/>
      <c r="CI294" s="5"/>
      <c r="CK294" s="40"/>
      <c r="CL294" s="5"/>
      <c r="CN294" s="40"/>
      <c r="CO294" s="5"/>
      <c r="CQ294" s="40"/>
      <c r="CR294" s="5"/>
    </row>
    <row r="295">
      <c r="AL295" s="40"/>
      <c r="AM295" s="5"/>
      <c r="AO295" s="40"/>
      <c r="AP295" s="5"/>
      <c r="AR295" s="40"/>
      <c r="AS295" s="5"/>
      <c r="AU295" s="40"/>
      <c r="AV295" s="5"/>
      <c r="AX295" s="40"/>
      <c r="AY295" s="5"/>
      <c r="BA295" s="40"/>
      <c r="BB295" s="5"/>
      <c r="BD295" s="40"/>
      <c r="BE295" s="5"/>
      <c r="BG295" s="40"/>
      <c r="BH295" s="5"/>
      <c r="BJ295" s="40"/>
      <c r="BK295" s="5"/>
      <c r="BM295" s="40"/>
      <c r="BN295" s="5"/>
      <c r="BP295" s="40"/>
      <c r="BQ295" s="5"/>
      <c r="BS295" s="40"/>
      <c r="BT295" s="5"/>
      <c r="BV295" s="40"/>
      <c r="BW295" s="5"/>
      <c r="BY295" s="40"/>
      <c r="BZ295" s="5"/>
      <c r="CB295" s="40"/>
      <c r="CC295" s="5"/>
      <c r="CE295" s="40"/>
      <c r="CF295" s="5"/>
      <c r="CH295" s="40"/>
      <c r="CI295" s="5"/>
      <c r="CK295" s="40"/>
      <c r="CL295" s="5"/>
      <c r="CN295" s="40"/>
      <c r="CO295" s="5"/>
      <c r="CQ295" s="40"/>
      <c r="CR295" s="5"/>
    </row>
    <row r="296">
      <c r="AL296" s="40"/>
      <c r="AM296" s="5"/>
      <c r="AO296" s="40"/>
      <c r="AP296" s="5"/>
      <c r="AR296" s="40"/>
      <c r="AS296" s="5"/>
      <c r="AU296" s="40"/>
      <c r="AV296" s="5"/>
      <c r="AX296" s="40"/>
      <c r="AY296" s="5"/>
      <c r="BA296" s="40"/>
      <c r="BB296" s="5"/>
      <c r="BD296" s="40"/>
      <c r="BE296" s="5"/>
      <c r="BG296" s="40"/>
      <c r="BH296" s="5"/>
      <c r="BJ296" s="40"/>
      <c r="BK296" s="5"/>
      <c r="BM296" s="40"/>
      <c r="BN296" s="5"/>
      <c r="BP296" s="40"/>
      <c r="BQ296" s="5"/>
      <c r="BS296" s="40"/>
      <c r="BT296" s="5"/>
      <c r="BV296" s="40"/>
      <c r="BW296" s="5"/>
      <c r="BY296" s="40"/>
      <c r="BZ296" s="5"/>
      <c r="CB296" s="40"/>
      <c r="CC296" s="5"/>
      <c r="CE296" s="40"/>
      <c r="CF296" s="5"/>
      <c r="CH296" s="40"/>
      <c r="CI296" s="5"/>
      <c r="CK296" s="40"/>
      <c r="CL296" s="5"/>
      <c r="CN296" s="40"/>
      <c r="CO296" s="5"/>
      <c r="CQ296" s="40"/>
      <c r="CR296" s="5"/>
    </row>
    <row r="297">
      <c r="AL297" s="40"/>
      <c r="AM297" s="5"/>
      <c r="AO297" s="40"/>
      <c r="AP297" s="5"/>
      <c r="AR297" s="40"/>
      <c r="AS297" s="5"/>
      <c r="AU297" s="40"/>
      <c r="AV297" s="5"/>
      <c r="AX297" s="40"/>
      <c r="AY297" s="5"/>
      <c r="BA297" s="40"/>
      <c r="BB297" s="5"/>
      <c r="BD297" s="40"/>
      <c r="BE297" s="5"/>
      <c r="BG297" s="40"/>
      <c r="BH297" s="5"/>
      <c r="BJ297" s="40"/>
      <c r="BK297" s="5"/>
      <c r="BM297" s="40"/>
      <c r="BN297" s="5"/>
      <c r="BP297" s="40"/>
      <c r="BQ297" s="5"/>
      <c r="BS297" s="40"/>
      <c r="BT297" s="5"/>
      <c r="BV297" s="40"/>
      <c r="BW297" s="5"/>
      <c r="BY297" s="40"/>
      <c r="BZ297" s="5"/>
      <c r="CB297" s="40"/>
      <c r="CC297" s="5"/>
      <c r="CE297" s="40"/>
      <c r="CF297" s="5"/>
      <c r="CH297" s="40"/>
      <c r="CI297" s="5"/>
      <c r="CK297" s="40"/>
      <c r="CL297" s="5"/>
      <c r="CN297" s="40"/>
      <c r="CO297" s="5"/>
      <c r="CQ297" s="40"/>
      <c r="CR297" s="5"/>
    </row>
    <row r="298">
      <c r="AL298" s="40"/>
      <c r="AM298" s="5"/>
      <c r="AO298" s="40"/>
      <c r="AP298" s="5"/>
      <c r="AR298" s="40"/>
      <c r="AS298" s="5"/>
      <c r="AU298" s="40"/>
      <c r="AV298" s="5"/>
      <c r="AX298" s="40"/>
      <c r="AY298" s="5"/>
      <c r="BA298" s="40"/>
      <c r="BB298" s="5"/>
      <c r="BD298" s="40"/>
      <c r="BE298" s="5"/>
      <c r="BG298" s="40"/>
      <c r="BH298" s="5"/>
      <c r="BJ298" s="40"/>
      <c r="BK298" s="5"/>
      <c r="BM298" s="40"/>
      <c r="BN298" s="5"/>
      <c r="BP298" s="40"/>
      <c r="BQ298" s="5"/>
      <c r="BS298" s="40"/>
      <c r="BT298" s="5"/>
      <c r="BV298" s="40"/>
      <c r="BW298" s="5"/>
      <c r="BY298" s="40"/>
      <c r="BZ298" s="5"/>
      <c r="CB298" s="40"/>
      <c r="CC298" s="5"/>
      <c r="CE298" s="40"/>
      <c r="CF298" s="5"/>
      <c r="CH298" s="40"/>
      <c r="CI298" s="5"/>
      <c r="CK298" s="40"/>
      <c r="CL298" s="5"/>
      <c r="CN298" s="40"/>
      <c r="CO298" s="5"/>
      <c r="CQ298" s="40"/>
      <c r="CR298" s="5"/>
    </row>
    <row r="299">
      <c r="AL299" s="40"/>
      <c r="AM299" s="5"/>
      <c r="AO299" s="40"/>
      <c r="AP299" s="5"/>
      <c r="AR299" s="40"/>
      <c r="AS299" s="5"/>
      <c r="AU299" s="40"/>
      <c r="AV299" s="5"/>
      <c r="AX299" s="40"/>
      <c r="AY299" s="5"/>
      <c r="BA299" s="40"/>
      <c r="BB299" s="5"/>
      <c r="BD299" s="40"/>
      <c r="BE299" s="5"/>
      <c r="BG299" s="40"/>
      <c r="BH299" s="5"/>
      <c r="BJ299" s="40"/>
      <c r="BK299" s="5"/>
      <c r="BM299" s="40"/>
      <c r="BN299" s="5"/>
      <c r="BP299" s="40"/>
      <c r="BQ299" s="5"/>
      <c r="BS299" s="40"/>
      <c r="BT299" s="5"/>
      <c r="BV299" s="40"/>
      <c r="BW299" s="5"/>
      <c r="BY299" s="40"/>
      <c r="BZ299" s="5"/>
      <c r="CB299" s="40"/>
      <c r="CC299" s="5"/>
      <c r="CE299" s="40"/>
      <c r="CF299" s="5"/>
      <c r="CH299" s="40"/>
      <c r="CI299" s="5"/>
      <c r="CK299" s="40"/>
      <c r="CL299" s="5"/>
      <c r="CN299" s="40"/>
      <c r="CO299" s="5"/>
      <c r="CQ299" s="40"/>
      <c r="CR299" s="5"/>
    </row>
    <row r="300">
      <c r="AL300" s="40"/>
      <c r="AM300" s="5"/>
      <c r="AO300" s="40"/>
      <c r="AP300" s="5"/>
      <c r="AR300" s="40"/>
      <c r="AS300" s="5"/>
      <c r="AU300" s="40"/>
      <c r="AV300" s="5"/>
      <c r="AX300" s="40"/>
      <c r="AY300" s="5"/>
      <c r="BA300" s="40"/>
      <c r="BB300" s="5"/>
      <c r="BD300" s="40"/>
      <c r="BE300" s="5"/>
      <c r="BG300" s="40"/>
      <c r="BH300" s="5"/>
      <c r="BJ300" s="40"/>
      <c r="BK300" s="5"/>
      <c r="BM300" s="40"/>
      <c r="BN300" s="5"/>
      <c r="BP300" s="40"/>
      <c r="BQ300" s="5"/>
      <c r="BS300" s="40"/>
      <c r="BT300" s="5"/>
      <c r="BV300" s="40"/>
      <c r="BW300" s="5"/>
      <c r="BY300" s="40"/>
      <c r="BZ300" s="5"/>
      <c r="CB300" s="40"/>
      <c r="CC300" s="5"/>
      <c r="CE300" s="40"/>
      <c r="CF300" s="5"/>
      <c r="CH300" s="40"/>
      <c r="CI300" s="5"/>
      <c r="CK300" s="40"/>
      <c r="CL300" s="5"/>
      <c r="CN300" s="40"/>
      <c r="CO300" s="5"/>
      <c r="CQ300" s="40"/>
      <c r="CR300" s="5"/>
    </row>
    <row r="301">
      <c r="AL301" s="40"/>
      <c r="AM301" s="5"/>
      <c r="AO301" s="40"/>
      <c r="AP301" s="5"/>
      <c r="AR301" s="40"/>
      <c r="AS301" s="5"/>
      <c r="AU301" s="40"/>
      <c r="AV301" s="5"/>
      <c r="AX301" s="40"/>
      <c r="AY301" s="5"/>
      <c r="BA301" s="40"/>
      <c r="BB301" s="5"/>
      <c r="BD301" s="40"/>
      <c r="BE301" s="5"/>
      <c r="BG301" s="40"/>
      <c r="BH301" s="5"/>
      <c r="BJ301" s="40"/>
      <c r="BK301" s="5"/>
      <c r="BM301" s="40"/>
      <c r="BN301" s="5"/>
      <c r="BP301" s="40"/>
      <c r="BQ301" s="5"/>
      <c r="BS301" s="40"/>
      <c r="BT301" s="5"/>
      <c r="BV301" s="40"/>
      <c r="BW301" s="5"/>
      <c r="BY301" s="40"/>
      <c r="BZ301" s="5"/>
      <c r="CB301" s="40"/>
      <c r="CC301" s="5"/>
      <c r="CE301" s="40"/>
      <c r="CF301" s="5"/>
      <c r="CH301" s="40"/>
      <c r="CI301" s="5"/>
      <c r="CK301" s="40"/>
      <c r="CL301" s="5"/>
      <c r="CN301" s="40"/>
      <c r="CO301" s="5"/>
      <c r="CQ301" s="40"/>
      <c r="CR301" s="5"/>
    </row>
    <row r="302">
      <c r="AL302" s="40"/>
      <c r="AM302" s="5"/>
      <c r="AO302" s="40"/>
      <c r="AP302" s="5"/>
      <c r="AR302" s="40"/>
      <c r="AS302" s="5"/>
      <c r="AU302" s="40"/>
      <c r="AV302" s="5"/>
      <c r="AX302" s="40"/>
      <c r="AY302" s="5"/>
      <c r="BA302" s="40"/>
      <c r="BB302" s="5"/>
      <c r="BD302" s="40"/>
      <c r="BE302" s="5"/>
      <c r="BG302" s="40"/>
      <c r="BH302" s="5"/>
      <c r="BJ302" s="40"/>
      <c r="BK302" s="5"/>
      <c r="BM302" s="40"/>
      <c r="BN302" s="5"/>
      <c r="BP302" s="40"/>
      <c r="BQ302" s="5"/>
      <c r="BS302" s="40"/>
      <c r="BT302" s="5"/>
      <c r="BV302" s="40"/>
      <c r="BW302" s="5"/>
      <c r="BY302" s="40"/>
      <c r="BZ302" s="5"/>
      <c r="CB302" s="40"/>
      <c r="CC302" s="5"/>
      <c r="CE302" s="40"/>
      <c r="CF302" s="5"/>
      <c r="CH302" s="40"/>
      <c r="CI302" s="5"/>
      <c r="CK302" s="40"/>
      <c r="CL302" s="5"/>
      <c r="CN302" s="40"/>
      <c r="CO302" s="5"/>
      <c r="CQ302" s="40"/>
      <c r="CR302" s="5"/>
    </row>
    <row r="303">
      <c r="AL303" s="40"/>
      <c r="AM303" s="5"/>
      <c r="AO303" s="40"/>
      <c r="AP303" s="5"/>
      <c r="AR303" s="40"/>
      <c r="AS303" s="5"/>
      <c r="AU303" s="40"/>
      <c r="AV303" s="5"/>
      <c r="AX303" s="40"/>
      <c r="AY303" s="5"/>
      <c r="BA303" s="40"/>
      <c r="BB303" s="5"/>
      <c r="BD303" s="40"/>
      <c r="BE303" s="5"/>
      <c r="BG303" s="40"/>
      <c r="BH303" s="5"/>
      <c r="BJ303" s="40"/>
      <c r="BK303" s="5"/>
      <c r="BM303" s="40"/>
      <c r="BN303" s="5"/>
      <c r="BP303" s="40"/>
      <c r="BQ303" s="5"/>
      <c r="BS303" s="40"/>
      <c r="BT303" s="5"/>
      <c r="BV303" s="40"/>
      <c r="BW303" s="5"/>
      <c r="BY303" s="40"/>
      <c r="BZ303" s="5"/>
      <c r="CB303" s="40"/>
      <c r="CC303" s="5"/>
      <c r="CE303" s="40"/>
      <c r="CF303" s="5"/>
      <c r="CH303" s="40"/>
      <c r="CI303" s="5"/>
      <c r="CK303" s="40"/>
      <c r="CL303" s="5"/>
      <c r="CN303" s="40"/>
      <c r="CO303" s="5"/>
      <c r="CQ303" s="40"/>
      <c r="CR303" s="5"/>
    </row>
    <row r="304">
      <c r="AL304" s="40"/>
      <c r="AM304" s="5"/>
      <c r="AO304" s="40"/>
      <c r="AP304" s="5"/>
      <c r="AR304" s="40"/>
      <c r="AS304" s="5"/>
      <c r="AU304" s="40"/>
      <c r="AV304" s="5"/>
      <c r="AX304" s="40"/>
      <c r="AY304" s="5"/>
      <c r="BA304" s="40"/>
      <c r="BB304" s="5"/>
      <c r="BD304" s="40"/>
      <c r="BE304" s="5"/>
      <c r="BG304" s="40"/>
      <c r="BH304" s="5"/>
      <c r="BJ304" s="40"/>
      <c r="BK304" s="5"/>
      <c r="BM304" s="40"/>
      <c r="BN304" s="5"/>
      <c r="BP304" s="40"/>
      <c r="BQ304" s="5"/>
      <c r="BS304" s="40"/>
      <c r="BT304" s="5"/>
      <c r="BV304" s="40"/>
      <c r="BW304" s="5"/>
      <c r="BY304" s="40"/>
      <c r="BZ304" s="5"/>
      <c r="CB304" s="40"/>
      <c r="CC304" s="5"/>
      <c r="CE304" s="40"/>
      <c r="CF304" s="5"/>
      <c r="CH304" s="40"/>
      <c r="CI304" s="5"/>
      <c r="CK304" s="40"/>
      <c r="CL304" s="5"/>
      <c r="CN304" s="40"/>
      <c r="CO304" s="5"/>
      <c r="CQ304" s="40"/>
      <c r="CR304" s="5"/>
    </row>
    <row r="305">
      <c r="AL305" s="40"/>
      <c r="AM305" s="5"/>
      <c r="AO305" s="40"/>
      <c r="AP305" s="5"/>
      <c r="AR305" s="40"/>
      <c r="AS305" s="5"/>
      <c r="AU305" s="40"/>
      <c r="AV305" s="5"/>
      <c r="AX305" s="40"/>
      <c r="AY305" s="5"/>
      <c r="BA305" s="40"/>
      <c r="BB305" s="5"/>
      <c r="BD305" s="40"/>
      <c r="BE305" s="5"/>
      <c r="BG305" s="40"/>
      <c r="BH305" s="5"/>
      <c r="BJ305" s="40"/>
      <c r="BK305" s="5"/>
      <c r="BM305" s="40"/>
      <c r="BN305" s="5"/>
      <c r="BP305" s="40"/>
      <c r="BQ305" s="5"/>
      <c r="BS305" s="40"/>
      <c r="BT305" s="5"/>
      <c r="BV305" s="40"/>
      <c r="BW305" s="5"/>
      <c r="BY305" s="40"/>
      <c r="BZ305" s="5"/>
      <c r="CB305" s="40"/>
      <c r="CC305" s="5"/>
      <c r="CE305" s="40"/>
      <c r="CF305" s="5"/>
      <c r="CH305" s="40"/>
      <c r="CI305" s="5"/>
      <c r="CK305" s="40"/>
      <c r="CL305" s="5"/>
      <c r="CN305" s="40"/>
      <c r="CO305" s="5"/>
      <c r="CQ305" s="40"/>
      <c r="CR305" s="5"/>
    </row>
    <row r="306">
      <c r="AL306" s="40"/>
      <c r="AM306" s="5"/>
      <c r="AO306" s="40"/>
      <c r="AP306" s="5"/>
      <c r="AR306" s="40"/>
      <c r="AS306" s="5"/>
      <c r="AU306" s="40"/>
      <c r="AV306" s="5"/>
      <c r="AX306" s="40"/>
      <c r="AY306" s="5"/>
      <c r="BA306" s="40"/>
      <c r="BB306" s="5"/>
      <c r="BD306" s="40"/>
      <c r="BE306" s="5"/>
      <c r="BG306" s="40"/>
      <c r="BH306" s="5"/>
      <c r="BJ306" s="40"/>
      <c r="BK306" s="5"/>
      <c r="BM306" s="40"/>
      <c r="BN306" s="5"/>
      <c r="BP306" s="40"/>
      <c r="BQ306" s="5"/>
      <c r="BS306" s="40"/>
      <c r="BT306" s="5"/>
      <c r="BV306" s="40"/>
      <c r="BW306" s="5"/>
      <c r="BY306" s="40"/>
      <c r="BZ306" s="5"/>
      <c r="CB306" s="40"/>
      <c r="CC306" s="5"/>
      <c r="CE306" s="40"/>
      <c r="CF306" s="5"/>
      <c r="CH306" s="40"/>
      <c r="CI306" s="5"/>
      <c r="CK306" s="40"/>
      <c r="CL306" s="5"/>
      <c r="CN306" s="40"/>
      <c r="CO306" s="5"/>
      <c r="CQ306" s="40"/>
      <c r="CR306" s="5"/>
    </row>
    <row r="307">
      <c r="AL307" s="40"/>
      <c r="AM307" s="5"/>
      <c r="AO307" s="40"/>
      <c r="AP307" s="5"/>
      <c r="AR307" s="40"/>
      <c r="AS307" s="5"/>
      <c r="AU307" s="40"/>
      <c r="AV307" s="5"/>
      <c r="AX307" s="40"/>
      <c r="AY307" s="5"/>
      <c r="BA307" s="40"/>
      <c r="BB307" s="5"/>
      <c r="BD307" s="40"/>
      <c r="BE307" s="5"/>
      <c r="BG307" s="40"/>
      <c r="BH307" s="5"/>
      <c r="BJ307" s="40"/>
      <c r="BK307" s="5"/>
      <c r="BM307" s="40"/>
      <c r="BN307" s="5"/>
      <c r="BP307" s="40"/>
      <c r="BQ307" s="5"/>
      <c r="BS307" s="40"/>
      <c r="BT307" s="5"/>
      <c r="BV307" s="40"/>
      <c r="BW307" s="5"/>
      <c r="BY307" s="40"/>
      <c r="BZ307" s="5"/>
      <c r="CB307" s="40"/>
      <c r="CC307" s="5"/>
      <c r="CE307" s="40"/>
      <c r="CF307" s="5"/>
      <c r="CH307" s="40"/>
      <c r="CI307" s="5"/>
      <c r="CK307" s="40"/>
      <c r="CL307" s="5"/>
      <c r="CN307" s="40"/>
      <c r="CO307" s="5"/>
      <c r="CQ307" s="40"/>
      <c r="CR307" s="5"/>
    </row>
    <row r="308">
      <c r="AL308" s="40"/>
      <c r="AM308" s="5"/>
      <c r="AO308" s="40"/>
      <c r="AP308" s="5"/>
      <c r="AR308" s="40"/>
      <c r="AS308" s="5"/>
      <c r="AU308" s="40"/>
      <c r="AV308" s="5"/>
      <c r="AX308" s="40"/>
      <c r="AY308" s="5"/>
      <c r="BA308" s="40"/>
      <c r="BB308" s="5"/>
      <c r="BD308" s="40"/>
      <c r="BE308" s="5"/>
      <c r="BG308" s="40"/>
      <c r="BH308" s="5"/>
      <c r="BJ308" s="40"/>
      <c r="BK308" s="5"/>
      <c r="BM308" s="40"/>
      <c r="BN308" s="5"/>
      <c r="BP308" s="40"/>
      <c r="BQ308" s="5"/>
      <c r="BS308" s="40"/>
      <c r="BT308" s="5"/>
      <c r="BV308" s="40"/>
      <c r="BW308" s="5"/>
      <c r="BY308" s="40"/>
      <c r="BZ308" s="5"/>
      <c r="CB308" s="40"/>
      <c r="CC308" s="5"/>
      <c r="CE308" s="40"/>
      <c r="CF308" s="5"/>
      <c r="CH308" s="40"/>
      <c r="CI308" s="5"/>
      <c r="CK308" s="40"/>
      <c r="CL308" s="5"/>
      <c r="CN308" s="40"/>
      <c r="CO308" s="5"/>
      <c r="CQ308" s="40"/>
      <c r="CR308" s="5"/>
    </row>
    <row r="309">
      <c r="AL309" s="40"/>
      <c r="AM309" s="5"/>
      <c r="AO309" s="40"/>
      <c r="AP309" s="5"/>
      <c r="AR309" s="40"/>
      <c r="AS309" s="5"/>
      <c r="AU309" s="40"/>
      <c r="AV309" s="5"/>
      <c r="AX309" s="40"/>
      <c r="AY309" s="5"/>
      <c r="BA309" s="40"/>
      <c r="BB309" s="5"/>
      <c r="BD309" s="40"/>
      <c r="BE309" s="5"/>
      <c r="BG309" s="40"/>
      <c r="BH309" s="5"/>
      <c r="BJ309" s="40"/>
      <c r="BK309" s="5"/>
      <c r="BM309" s="40"/>
      <c r="BN309" s="5"/>
      <c r="BP309" s="40"/>
      <c r="BQ309" s="5"/>
      <c r="BS309" s="40"/>
      <c r="BT309" s="5"/>
      <c r="BV309" s="40"/>
      <c r="BW309" s="5"/>
      <c r="BY309" s="40"/>
      <c r="BZ309" s="5"/>
      <c r="CB309" s="40"/>
      <c r="CC309" s="5"/>
      <c r="CE309" s="40"/>
      <c r="CF309" s="5"/>
      <c r="CH309" s="40"/>
      <c r="CI309" s="5"/>
      <c r="CK309" s="40"/>
      <c r="CL309" s="5"/>
      <c r="CN309" s="40"/>
      <c r="CO309" s="5"/>
      <c r="CQ309" s="40"/>
      <c r="CR309" s="5"/>
    </row>
    <row r="310">
      <c r="AL310" s="40"/>
      <c r="AM310" s="5"/>
      <c r="AO310" s="40"/>
      <c r="AP310" s="5"/>
      <c r="AR310" s="40"/>
      <c r="AS310" s="5"/>
      <c r="AU310" s="40"/>
      <c r="AV310" s="5"/>
      <c r="AX310" s="40"/>
      <c r="AY310" s="5"/>
      <c r="BA310" s="40"/>
      <c r="BB310" s="5"/>
      <c r="BD310" s="40"/>
      <c r="BE310" s="5"/>
      <c r="BG310" s="40"/>
      <c r="BH310" s="5"/>
      <c r="BJ310" s="40"/>
      <c r="BK310" s="5"/>
      <c r="BM310" s="40"/>
      <c r="BN310" s="5"/>
      <c r="BP310" s="40"/>
      <c r="BQ310" s="5"/>
      <c r="BS310" s="40"/>
      <c r="BT310" s="5"/>
      <c r="BV310" s="40"/>
      <c r="BW310" s="5"/>
      <c r="BY310" s="40"/>
      <c r="BZ310" s="5"/>
      <c r="CB310" s="40"/>
      <c r="CC310" s="5"/>
      <c r="CE310" s="40"/>
      <c r="CF310" s="5"/>
      <c r="CH310" s="40"/>
      <c r="CI310" s="5"/>
      <c r="CK310" s="40"/>
      <c r="CL310" s="5"/>
      <c r="CN310" s="40"/>
      <c r="CO310" s="5"/>
      <c r="CQ310" s="40"/>
      <c r="CR310" s="5"/>
    </row>
    <row r="311">
      <c r="AL311" s="40"/>
      <c r="AM311" s="5"/>
      <c r="AO311" s="40"/>
      <c r="AP311" s="5"/>
      <c r="AR311" s="40"/>
      <c r="AS311" s="5"/>
      <c r="AU311" s="40"/>
      <c r="AV311" s="5"/>
      <c r="AX311" s="40"/>
      <c r="AY311" s="5"/>
      <c r="BA311" s="40"/>
      <c r="BB311" s="5"/>
      <c r="BD311" s="40"/>
      <c r="BE311" s="5"/>
      <c r="BG311" s="40"/>
      <c r="BH311" s="5"/>
      <c r="BJ311" s="40"/>
      <c r="BK311" s="5"/>
      <c r="BM311" s="40"/>
      <c r="BN311" s="5"/>
      <c r="BP311" s="40"/>
      <c r="BQ311" s="5"/>
      <c r="BS311" s="40"/>
      <c r="BT311" s="5"/>
      <c r="BV311" s="40"/>
      <c r="BW311" s="5"/>
      <c r="BY311" s="40"/>
      <c r="BZ311" s="5"/>
      <c r="CB311" s="40"/>
      <c r="CC311" s="5"/>
      <c r="CE311" s="40"/>
      <c r="CF311" s="5"/>
      <c r="CH311" s="40"/>
      <c r="CI311" s="5"/>
      <c r="CK311" s="40"/>
      <c r="CL311" s="5"/>
      <c r="CN311" s="40"/>
      <c r="CO311" s="5"/>
      <c r="CQ311" s="40"/>
      <c r="CR311" s="5"/>
    </row>
    <row r="312">
      <c r="AL312" s="40"/>
      <c r="AM312" s="5"/>
      <c r="AO312" s="40"/>
      <c r="AP312" s="5"/>
      <c r="AR312" s="40"/>
      <c r="AS312" s="5"/>
      <c r="AU312" s="40"/>
      <c r="AV312" s="5"/>
      <c r="AX312" s="40"/>
      <c r="AY312" s="5"/>
      <c r="BA312" s="40"/>
      <c r="BB312" s="5"/>
      <c r="BD312" s="40"/>
      <c r="BE312" s="5"/>
      <c r="BG312" s="40"/>
      <c r="BH312" s="5"/>
      <c r="BJ312" s="40"/>
      <c r="BK312" s="5"/>
      <c r="BM312" s="40"/>
      <c r="BN312" s="5"/>
      <c r="BP312" s="40"/>
      <c r="BQ312" s="5"/>
      <c r="BS312" s="40"/>
      <c r="BT312" s="5"/>
      <c r="BV312" s="40"/>
      <c r="BW312" s="5"/>
      <c r="BY312" s="40"/>
      <c r="BZ312" s="5"/>
      <c r="CB312" s="40"/>
      <c r="CC312" s="5"/>
      <c r="CE312" s="40"/>
      <c r="CF312" s="5"/>
      <c r="CH312" s="40"/>
      <c r="CI312" s="5"/>
      <c r="CK312" s="40"/>
      <c r="CL312" s="5"/>
      <c r="CN312" s="40"/>
      <c r="CO312" s="5"/>
      <c r="CQ312" s="40"/>
      <c r="CR312" s="5"/>
    </row>
    <row r="313">
      <c r="AL313" s="40"/>
      <c r="AM313" s="5"/>
      <c r="AO313" s="40"/>
      <c r="AP313" s="5"/>
      <c r="AR313" s="40"/>
      <c r="AS313" s="5"/>
      <c r="AU313" s="40"/>
      <c r="AV313" s="5"/>
      <c r="AX313" s="40"/>
      <c r="AY313" s="5"/>
      <c r="BA313" s="40"/>
      <c r="BB313" s="5"/>
      <c r="BD313" s="40"/>
      <c r="BE313" s="5"/>
      <c r="BG313" s="40"/>
      <c r="BH313" s="5"/>
      <c r="BJ313" s="40"/>
      <c r="BK313" s="5"/>
      <c r="BM313" s="40"/>
      <c r="BN313" s="5"/>
      <c r="BP313" s="40"/>
      <c r="BQ313" s="5"/>
      <c r="BS313" s="40"/>
      <c r="BT313" s="5"/>
      <c r="BV313" s="40"/>
      <c r="BW313" s="5"/>
      <c r="BY313" s="40"/>
      <c r="BZ313" s="5"/>
      <c r="CB313" s="40"/>
      <c r="CC313" s="5"/>
      <c r="CE313" s="40"/>
      <c r="CF313" s="5"/>
      <c r="CH313" s="40"/>
      <c r="CI313" s="5"/>
      <c r="CK313" s="40"/>
      <c r="CL313" s="5"/>
      <c r="CN313" s="40"/>
      <c r="CO313" s="5"/>
      <c r="CQ313" s="40"/>
      <c r="CR313" s="5"/>
    </row>
    <row r="314">
      <c r="AL314" s="40"/>
      <c r="AM314" s="5"/>
      <c r="AO314" s="40"/>
      <c r="AP314" s="5"/>
      <c r="AR314" s="40"/>
      <c r="AS314" s="5"/>
      <c r="AU314" s="40"/>
      <c r="AV314" s="5"/>
      <c r="AX314" s="40"/>
      <c r="AY314" s="5"/>
      <c r="BA314" s="40"/>
      <c r="BB314" s="5"/>
      <c r="BD314" s="40"/>
      <c r="BE314" s="5"/>
      <c r="BG314" s="40"/>
      <c r="BH314" s="5"/>
      <c r="BJ314" s="40"/>
      <c r="BK314" s="5"/>
      <c r="BM314" s="40"/>
      <c r="BN314" s="5"/>
      <c r="BP314" s="40"/>
      <c r="BQ314" s="5"/>
      <c r="BS314" s="40"/>
      <c r="BT314" s="5"/>
      <c r="BV314" s="40"/>
      <c r="BW314" s="5"/>
      <c r="BY314" s="40"/>
      <c r="BZ314" s="5"/>
      <c r="CB314" s="40"/>
      <c r="CC314" s="5"/>
      <c r="CE314" s="40"/>
      <c r="CF314" s="5"/>
      <c r="CH314" s="40"/>
      <c r="CI314" s="5"/>
      <c r="CK314" s="40"/>
      <c r="CL314" s="5"/>
      <c r="CN314" s="40"/>
      <c r="CO314" s="5"/>
      <c r="CQ314" s="40"/>
      <c r="CR314" s="5"/>
    </row>
    <row r="315">
      <c r="AL315" s="40"/>
      <c r="AM315" s="5"/>
      <c r="AO315" s="40"/>
      <c r="AP315" s="5"/>
      <c r="AR315" s="40"/>
      <c r="AS315" s="5"/>
      <c r="AU315" s="40"/>
      <c r="AV315" s="5"/>
      <c r="AX315" s="40"/>
      <c r="AY315" s="5"/>
      <c r="BA315" s="40"/>
      <c r="BB315" s="5"/>
      <c r="BD315" s="40"/>
      <c r="BE315" s="5"/>
      <c r="BG315" s="40"/>
      <c r="BH315" s="5"/>
      <c r="BJ315" s="40"/>
      <c r="BK315" s="5"/>
      <c r="BM315" s="40"/>
      <c r="BN315" s="5"/>
      <c r="BP315" s="40"/>
      <c r="BQ315" s="5"/>
      <c r="BS315" s="40"/>
      <c r="BT315" s="5"/>
      <c r="BV315" s="40"/>
      <c r="BW315" s="5"/>
      <c r="BY315" s="40"/>
      <c r="BZ315" s="5"/>
      <c r="CB315" s="40"/>
      <c r="CC315" s="5"/>
      <c r="CE315" s="40"/>
      <c r="CF315" s="5"/>
      <c r="CH315" s="40"/>
      <c r="CI315" s="5"/>
      <c r="CK315" s="40"/>
      <c r="CL315" s="5"/>
      <c r="CN315" s="40"/>
      <c r="CO315" s="5"/>
      <c r="CQ315" s="40"/>
      <c r="CR315" s="5"/>
    </row>
    <row r="316">
      <c r="AL316" s="40"/>
      <c r="AM316" s="5"/>
      <c r="AO316" s="40"/>
      <c r="AP316" s="5"/>
      <c r="AR316" s="40"/>
      <c r="AS316" s="5"/>
      <c r="AU316" s="40"/>
      <c r="AV316" s="5"/>
      <c r="AX316" s="40"/>
      <c r="AY316" s="5"/>
      <c r="BA316" s="40"/>
      <c r="BB316" s="5"/>
      <c r="BD316" s="40"/>
      <c r="BE316" s="5"/>
      <c r="BG316" s="40"/>
      <c r="BH316" s="5"/>
      <c r="BJ316" s="40"/>
      <c r="BK316" s="5"/>
      <c r="BM316" s="40"/>
      <c r="BN316" s="5"/>
      <c r="BP316" s="40"/>
      <c r="BQ316" s="5"/>
      <c r="BS316" s="40"/>
      <c r="BT316" s="5"/>
      <c r="BV316" s="40"/>
      <c r="BW316" s="5"/>
      <c r="BY316" s="40"/>
      <c r="BZ316" s="5"/>
      <c r="CB316" s="40"/>
      <c r="CC316" s="5"/>
      <c r="CE316" s="40"/>
      <c r="CF316" s="5"/>
      <c r="CH316" s="40"/>
      <c r="CI316" s="5"/>
      <c r="CK316" s="40"/>
      <c r="CL316" s="5"/>
      <c r="CN316" s="40"/>
      <c r="CO316" s="5"/>
      <c r="CQ316" s="40"/>
      <c r="CR316" s="5"/>
    </row>
    <row r="317">
      <c r="AL317" s="40"/>
      <c r="AM317" s="5"/>
      <c r="AO317" s="40"/>
      <c r="AP317" s="5"/>
      <c r="AR317" s="40"/>
      <c r="AS317" s="5"/>
      <c r="AU317" s="40"/>
      <c r="AV317" s="5"/>
      <c r="AX317" s="40"/>
      <c r="AY317" s="5"/>
      <c r="BA317" s="40"/>
      <c r="BB317" s="5"/>
      <c r="BD317" s="40"/>
      <c r="BE317" s="5"/>
      <c r="BG317" s="40"/>
      <c r="BH317" s="5"/>
      <c r="BJ317" s="40"/>
      <c r="BK317" s="5"/>
      <c r="BM317" s="40"/>
      <c r="BN317" s="5"/>
      <c r="BP317" s="40"/>
      <c r="BQ317" s="5"/>
      <c r="BS317" s="40"/>
      <c r="BT317" s="5"/>
      <c r="BV317" s="40"/>
      <c r="BW317" s="5"/>
      <c r="BY317" s="40"/>
      <c r="BZ317" s="5"/>
      <c r="CB317" s="40"/>
      <c r="CC317" s="5"/>
      <c r="CE317" s="40"/>
      <c r="CF317" s="5"/>
      <c r="CH317" s="40"/>
      <c r="CI317" s="5"/>
      <c r="CK317" s="40"/>
      <c r="CL317" s="5"/>
      <c r="CN317" s="40"/>
      <c r="CO317" s="5"/>
      <c r="CQ317" s="40"/>
      <c r="CR317" s="5"/>
    </row>
    <row r="318">
      <c r="AL318" s="40"/>
      <c r="AM318" s="5"/>
      <c r="AO318" s="40"/>
      <c r="AP318" s="5"/>
      <c r="AR318" s="40"/>
      <c r="AS318" s="5"/>
      <c r="AU318" s="40"/>
      <c r="AV318" s="5"/>
      <c r="AX318" s="40"/>
      <c r="AY318" s="5"/>
      <c r="BA318" s="40"/>
      <c r="BB318" s="5"/>
      <c r="BD318" s="40"/>
      <c r="BE318" s="5"/>
      <c r="BG318" s="40"/>
      <c r="BH318" s="5"/>
      <c r="BJ318" s="40"/>
      <c r="BK318" s="5"/>
      <c r="BM318" s="40"/>
      <c r="BN318" s="5"/>
      <c r="BP318" s="40"/>
      <c r="BQ318" s="5"/>
      <c r="BS318" s="40"/>
      <c r="BT318" s="5"/>
      <c r="BV318" s="40"/>
      <c r="BW318" s="5"/>
      <c r="BY318" s="40"/>
      <c r="BZ318" s="5"/>
      <c r="CB318" s="40"/>
      <c r="CC318" s="5"/>
      <c r="CE318" s="40"/>
      <c r="CF318" s="5"/>
      <c r="CH318" s="40"/>
      <c r="CI318" s="5"/>
      <c r="CK318" s="40"/>
      <c r="CL318" s="5"/>
      <c r="CN318" s="40"/>
      <c r="CO318" s="5"/>
      <c r="CQ318" s="40"/>
      <c r="CR318" s="5"/>
    </row>
    <row r="319">
      <c r="AL319" s="40"/>
      <c r="AM319" s="5"/>
      <c r="AO319" s="40"/>
      <c r="AP319" s="5"/>
      <c r="AR319" s="40"/>
      <c r="AS319" s="5"/>
      <c r="AU319" s="40"/>
      <c r="AV319" s="5"/>
      <c r="AX319" s="40"/>
      <c r="AY319" s="5"/>
      <c r="BA319" s="40"/>
      <c r="BB319" s="5"/>
      <c r="BD319" s="40"/>
      <c r="BE319" s="5"/>
      <c r="BG319" s="40"/>
      <c r="BH319" s="5"/>
      <c r="BJ319" s="40"/>
      <c r="BK319" s="5"/>
      <c r="BM319" s="40"/>
      <c r="BN319" s="5"/>
      <c r="BP319" s="40"/>
      <c r="BQ319" s="5"/>
      <c r="BS319" s="40"/>
      <c r="BT319" s="5"/>
      <c r="BV319" s="40"/>
      <c r="BW319" s="5"/>
      <c r="BY319" s="40"/>
      <c r="BZ319" s="5"/>
      <c r="CB319" s="40"/>
      <c r="CC319" s="5"/>
      <c r="CE319" s="40"/>
      <c r="CF319" s="5"/>
      <c r="CH319" s="40"/>
      <c r="CI319" s="5"/>
      <c r="CK319" s="40"/>
      <c r="CL319" s="5"/>
      <c r="CN319" s="40"/>
      <c r="CO319" s="5"/>
      <c r="CQ319" s="40"/>
      <c r="CR319" s="5"/>
    </row>
    <row r="320">
      <c r="AL320" s="40"/>
      <c r="AM320" s="5"/>
      <c r="AO320" s="40"/>
      <c r="AP320" s="5"/>
      <c r="AR320" s="40"/>
      <c r="AS320" s="5"/>
      <c r="AU320" s="40"/>
      <c r="AV320" s="5"/>
      <c r="AX320" s="40"/>
      <c r="AY320" s="5"/>
      <c r="BA320" s="40"/>
      <c r="BB320" s="5"/>
      <c r="BD320" s="40"/>
      <c r="BE320" s="5"/>
      <c r="BG320" s="40"/>
      <c r="BH320" s="5"/>
      <c r="BJ320" s="40"/>
      <c r="BK320" s="5"/>
      <c r="BM320" s="40"/>
      <c r="BN320" s="5"/>
      <c r="BP320" s="40"/>
      <c r="BQ320" s="5"/>
      <c r="BS320" s="40"/>
      <c r="BT320" s="5"/>
      <c r="BV320" s="40"/>
      <c r="BW320" s="5"/>
      <c r="BY320" s="40"/>
      <c r="BZ320" s="5"/>
      <c r="CB320" s="40"/>
      <c r="CC320" s="5"/>
      <c r="CE320" s="40"/>
      <c r="CF320" s="5"/>
      <c r="CH320" s="40"/>
      <c r="CI320" s="5"/>
      <c r="CK320" s="40"/>
      <c r="CL320" s="5"/>
      <c r="CN320" s="40"/>
      <c r="CO320" s="5"/>
      <c r="CQ320" s="40"/>
      <c r="CR320" s="5"/>
    </row>
    <row r="321">
      <c r="AL321" s="40"/>
      <c r="AM321" s="5"/>
      <c r="AO321" s="40"/>
      <c r="AP321" s="5"/>
      <c r="AR321" s="40"/>
      <c r="AS321" s="5"/>
      <c r="AU321" s="40"/>
      <c r="AV321" s="5"/>
      <c r="AX321" s="40"/>
      <c r="AY321" s="5"/>
      <c r="BA321" s="40"/>
      <c r="BB321" s="5"/>
      <c r="BD321" s="40"/>
      <c r="BE321" s="5"/>
      <c r="BG321" s="40"/>
      <c r="BH321" s="5"/>
      <c r="BJ321" s="40"/>
      <c r="BK321" s="5"/>
      <c r="BM321" s="40"/>
      <c r="BN321" s="5"/>
      <c r="BP321" s="40"/>
      <c r="BQ321" s="5"/>
      <c r="BS321" s="40"/>
      <c r="BT321" s="5"/>
      <c r="BV321" s="40"/>
      <c r="BW321" s="5"/>
      <c r="BY321" s="40"/>
      <c r="BZ321" s="5"/>
      <c r="CB321" s="40"/>
      <c r="CC321" s="5"/>
      <c r="CE321" s="40"/>
      <c r="CF321" s="5"/>
      <c r="CH321" s="40"/>
      <c r="CI321" s="5"/>
      <c r="CK321" s="40"/>
      <c r="CL321" s="5"/>
      <c r="CN321" s="40"/>
      <c r="CO321" s="5"/>
      <c r="CQ321" s="40"/>
      <c r="CR321" s="5"/>
    </row>
    <row r="322">
      <c r="AL322" s="40"/>
      <c r="AM322" s="5"/>
      <c r="AO322" s="40"/>
      <c r="AP322" s="5"/>
      <c r="AR322" s="40"/>
      <c r="AS322" s="5"/>
      <c r="AU322" s="40"/>
      <c r="AV322" s="5"/>
      <c r="AX322" s="40"/>
      <c r="AY322" s="5"/>
      <c r="BA322" s="40"/>
      <c r="BB322" s="5"/>
      <c r="BD322" s="40"/>
      <c r="BE322" s="5"/>
      <c r="BG322" s="40"/>
      <c r="BH322" s="5"/>
      <c r="BJ322" s="40"/>
      <c r="BK322" s="5"/>
      <c r="BM322" s="40"/>
      <c r="BN322" s="5"/>
      <c r="BP322" s="40"/>
      <c r="BQ322" s="5"/>
      <c r="BS322" s="40"/>
      <c r="BT322" s="5"/>
      <c r="BV322" s="40"/>
      <c r="BW322" s="5"/>
      <c r="BY322" s="40"/>
      <c r="BZ322" s="5"/>
      <c r="CB322" s="40"/>
      <c r="CC322" s="5"/>
      <c r="CE322" s="40"/>
      <c r="CF322" s="5"/>
      <c r="CH322" s="40"/>
      <c r="CI322" s="5"/>
      <c r="CK322" s="40"/>
      <c r="CL322" s="5"/>
      <c r="CN322" s="40"/>
      <c r="CO322" s="5"/>
      <c r="CQ322" s="40"/>
      <c r="CR322" s="5"/>
    </row>
    <row r="323">
      <c r="AL323" s="40"/>
      <c r="AM323" s="5"/>
      <c r="AO323" s="40"/>
      <c r="AP323" s="5"/>
      <c r="AR323" s="40"/>
      <c r="AS323" s="5"/>
      <c r="AU323" s="40"/>
      <c r="AV323" s="5"/>
      <c r="AX323" s="40"/>
      <c r="AY323" s="5"/>
      <c r="BA323" s="40"/>
      <c r="BB323" s="5"/>
      <c r="BD323" s="40"/>
      <c r="BE323" s="5"/>
      <c r="BG323" s="40"/>
      <c r="BH323" s="5"/>
      <c r="BJ323" s="40"/>
      <c r="BK323" s="5"/>
      <c r="BM323" s="40"/>
      <c r="BN323" s="5"/>
      <c r="BP323" s="40"/>
      <c r="BQ323" s="5"/>
      <c r="BS323" s="40"/>
      <c r="BT323" s="5"/>
      <c r="BV323" s="40"/>
      <c r="BW323" s="5"/>
      <c r="BY323" s="40"/>
      <c r="BZ323" s="5"/>
      <c r="CB323" s="40"/>
      <c r="CC323" s="5"/>
      <c r="CE323" s="40"/>
      <c r="CF323" s="5"/>
      <c r="CH323" s="40"/>
      <c r="CI323" s="5"/>
      <c r="CK323" s="40"/>
      <c r="CL323" s="5"/>
      <c r="CN323" s="40"/>
      <c r="CO323" s="5"/>
      <c r="CQ323" s="40"/>
      <c r="CR323" s="5"/>
    </row>
    <row r="324">
      <c r="AL324" s="40"/>
      <c r="AM324" s="5"/>
      <c r="AO324" s="40"/>
      <c r="AP324" s="5"/>
      <c r="AR324" s="40"/>
      <c r="AS324" s="5"/>
      <c r="AU324" s="40"/>
      <c r="AV324" s="5"/>
      <c r="AX324" s="40"/>
      <c r="AY324" s="5"/>
      <c r="BA324" s="40"/>
      <c r="BB324" s="5"/>
      <c r="BD324" s="40"/>
      <c r="BE324" s="5"/>
      <c r="BG324" s="40"/>
      <c r="BH324" s="5"/>
      <c r="BJ324" s="40"/>
      <c r="BK324" s="5"/>
      <c r="BM324" s="40"/>
      <c r="BN324" s="5"/>
      <c r="BP324" s="40"/>
      <c r="BQ324" s="5"/>
      <c r="BS324" s="40"/>
      <c r="BT324" s="5"/>
      <c r="BV324" s="40"/>
      <c r="BW324" s="5"/>
      <c r="BY324" s="40"/>
      <c r="BZ324" s="5"/>
      <c r="CB324" s="40"/>
      <c r="CC324" s="5"/>
      <c r="CE324" s="40"/>
      <c r="CF324" s="5"/>
      <c r="CH324" s="40"/>
      <c r="CI324" s="5"/>
      <c r="CK324" s="40"/>
      <c r="CL324" s="5"/>
      <c r="CN324" s="40"/>
      <c r="CO324" s="5"/>
      <c r="CQ324" s="40"/>
      <c r="CR324" s="5"/>
    </row>
    <row r="325">
      <c r="AL325" s="40"/>
      <c r="AM325" s="5"/>
      <c r="AO325" s="40"/>
      <c r="AP325" s="5"/>
      <c r="AR325" s="40"/>
      <c r="AS325" s="5"/>
      <c r="AU325" s="40"/>
      <c r="AV325" s="5"/>
      <c r="AX325" s="40"/>
      <c r="AY325" s="5"/>
      <c r="BA325" s="40"/>
      <c r="BB325" s="5"/>
      <c r="BD325" s="40"/>
      <c r="BE325" s="5"/>
      <c r="BG325" s="40"/>
      <c r="BH325" s="5"/>
      <c r="BJ325" s="40"/>
      <c r="BK325" s="5"/>
      <c r="BM325" s="40"/>
      <c r="BN325" s="5"/>
      <c r="BP325" s="40"/>
      <c r="BQ325" s="5"/>
      <c r="BS325" s="40"/>
      <c r="BT325" s="5"/>
      <c r="BV325" s="40"/>
      <c r="BW325" s="5"/>
      <c r="BY325" s="40"/>
      <c r="BZ325" s="5"/>
      <c r="CB325" s="40"/>
      <c r="CC325" s="5"/>
      <c r="CE325" s="40"/>
      <c r="CF325" s="5"/>
      <c r="CH325" s="40"/>
      <c r="CI325" s="5"/>
      <c r="CK325" s="40"/>
      <c r="CL325" s="5"/>
      <c r="CN325" s="40"/>
      <c r="CO325" s="5"/>
      <c r="CQ325" s="40"/>
      <c r="CR325" s="5"/>
    </row>
    <row r="326">
      <c r="AL326" s="40"/>
      <c r="AM326" s="5"/>
      <c r="AO326" s="40"/>
      <c r="AP326" s="5"/>
      <c r="AR326" s="40"/>
      <c r="AS326" s="5"/>
      <c r="AU326" s="40"/>
      <c r="AV326" s="5"/>
      <c r="AX326" s="40"/>
      <c r="AY326" s="5"/>
      <c r="BA326" s="40"/>
      <c r="BB326" s="5"/>
      <c r="BD326" s="40"/>
      <c r="BE326" s="5"/>
      <c r="BG326" s="40"/>
      <c r="BH326" s="5"/>
      <c r="BJ326" s="40"/>
      <c r="BK326" s="5"/>
      <c r="BM326" s="40"/>
      <c r="BN326" s="5"/>
      <c r="BP326" s="40"/>
      <c r="BQ326" s="5"/>
      <c r="BS326" s="40"/>
      <c r="BT326" s="5"/>
      <c r="BV326" s="40"/>
      <c r="BW326" s="5"/>
      <c r="BY326" s="40"/>
      <c r="BZ326" s="5"/>
      <c r="CB326" s="40"/>
      <c r="CC326" s="5"/>
      <c r="CE326" s="40"/>
      <c r="CF326" s="5"/>
      <c r="CH326" s="40"/>
      <c r="CI326" s="5"/>
      <c r="CK326" s="40"/>
      <c r="CL326" s="5"/>
      <c r="CN326" s="40"/>
      <c r="CO326" s="5"/>
      <c r="CQ326" s="40"/>
      <c r="CR326" s="5"/>
    </row>
    <row r="327">
      <c r="AL327" s="40"/>
      <c r="AM327" s="5"/>
      <c r="AO327" s="40"/>
      <c r="AP327" s="5"/>
      <c r="AR327" s="40"/>
      <c r="AS327" s="5"/>
      <c r="AU327" s="40"/>
      <c r="AV327" s="5"/>
      <c r="AX327" s="40"/>
      <c r="AY327" s="5"/>
      <c r="BA327" s="40"/>
      <c r="BB327" s="5"/>
      <c r="BD327" s="40"/>
      <c r="BE327" s="5"/>
      <c r="BG327" s="40"/>
      <c r="BH327" s="5"/>
      <c r="BJ327" s="40"/>
      <c r="BK327" s="5"/>
      <c r="BM327" s="40"/>
      <c r="BN327" s="5"/>
      <c r="BP327" s="40"/>
      <c r="BQ327" s="5"/>
      <c r="BS327" s="40"/>
      <c r="BT327" s="5"/>
      <c r="BV327" s="40"/>
      <c r="BW327" s="5"/>
      <c r="BY327" s="40"/>
      <c r="BZ327" s="5"/>
      <c r="CB327" s="40"/>
      <c r="CC327" s="5"/>
      <c r="CE327" s="40"/>
      <c r="CF327" s="5"/>
      <c r="CH327" s="40"/>
      <c r="CI327" s="5"/>
      <c r="CK327" s="40"/>
      <c r="CL327" s="5"/>
      <c r="CN327" s="40"/>
      <c r="CO327" s="5"/>
      <c r="CQ327" s="40"/>
      <c r="CR327" s="5"/>
    </row>
    <row r="328">
      <c r="AL328" s="40"/>
      <c r="AM328" s="5"/>
      <c r="AO328" s="40"/>
      <c r="AP328" s="5"/>
      <c r="AR328" s="40"/>
      <c r="AS328" s="5"/>
      <c r="AU328" s="40"/>
      <c r="AV328" s="5"/>
      <c r="AX328" s="40"/>
      <c r="AY328" s="5"/>
      <c r="BA328" s="40"/>
      <c r="BB328" s="5"/>
      <c r="BD328" s="40"/>
      <c r="BE328" s="5"/>
      <c r="BG328" s="40"/>
      <c r="BH328" s="5"/>
      <c r="BJ328" s="40"/>
      <c r="BK328" s="5"/>
      <c r="BM328" s="40"/>
      <c r="BN328" s="5"/>
      <c r="BP328" s="40"/>
      <c r="BQ328" s="5"/>
      <c r="BS328" s="40"/>
      <c r="BT328" s="5"/>
      <c r="BV328" s="40"/>
      <c r="BW328" s="5"/>
      <c r="BY328" s="40"/>
      <c r="BZ328" s="5"/>
      <c r="CB328" s="40"/>
      <c r="CC328" s="5"/>
      <c r="CE328" s="40"/>
      <c r="CF328" s="5"/>
      <c r="CH328" s="40"/>
      <c r="CI328" s="5"/>
      <c r="CK328" s="40"/>
      <c r="CL328" s="5"/>
      <c r="CN328" s="40"/>
      <c r="CO328" s="5"/>
      <c r="CQ328" s="40"/>
      <c r="CR328" s="5"/>
    </row>
    <row r="329">
      <c r="AL329" s="40"/>
      <c r="AM329" s="5"/>
      <c r="AO329" s="40"/>
      <c r="AP329" s="5"/>
      <c r="AR329" s="40"/>
      <c r="AS329" s="5"/>
      <c r="AU329" s="40"/>
      <c r="AV329" s="5"/>
      <c r="AX329" s="40"/>
      <c r="AY329" s="5"/>
      <c r="BA329" s="40"/>
      <c r="BB329" s="5"/>
      <c r="BD329" s="40"/>
      <c r="BE329" s="5"/>
      <c r="BG329" s="40"/>
      <c r="BH329" s="5"/>
      <c r="BJ329" s="40"/>
      <c r="BK329" s="5"/>
      <c r="BM329" s="40"/>
      <c r="BN329" s="5"/>
      <c r="BP329" s="40"/>
      <c r="BQ329" s="5"/>
      <c r="BS329" s="40"/>
      <c r="BT329" s="5"/>
      <c r="BV329" s="40"/>
      <c r="BW329" s="5"/>
      <c r="BY329" s="40"/>
      <c r="BZ329" s="5"/>
      <c r="CB329" s="40"/>
      <c r="CC329" s="5"/>
      <c r="CE329" s="40"/>
      <c r="CF329" s="5"/>
      <c r="CH329" s="40"/>
      <c r="CI329" s="5"/>
      <c r="CK329" s="40"/>
      <c r="CL329" s="5"/>
      <c r="CN329" s="40"/>
      <c r="CO329" s="5"/>
      <c r="CQ329" s="40"/>
      <c r="CR329" s="5"/>
    </row>
    <row r="330">
      <c r="AL330" s="40"/>
      <c r="AM330" s="5"/>
      <c r="AO330" s="40"/>
      <c r="AP330" s="5"/>
      <c r="AR330" s="40"/>
      <c r="AS330" s="5"/>
      <c r="AU330" s="40"/>
      <c r="AV330" s="5"/>
      <c r="AX330" s="40"/>
      <c r="AY330" s="5"/>
      <c r="BA330" s="40"/>
      <c r="BB330" s="5"/>
      <c r="BD330" s="40"/>
      <c r="BE330" s="5"/>
      <c r="BG330" s="40"/>
      <c r="BH330" s="5"/>
      <c r="BJ330" s="40"/>
      <c r="BK330" s="5"/>
      <c r="BM330" s="40"/>
      <c r="BN330" s="5"/>
      <c r="BP330" s="40"/>
      <c r="BQ330" s="5"/>
      <c r="BS330" s="40"/>
      <c r="BT330" s="5"/>
      <c r="BV330" s="40"/>
      <c r="BW330" s="5"/>
      <c r="BY330" s="40"/>
      <c r="BZ330" s="5"/>
      <c r="CB330" s="40"/>
      <c r="CC330" s="5"/>
      <c r="CE330" s="40"/>
      <c r="CF330" s="5"/>
      <c r="CH330" s="40"/>
      <c r="CI330" s="5"/>
      <c r="CK330" s="40"/>
      <c r="CL330" s="5"/>
      <c r="CN330" s="40"/>
      <c r="CO330" s="5"/>
      <c r="CQ330" s="40"/>
      <c r="CR330" s="5"/>
    </row>
    <row r="331">
      <c r="AL331" s="40"/>
      <c r="AM331" s="5"/>
      <c r="AO331" s="40"/>
      <c r="AP331" s="5"/>
      <c r="AR331" s="40"/>
      <c r="AS331" s="5"/>
      <c r="AU331" s="40"/>
      <c r="AV331" s="5"/>
      <c r="AX331" s="40"/>
      <c r="AY331" s="5"/>
      <c r="BA331" s="40"/>
      <c r="BB331" s="5"/>
      <c r="BD331" s="40"/>
      <c r="BE331" s="5"/>
      <c r="BG331" s="40"/>
      <c r="BH331" s="5"/>
      <c r="BJ331" s="40"/>
      <c r="BK331" s="5"/>
      <c r="BM331" s="40"/>
      <c r="BN331" s="5"/>
      <c r="BP331" s="40"/>
      <c r="BQ331" s="5"/>
      <c r="BS331" s="40"/>
      <c r="BT331" s="5"/>
      <c r="BV331" s="40"/>
      <c r="BW331" s="5"/>
      <c r="BY331" s="40"/>
      <c r="BZ331" s="5"/>
      <c r="CB331" s="40"/>
      <c r="CC331" s="5"/>
      <c r="CE331" s="40"/>
      <c r="CF331" s="5"/>
      <c r="CH331" s="40"/>
      <c r="CI331" s="5"/>
      <c r="CK331" s="40"/>
      <c r="CL331" s="5"/>
      <c r="CN331" s="40"/>
      <c r="CO331" s="5"/>
      <c r="CQ331" s="40"/>
      <c r="CR331" s="5"/>
    </row>
    <row r="332">
      <c r="AL332" s="40"/>
      <c r="AM332" s="5"/>
      <c r="AO332" s="40"/>
      <c r="AP332" s="5"/>
      <c r="AR332" s="40"/>
      <c r="AS332" s="5"/>
      <c r="AU332" s="40"/>
      <c r="AV332" s="5"/>
      <c r="AX332" s="40"/>
      <c r="AY332" s="5"/>
      <c r="BA332" s="40"/>
      <c r="BB332" s="5"/>
      <c r="BD332" s="40"/>
      <c r="BE332" s="5"/>
      <c r="BG332" s="40"/>
      <c r="BH332" s="5"/>
      <c r="BJ332" s="40"/>
      <c r="BK332" s="5"/>
      <c r="BM332" s="40"/>
      <c r="BN332" s="5"/>
      <c r="BP332" s="40"/>
      <c r="BQ332" s="5"/>
      <c r="BS332" s="40"/>
      <c r="BT332" s="5"/>
      <c r="BV332" s="40"/>
      <c r="BW332" s="5"/>
      <c r="BY332" s="40"/>
      <c r="BZ332" s="5"/>
      <c r="CB332" s="40"/>
      <c r="CC332" s="5"/>
      <c r="CE332" s="40"/>
      <c r="CF332" s="5"/>
      <c r="CH332" s="40"/>
      <c r="CI332" s="5"/>
      <c r="CK332" s="40"/>
      <c r="CL332" s="5"/>
      <c r="CN332" s="40"/>
      <c r="CO332" s="5"/>
      <c r="CQ332" s="40"/>
      <c r="CR332" s="5"/>
    </row>
    <row r="333">
      <c r="AL333" s="40"/>
      <c r="AM333" s="5"/>
      <c r="AO333" s="40"/>
      <c r="AP333" s="5"/>
      <c r="AR333" s="40"/>
      <c r="AS333" s="5"/>
      <c r="AU333" s="40"/>
      <c r="AV333" s="5"/>
      <c r="AX333" s="40"/>
      <c r="AY333" s="5"/>
      <c r="BA333" s="40"/>
      <c r="BB333" s="5"/>
      <c r="BD333" s="40"/>
      <c r="BE333" s="5"/>
      <c r="BG333" s="40"/>
      <c r="BH333" s="5"/>
      <c r="BJ333" s="40"/>
      <c r="BK333" s="5"/>
      <c r="BM333" s="40"/>
      <c r="BN333" s="5"/>
      <c r="BP333" s="40"/>
      <c r="BQ333" s="5"/>
      <c r="BS333" s="40"/>
      <c r="BT333" s="5"/>
      <c r="BV333" s="40"/>
      <c r="BW333" s="5"/>
      <c r="BY333" s="40"/>
      <c r="BZ333" s="5"/>
      <c r="CB333" s="40"/>
      <c r="CC333" s="5"/>
      <c r="CE333" s="40"/>
      <c r="CF333" s="5"/>
      <c r="CH333" s="40"/>
      <c r="CI333" s="5"/>
      <c r="CK333" s="40"/>
      <c r="CL333" s="5"/>
      <c r="CN333" s="40"/>
      <c r="CO333" s="5"/>
      <c r="CQ333" s="40"/>
      <c r="CR333" s="5"/>
    </row>
    <row r="334">
      <c r="AL334" s="40"/>
      <c r="AM334" s="5"/>
      <c r="AO334" s="40"/>
      <c r="AP334" s="5"/>
      <c r="AR334" s="40"/>
      <c r="AS334" s="5"/>
      <c r="AU334" s="40"/>
      <c r="AV334" s="5"/>
      <c r="AX334" s="40"/>
      <c r="AY334" s="5"/>
      <c r="BA334" s="40"/>
      <c r="BB334" s="5"/>
      <c r="BD334" s="40"/>
      <c r="BE334" s="5"/>
      <c r="BG334" s="40"/>
      <c r="BH334" s="5"/>
      <c r="BJ334" s="40"/>
      <c r="BK334" s="5"/>
      <c r="BM334" s="40"/>
      <c r="BN334" s="5"/>
      <c r="BP334" s="40"/>
      <c r="BQ334" s="5"/>
      <c r="BS334" s="40"/>
      <c r="BT334" s="5"/>
      <c r="BV334" s="40"/>
      <c r="BW334" s="5"/>
      <c r="BY334" s="40"/>
      <c r="BZ334" s="5"/>
      <c r="CB334" s="40"/>
      <c r="CC334" s="5"/>
      <c r="CE334" s="40"/>
      <c r="CF334" s="5"/>
      <c r="CH334" s="40"/>
      <c r="CI334" s="5"/>
      <c r="CK334" s="40"/>
      <c r="CL334" s="5"/>
      <c r="CN334" s="40"/>
      <c r="CO334" s="5"/>
      <c r="CQ334" s="40"/>
      <c r="CR334" s="5"/>
    </row>
    <row r="335">
      <c r="AL335" s="40"/>
      <c r="AM335" s="5"/>
      <c r="AO335" s="40"/>
      <c r="AP335" s="5"/>
      <c r="AR335" s="40"/>
      <c r="AS335" s="5"/>
      <c r="AU335" s="40"/>
      <c r="AV335" s="5"/>
      <c r="AX335" s="40"/>
      <c r="AY335" s="5"/>
      <c r="BA335" s="40"/>
      <c r="BB335" s="5"/>
      <c r="BD335" s="40"/>
      <c r="BE335" s="5"/>
      <c r="BG335" s="40"/>
      <c r="BH335" s="5"/>
      <c r="BJ335" s="40"/>
      <c r="BK335" s="5"/>
      <c r="BM335" s="40"/>
      <c r="BN335" s="5"/>
      <c r="BP335" s="40"/>
      <c r="BQ335" s="5"/>
      <c r="BS335" s="40"/>
      <c r="BT335" s="5"/>
      <c r="BV335" s="40"/>
      <c r="BW335" s="5"/>
      <c r="BY335" s="40"/>
      <c r="BZ335" s="5"/>
      <c r="CB335" s="40"/>
      <c r="CC335" s="5"/>
      <c r="CE335" s="40"/>
      <c r="CF335" s="5"/>
      <c r="CH335" s="40"/>
      <c r="CI335" s="5"/>
      <c r="CK335" s="40"/>
      <c r="CL335" s="5"/>
      <c r="CN335" s="40"/>
      <c r="CO335" s="5"/>
      <c r="CQ335" s="40"/>
      <c r="CR335" s="5"/>
    </row>
    <row r="336">
      <c r="AL336" s="40"/>
      <c r="AM336" s="5"/>
      <c r="AO336" s="40"/>
      <c r="AP336" s="5"/>
      <c r="AR336" s="40"/>
      <c r="AS336" s="5"/>
      <c r="AU336" s="40"/>
      <c r="AV336" s="5"/>
      <c r="AX336" s="40"/>
      <c r="AY336" s="5"/>
      <c r="BA336" s="40"/>
      <c r="BB336" s="5"/>
      <c r="BD336" s="40"/>
      <c r="BE336" s="5"/>
      <c r="BG336" s="40"/>
      <c r="BH336" s="5"/>
      <c r="BJ336" s="40"/>
      <c r="BK336" s="5"/>
      <c r="BM336" s="40"/>
      <c r="BN336" s="5"/>
      <c r="BP336" s="40"/>
      <c r="BQ336" s="5"/>
      <c r="BS336" s="40"/>
      <c r="BT336" s="5"/>
      <c r="BV336" s="40"/>
      <c r="BW336" s="5"/>
      <c r="BY336" s="40"/>
      <c r="BZ336" s="5"/>
      <c r="CB336" s="40"/>
      <c r="CC336" s="5"/>
      <c r="CE336" s="40"/>
      <c r="CF336" s="5"/>
      <c r="CH336" s="40"/>
      <c r="CI336" s="5"/>
      <c r="CK336" s="40"/>
      <c r="CL336" s="5"/>
      <c r="CN336" s="40"/>
      <c r="CO336" s="5"/>
      <c r="CQ336" s="40"/>
      <c r="CR336" s="5"/>
    </row>
    <row r="337">
      <c r="AL337" s="40"/>
      <c r="AM337" s="5"/>
      <c r="AO337" s="40"/>
      <c r="AP337" s="5"/>
      <c r="AR337" s="40"/>
      <c r="AS337" s="5"/>
      <c r="AU337" s="40"/>
      <c r="AV337" s="5"/>
      <c r="AX337" s="40"/>
      <c r="AY337" s="5"/>
      <c r="BA337" s="40"/>
      <c r="BB337" s="5"/>
      <c r="BD337" s="40"/>
      <c r="BE337" s="5"/>
      <c r="BG337" s="40"/>
      <c r="BH337" s="5"/>
      <c r="BJ337" s="40"/>
      <c r="BK337" s="5"/>
      <c r="BM337" s="40"/>
      <c r="BN337" s="5"/>
      <c r="BP337" s="40"/>
      <c r="BQ337" s="5"/>
      <c r="BS337" s="40"/>
      <c r="BT337" s="5"/>
      <c r="BV337" s="40"/>
      <c r="BW337" s="5"/>
      <c r="BY337" s="40"/>
      <c r="BZ337" s="5"/>
      <c r="CB337" s="40"/>
      <c r="CC337" s="5"/>
      <c r="CE337" s="40"/>
      <c r="CF337" s="5"/>
      <c r="CH337" s="40"/>
      <c r="CI337" s="5"/>
      <c r="CK337" s="40"/>
      <c r="CL337" s="5"/>
      <c r="CN337" s="40"/>
      <c r="CO337" s="5"/>
      <c r="CQ337" s="40"/>
      <c r="CR337" s="5"/>
    </row>
    <row r="338">
      <c r="AL338" s="40"/>
      <c r="AM338" s="5"/>
      <c r="AO338" s="40"/>
      <c r="AP338" s="5"/>
      <c r="AR338" s="40"/>
      <c r="AS338" s="5"/>
      <c r="AU338" s="40"/>
      <c r="AV338" s="5"/>
      <c r="AX338" s="40"/>
      <c r="AY338" s="5"/>
      <c r="BA338" s="40"/>
      <c r="BB338" s="5"/>
      <c r="BD338" s="40"/>
      <c r="BE338" s="5"/>
      <c r="BG338" s="40"/>
      <c r="BH338" s="5"/>
      <c r="BJ338" s="40"/>
      <c r="BK338" s="5"/>
      <c r="BM338" s="40"/>
      <c r="BN338" s="5"/>
      <c r="BP338" s="40"/>
      <c r="BQ338" s="5"/>
      <c r="BS338" s="40"/>
      <c r="BT338" s="5"/>
      <c r="BV338" s="40"/>
      <c r="BW338" s="5"/>
      <c r="BY338" s="40"/>
      <c r="BZ338" s="5"/>
      <c r="CB338" s="40"/>
      <c r="CC338" s="5"/>
      <c r="CE338" s="40"/>
      <c r="CF338" s="5"/>
      <c r="CH338" s="40"/>
      <c r="CI338" s="5"/>
      <c r="CK338" s="40"/>
      <c r="CL338" s="5"/>
      <c r="CN338" s="40"/>
      <c r="CO338" s="5"/>
      <c r="CQ338" s="40"/>
      <c r="CR338" s="5"/>
    </row>
    <row r="339">
      <c r="AL339" s="40"/>
      <c r="AM339" s="5"/>
      <c r="AO339" s="40"/>
      <c r="AP339" s="5"/>
      <c r="AR339" s="40"/>
      <c r="AS339" s="5"/>
      <c r="AU339" s="40"/>
      <c r="AV339" s="5"/>
      <c r="AX339" s="40"/>
      <c r="AY339" s="5"/>
      <c r="BA339" s="40"/>
      <c r="BB339" s="5"/>
      <c r="BD339" s="40"/>
      <c r="BE339" s="5"/>
      <c r="BG339" s="40"/>
      <c r="BH339" s="5"/>
      <c r="BJ339" s="40"/>
      <c r="BK339" s="5"/>
      <c r="BM339" s="40"/>
      <c r="BN339" s="5"/>
      <c r="BP339" s="40"/>
      <c r="BQ339" s="5"/>
      <c r="BS339" s="40"/>
      <c r="BT339" s="5"/>
      <c r="BV339" s="40"/>
      <c r="BW339" s="5"/>
      <c r="BY339" s="40"/>
      <c r="BZ339" s="5"/>
      <c r="CB339" s="40"/>
      <c r="CC339" s="5"/>
      <c r="CE339" s="40"/>
      <c r="CF339" s="5"/>
      <c r="CH339" s="40"/>
      <c r="CI339" s="5"/>
      <c r="CK339" s="40"/>
      <c r="CL339" s="5"/>
      <c r="CN339" s="40"/>
      <c r="CO339" s="5"/>
      <c r="CQ339" s="40"/>
      <c r="CR339" s="5"/>
    </row>
    <row r="340">
      <c r="AL340" s="40"/>
      <c r="AM340" s="5"/>
      <c r="AO340" s="40"/>
      <c r="AP340" s="5"/>
      <c r="AR340" s="40"/>
      <c r="AS340" s="5"/>
      <c r="AU340" s="40"/>
      <c r="AV340" s="5"/>
      <c r="AX340" s="40"/>
      <c r="AY340" s="5"/>
      <c r="BA340" s="40"/>
      <c r="BB340" s="5"/>
      <c r="BD340" s="40"/>
      <c r="BE340" s="5"/>
      <c r="BG340" s="40"/>
      <c r="BH340" s="5"/>
      <c r="BJ340" s="40"/>
      <c r="BK340" s="5"/>
      <c r="BM340" s="40"/>
      <c r="BN340" s="5"/>
      <c r="BP340" s="40"/>
      <c r="BQ340" s="5"/>
      <c r="BS340" s="40"/>
      <c r="BT340" s="5"/>
      <c r="BV340" s="40"/>
      <c r="BW340" s="5"/>
      <c r="BY340" s="40"/>
      <c r="BZ340" s="5"/>
      <c r="CB340" s="40"/>
      <c r="CC340" s="5"/>
      <c r="CE340" s="40"/>
      <c r="CF340" s="5"/>
      <c r="CH340" s="40"/>
      <c r="CI340" s="5"/>
      <c r="CK340" s="40"/>
      <c r="CL340" s="5"/>
      <c r="CN340" s="40"/>
      <c r="CO340" s="5"/>
      <c r="CQ340" s="40"/>
      <c r="CR340" s="5"/>
    </row>
    <row r="341">
      <c r="AL341" s="40"/>
      <c r="AM341" s="5"/>
      <c r="AO341" s="40"/>
      <c r="AP341" s="5"/>
      <c r="AR341" s="40"/>
      <c r="AS341" s="5"/>
      <c r="AU341" s="40"/>
      <c r="AV341" s="5"/>
      <c r="AX341" s="40"/>
      <c r="AY341" s="5"/>
      <c r="BA341" s="40"/>
      <c r="BB341" s="5"/>
      <c r="BD341" s="40"/>
      <c r="BE341" s="5"/>
      <c r="BG341" s="40"/>
      <c r="BH341" s="5"/>
      <c r="BJ341" s="40"/>
      <c r="BK341" s="5"/>
      <c r="BM341" s="40"/>
      <c r="BN341" s="5"/>
      <c r="BP341" s="40"/>
      <c r="BQ341" s="5"/>
      <c r="BS341" s="40"/>
      <c r="BT341" s="5"/>
      <c r="BV341" s="40"/>
      <c r="BW341" s="5"/>
      <c r="BY341" s="40"/>
      <c r="BZ341" s="5"/>
      <c r="CB341" s="40"/>
      <c r="CC341" s="5"/>
      <c r="CE341" s="40"/>
      <c r="CF341" s="5"/>
      <c r="CH341" s="40"/>
      <c r="CI341" s="5"/>
      <c r="CK341" s="40"/>
      <c r="CL341" s="5"/>
      <c r="CN341" s="40"/>
      <c r="CO341" s="5"/>
      <c r="CQ341" s="40"/>
      <c r="CR341" s="5"/>
    </row>
    <row r="342">
      <c r="AL342" s="40"/>
      <c r="AM342" s="5"/>
      <c r="AO342" s="40"/>
      <c r="AP342" s="5"/>
      <c r="AR342" s="40"/>
      <c r="AS342" s="5"/>
      <c r="AU342" s="40"/>
      <c r="AV342" s="5"/>
      <c r="AX342" s="40"/>
      <c r="AY342" s="5"/>
      <c r="BA342" s="40"/>
      <c r="BB342" s="5"/>
      <c r="BD342" s="40"/>
      <c r="BE342" s="5"/>
      <c r="BG342" s="40"/>
      <c r="BH342" s="5"/>
      <c r="BJ342" s="40"/>
      <c r="BK342" s="5"/>
      <c r="BM342" s="40"/>
      <c r="BN342" s="5"/>
      <c r="BP342" s="40"/>
      <c r="BQ342" s="5"/>
      <c r="BS342" s="40"/>
      <c r="BT342" s="5"/>
      <c r="BV342" s="40"/>
      <c r="BW342" s="5"/>
      <c r="BY342" s="40"/>
      <c r="BZ342" s="5"/>
      <c r="CB342" s="40"/>
      <c r="CC342" s="5"/>
      <c r="CE342" s="40"/>
      <c r="CF342" s="5"/>
      <c r="CH342" s="40"/>
      <c r="CI342" s="5"/>
      <c r="CK342" s="40"/>
      <c r="CL342" s="5"/>
      <c r="CN342" s="40"/>
      <c r="CO342" s="5"/>
      <c r="CQ342" s="40"/>
      <c r="CR342" s="5"/>
    </row>
    <row r="343">
      <c r="AL343" s="40"/>
      <c r="AM343" s="5"/>
      <c r="AO343" s="40"/>
      <c r="AP343" s="5"/>
      <c r="AR343" s="40"/>
      <c r="AS343" s="5"/>
      <c r="AU343" s="40"/>
      <c r="AV343" s="5"/>
      <c r="AX343" s="40"/>
      <c r="AY343" s="5"/>
      <c r="BA343" s="40"/>
      <c r="BB343" s="5"/>
      <c r="BD343" s="40"/>
      <c r="BE343" s="5"/>
      <c r="BG343" s="40"/>
      <c r="BH343" s="5"/>
      <c r="BJ343" s="40"/>
      <c r="BK343" s="5"/>
      <c r="BM343" s="40"/>
      <c r="BN343" s="5"/>
      <c r="BP343" s="40"/>
      <c r="BQ343" s="5"/>
      <c r="BS343" s="40"/>
      <c r="BT343" s="5"/>
      <c r="BV343" s="40"/>
      <c r="BW343" s="5"/>
      <c r="BY343" s="40"/>
      <c r="BZ343" s="5"/>
      <c r="CB343" s="40"/>
      <c r="CC343" s="5"/>
      <c r="CE343" s="40"/>
      <c r="CF343" s="5"/>
      <c r="CH343" s="40"/>
      <c r="CI343" s="5"/>
      <c r="CK343" s="40"/>
      <c r="CL343" s="5"/>
      <c r="CN343" s="40"/>
      <c r="CO343" s="5"/>
      <c r="CQ343" s="40"/>
      <c r="CR343" s="5"/>
    </row>
    <row r="344">
      <c r="AL344" s="40"/>
      <c r="AM344" s="5"/>
      <c r="AO344" s="40"/>
      <c r="AP344" s="5"/>
      <c r="AR344" s="40"/>
      <c r="AS344" s="5"/>
      <c r="AU344" s="40"/>
      <c r="AV344" s="5"/>
      <c r="AX344" s="40"/>
      <c r="AY344" s="5"/>
      <c r="BA344" s="40"/>
      <c r="BB344" s="5"/>
      <c r="BD344" s="40"/>
      <c r="BE344" s="5"/>
      <c r="BG344" s="40"/>
      <c r="BH344" s="5"/>
      <c r="BJ344" s="40"/>
      <c r="BK344" s="5"/>
      <c r="BM344" s="40"/>
      <c r="BN344" s="5"/>
      <c r="BP344" s="40"/>
      <c r="BQ344" s="5"/>
      <c r="BS344" s="40"/>
      <c r="BT344" s="5"/>
      <c r="BV344" s="40"/>
      <c r="BW344" s="5"/>
      <c r="BY344" s="40"/>
      <c r="BZ344" s="5"/>
      <c r="CB344" s="40"/>
      <c r="CC344" s="5"/>
      <c r="CE344" s="40"/>
      <c r="CF344" s="5"/>
      <c r="CH344" s="40"/>
      <c r="CI344" s="5"/>
      <c r="CK344" s="40"/>
      <c r="CL344" s="5"/>
      <c r="CN344" s="40"/>
      <c r="CO344" s="5"/>
      <c r="CQ344" s="40"/>
      <c r="CR344" s="5"/>
    </row>
    <row r="345">
      <c r="AL345" s="40"/>
      <c r="AM345" s="5"/>
      <c r="AO345" s="40"/>
      <c r="AP345" s="5"/>
      <c r="AR345" s="40"/>
      <c r="AS345" s="5"/>
      <c r="AU345" s="40"/>
      <c r="AV345" s="5"/>
      <c r="AX345" s="40"/>
      <c r="AY345" s="5"/>
      <c r="BA345" s="40"/>
      <c r="BB345" s="5"/>
      <c r="BD345" s="40"/>
      <c r="BE345" s="5"/>
      <c r="BG345" s="40"/>
      <c r="BH345" s="5"/>
      <c r="BJ345" s="40"/>
      <c r="BK345" s="5"/>
      <c r="BM345" s="40"/>
      <c r="BN345" s="5"/>
      <c r="BP345" s="40"/>
      <c r="BQ345" s="5"/>
      <c r="BS345" s="40"/>
      <c r="BT345" s="5"/>
      <c r="BV345" s="40"/>
      <c r="BW345" s="5"/>
      <c r="BY345" s="40"/>
      <c r="BZ345" s="5"/>
      <c r="CB345" s="40"/>
      <c r="CC345" s="5"/>
      <c r="CE345" s="40"/>
      <c r="CF345" s="5"/>
      <c r="CH345" s="40"/>
      <c r="CI345" s="5"/>
      <c r="CK345" s="40"/>
      <c r="CL345" s="5"/>
      <c r="CN345" s="40"/>
      <c r="CO345" s="5"/>
      <c r="CQ345" s="40"/>
      <c r="CR345" s="5"/>
    </row>
    <row r="346">
      <c r="AL346" s="40"/>
      <c r="AM346" s="5"/>
      <c r="AO346" s="40"/>
      <c r="AP346" s="5"/>
      <c r="AR346" s="40"/>
      <c r="AS346" s="5"/>
      <c r="AU346" s="40"/>
      <c r="AV346" s="5"/>
      <c r="AX346" s="40"/>
      <c r="AY346" s="5"/>
      <c r="BA346" s="40"/>
      <c r="BB346" s="5"/>
      <c r="BD346" s="40"/>
      <c r="BE346" s="5"/>
      <c r="BG346" s="40"/>
      <c r="BH346" s="5"/>
      <c r="BJ346" s="40"/>
      <c r="BK346" s="5"/>
      <c r="BM346" s="40"/>
      <c r="BN346" s="5"/>
      <c r="BP346" s="40"/>
      <c r="BQ346" s="5"/>
      <c r="BS346" s="40"/>
      <c r="BT346" s="5"/>
      <c r="BV346" s="40"/>
      <c r="BW346" s="5"/>
      <c r="BY346" s="40"/>
      <c r="BZ346" s="5"/>
      <c r="CB346" s="40"/>
      <c r="CC346" s="5"/>
      <c r="CE346" s="40"/>
      <c r="CF346" s="5"/>
      <c r="CH346" s="40"/>
      <c r="CI346" s="5"/>
      <c r="CK346" s="40"/>
      <c r="CL346" s="5"/>
      <c r="CN346" s="40"/>
      <c r="CO346" s="5"/>
      <c r="CQ346" s="40"/>
      <c r="CR346" s="5"/>
    </row>
    <row r="347">
      <c r="AL347" s="40"/>
      <c r="AM347" s="5"/>
      <c r="AO347" s="40"/>
      <c r="AP347" s="5"/>
      <c r="AR347" s="40"/>
      <c r="AS347" s="5"/>
      <c r="AU347" s="40"/>
      <c r="AV347" s="5"/>
      <c r="AX347" s="40"/>
      <c r="AY347" s="5"/>
      <c r="BA347" s="40"/>
      <c r="BB347" s="5"/>
      <c r="BD347" s="40"/>
      <c r="BE347" s="5"/>
      <c r="BG347" s="40"/>
      <c r="BH347" s="5"/>
      <c r="BJ347" s="40"/>
      <c r="BK347" s="5"/>
      <c r="BM347" s="40"/>
      <c r="BN347" s="5"/>
      <c r="BP347" s="40"/>
      <c r="BQ347" s="5"/>
      <c r="BS347" s="40"/>
      <c r="BT347" s="5"/>
      <c r="BV347" s="40"/>
      <c r="BW347" s="5"/>
      <c r="BY347" s="40"/>
      <c r="BZ347" s="5"/>
      <c r="CB347" s="40"/>
      <c r="CC347" s="5"/>
      <c r="CE347" s="40"/>
      <c r="CF347" s="5"/>
      <c r="CH347" s="40"/>
      <c r="CI347" s="5"/>
      <c r="CK347" s="40"/>
      <c r="CL347" s="5"/>
      <c r="CN347" s="40"/>
      <c r="CO347" s="5"/>
      <c r="CQ347" s="40"/>
      <c r="CR347" s="5"/>
    </row>
    <row r="348">
      <c r="AL348" s="40"/>
      <c r="AM348" s="5"/>
      <c r="AO348" s="40"/>
      <c r="AP348" s="5"/>
      <c r="AR348" s="40"/>
      <c r="AS348" s="5"/>
      <c r="AU348" s="40"/>
      <c r="AV348" s="5"/>
      <c r="AX348" s="40"/>
      <c r="AY348" s="5"/>
      <c r="BA348" s="40"/>
      <c r="BB348" s="5"/>
      <c r="BD348" s="40"/>
      <c r="BE348" s="5"/>
      <c r="BG348" s="40"/>
      <c r="BH348" s="5"/>
      <c r="BJ348" s="40"/>
      <c r="BK348" s="5"/>
      <c r="BM348" s="40"/>
      <c r="BN348" s="5"/>
      <c r="BP348" s="40"/>
      <c r="BQ348" s="5"/>
      <c r="BS348" s="40"/>
      <c r="BT348" s="5"/>
      <c r="BV348" s="40"/>
      <c r="BW348" s="5"/>
      <c r="BY348" s="40"/>
      <c r="BZ348" s="5"/>
      <c r="CB348" s="40"/>
      <c r="CC348" s="5"/>
      <c r="CE348" s="40"/>
      <c r="CF348" s="5"/>
      <c r="CH348" s="40"/>
      <c r="CI348" s="5"/>
      <c r="CK348" s="40"/>
      <c r="CL348" s="5"/>
      <c r="CN348" s="40"/>
      <c r="CO348" s="5"/>
      <c r="CQ348" s="40"/>
      <c r="CR348" s="5"/>
    </row>
    <row r="349">
      <c r="AL349" s="40"/>
      <c r="AM349" s="5"/>
      <c r="AO349" s="40"/>
      <c r="AP349" s="5"/>
      <c r="AR349" s="40"/>
      <c r="AS349" s="5"/>
      <c r="AU349" s="40"/>
      <c r="AV349" s="5"/>
      <c r="AX349" s="40"/>
      <c r="AY349" s="5"/>
      <c r="BA349" s="40"/>
      <c r="BB349" s="5"/>
      <c r="BD349" s="40"/>
      <c r="BE349" s="5"/>
      <c r="BG349" s="40"/>
      <c r="BH349" s="5"/>
      <c r="BJ349" s="40"/>
      <c r="BK349" s="5"/>
      <c r="BM349" s="40"/>
      <c r="BN349" s="5"/>
      <c r="BP349" s="40"/>
      <c r="BQ349" s="5"/>
      <c r="BS349" s="40"/>
      <c r="BT349" s="5"/>
      <c r="BV349" s="40"/>
      <c r="BW349" s="5"/>
      <c r="BY349" s="40"/>
      <c r="BZ349" s="5"/>
      <c r="CB349" s="40"/>
      <c r="CC349" s="5"/>
      <c r="CE349" s="40"/>
      <c r="CF349" s="5"/>
      <c r="CH349" s="40"/>
      <c r="CI349" s="5"/>
      <c r="CK349" s="40"/>
      <c r="CL349" s="5"/>
      <c r="CN349" s="40"/>
      <c r="CO349" s="5"/>
      <c r="CQ349" s="40"/>
      <c r="CR349" s="5"/>
    </row>
    <row r="350">
      <c r="AL350" s="40"/>
      <c r="AM350" s="5"/>
      <c r="AO350" s="40"/>
      <c r="AP350" s="5"/>
      <c r="AR350" s="40"/>
      <c r="AS350" s="5"/>
      <c r="AU350" s="40"/>
      <c r="AV350" s="5"/>
      <c r="AX350" s="40"/>
      <c r="AY350" s="5"/>
      <c r="BA350" s="40"/>
      <c r="BB350" s="5"/>
      <c r="BD350" s="40"/>
      <c r="BE350" s="5"/>
      <c r="BG350" s="40"/>
      <c r="BH350" s="5"/>
      <c r="BJ350" s="40"/>
      <c r="BK350" s="5"/>
      <c r="BM350" s="40"/>
      <c r="BN350" s="5"/>
      <c r="BP350" s="40"/>
      <c r="BQ350" s="5"/>
      <c r="BS350" s="40"/>
      <c r="BT350" s="5"/>
      <c r="BV350" s="40"/>
      <c r="BW350" s="5"/>
      <c r="BY350" s="40"/>
      <c r="BZ350" s="5"/>
      <c r="CB350" s="40"/>
      <c r="CC350" s="5"/>
      <c r="CE350" s="40"/>
      <c r="CF350" s="5"/>
      <c r="CH350" s="40"/>
      <c r="CI350" s="5"/>
      <c r="CK350" s="40"/>
      <c r="CL350" s="5"/>
      <c r="CN350" s="40"/>
      <c r="CO350" s="5"/>
      <c r="CQ350" s="40"/>
      <c r="CR350" s="5"/>
    </row>
    <row r="351">
      <c r="AL351" s="40"/>
      <c r="AM351" s="5"/>
      <c r="AO351" s="40"/>
      <c r="AP351" s="5"/>
      <c r="AR351" s="40"/>
      <c r="AS351" s="5"/>
      <c r="AU351" s="40"/>
      <c r="AV351" s="5"/>
      <c r="AX351" s="40"/>
      <c r="AY351" s="5"/>
      <c r="BA351" s="40"/>
      <c r="BB351" s="5"/>
      <c r="BD351" s="40"/>
      <c r="BE351" s="5"/>
      <c r="BG351" s="40"/>
      <c r="BH351" s="5"/>
      <c r="BJ351" s="40"/>
      <c r="BK351" s="5"/>
      <c r="BM351" s="40"/>
      <c r="BN351" s="5"/>
      <c r="BP351" s="40"/>
      <c r="BQ351" s="5"/>
      <c r="BS351" s="40"/>
      <c r="BT351" s="5"/>
      <c r="BV351" s="40"/>
      <c r="BW351" s="5"/>
      <c r="BY351" s="40"/>
      <c r="BZ351" s="5"/>
      <c r="CB351" s="40"/>
      <c r="CC351" s="5"/>
      <c r="CE351" s="40"/>
      <c r="CF351" s="5"/>
      <c r="CH351" s="40"/>
      <c r="CI351" s="5"/>
      <c r="CK351" s="40"/>
      <c r="CL351" s="5"/>
      <c r="CN351" s="40"/>
      <c r="CO351" s="5"/>
      <c r="CQ351" s="40"/>
      <c r="CR351" s="5"/>
    </row>
    <row r="352">
      <c r="AL352" s="40"/>
      <c r="AM352" s="5"/>
      <c r="AO352" s="40"/>
      <c r="AP352" s="5"/>
      <c r="AR352" s="40"/>
      <c r="AS352" s="5"/>
      <c r="AU352" s="40"/>
      <c r="AV352" s="5"/>
      <c r="AX352" s="40"/>
      <c r="AY352" s="5"/>
      <c r="BA352" s="40"/>
      <c r="BB352" s="5"/>
      <c r="BD352" s="40"/>
      <c r="BE352" s="5"/>
      <c r="BG352" s="40"/>
      <c r="BH352" s="5"/>
      <c r="BJ352" s="40"/>
      <c r="BK352" s="5"/>
      <c r="BM352" s="40"/>
      <c r="BN352" s="5"/>
      <c r="BP352" s="40"/>
      <c r="BQ352" s="5"/>
      <c r="BS352" s="40"/>
      <c r="BT352" s="5"/>
      <c r="BV352" s="40"/>
      <c r="BW352" s="5"/>
      <c r="BY352" s="40"/>
      <c r="BZ352" s="5"/>
      <c r="CB352" s="40"/>
      <c r="CC352" s="5"/>
      <c r="CE352" s="40"/>
      <c r="CF352" s="5"/>
      <c r="CH352" s="40"/>
      <c r="CI352" s="5"/>
      <c r="CK352" s="40"/>
      <c r="CL352" s="5"/>
      <c r="CN352" s="40"/>
      <c r="CO352" s="5"/>
      <c r="CQ352" s="40"/>
      <c r="CR352" s="5"/>
    </row>
    <row r="353">
      <c r="AL353" s="40"/>
      <c r="AM353" s="5"/>
      <c r="AO353" s="40"/>
      <c r="AP353" s="5"/>
      <c r="AR353" s="40"/>
      <c r="AS353" s="5"/>
      <c r="AU353" s="40"/>
      <c r="AV353" s="5"/>
      <c r="AX353" s="40"/>
      <c r="AY353" s="5"/>
      <c r="BA353" s="40"/>
      <c r="BB353" s="5"/>
      <c r="BD353" s="40"/>
      <c r="BE353" s="5"/>
      <c r="BG353" s="40"/>
      <c r="BH353" s="5"/>
      <c r="BJ353" s="40"/>
      <c r="BK353" s="5"/>
      <c r="BM353" s="40"/>
      <c r="BN353" s="5"/>
      <c r="BP353" s="40"/>
      <c r="BQ353" s="5"/>
      <c r="BS353" s="40"/>
      <c r="BT353" s="5"/>
      <c r="BV353" s="40"/>
      <c r="BW353" s="5"/>
      <c r="BY353" s="40"/>
      <c r="BZ353" s="5"/>
      <c r="CB353" s="40"/>
      <c r="CC353" s="5"/>
      <c r="CE353" s="40"/>
      <c r="CF353" s="5"/>
      <c r="CH353" s="40"/>
      <c r="CI353" s="5"/>
      <c r="CK353" s="40"/>
      <c r="CL353" s="5"/>
      <c r="CN353" s="40"/>
      <c r="CO353" s="5"/>
      <c r="CQ353" s="40"/>
      <c r="CR353" s="5"/>
    </row>
    <row r="354">
      <c r="AL354" s="40"/>
      <c r="AM354" s="5"/>
      <c r="AO354" s="40"/>
      <c r="AP354" s="5"/>
      <c r="AR354" s="40"/>
      <c r="AS354" s="5"/>
      <c r="AU354" s="40"/>
      <c r="AV354" s="5"/>
      <c r="AX354" s="40"/>
      <c r="AY354" s="5"/>
      <c r="BA354" s="40"/>
      <c r="BB354" s="5"/>
      <c r="BD354" s="40"/>
      <c r="BE354" s="5"/>
      <c r="BG354" s="40"/>
      <c r="BH354" s="5"/>
      <c r="BJ354" s="40"/>
      <c r="BK354" s="5"/>
      <c r="BM354" s="40"/>
      <c r="BN354" s="5"/>
      <c r="BP354" s="40"/>
      <c r="BQ354" s="5"/>
      <c r="BS354" s="40"/>
      <c r="BT354" s="5"/>
      <c r="BV354" s="40"/>
      <c r="BW354" s="5"/>
      <c r="BY354" s="40"/>
      <c r="BZ354" s="5"/>
      <c r="CB354" s="40"/>
      <c r="CC354" s="5"/>
      <c r="CE354" s="40"/>
      <c r="CF354" s="5"/>
      <c r="CH354" s="40"/>
      <c r="CI354" s="5"/>
      <c r="CK354" s="40"/>
      <c r="CL354" s="5"/>
      <c r="CN354" s="40"/>
      <c r="CO354" s="5"/>
      <c r="CQ354" s="40"/>
      <c r="CR354" s="5"/>
    </row>
    <row r="355">
      <c r="AL355" s="40"/>
      <c r="AM355" s="5"/>
      <c r="AO355" s="40"/>
      <c r="AP355" s="5"/>
      <c r="AR355" s="40"/>
      <c r="AS355" s="5"/>
      <c r="AU355" s="40"/>
      <c r="AV355" s="5"/>
      <c r="AX355" s="40"/>
      <c r="AY355" s="5"/>
      <c r="BA355" s="40"/>
      <c r="BB355" s="5"/>
      <c r="BD355" s="40"/>
      <c r="BE355" s="5"/>
      <c r="BG355" s="40"/>
      <c r="BH355" s="5"/>
      <c r="BJ355" s="40"/>
      <c r="BK355" s="5"/>
      <c r="BM355" s="40"/>
      <c r="BN355" s="5"/>
      <c r="BP355" s="40"/>
      <c r="BQ355" s="5"/>
      <c r="BS355" s="40"/>
      <c r="BT355" s="5"/>
      <c r="BV355" s="40"/>
      <c r="BW355" s="5"/>
      <c r="BY355" s="40"/>
      <c r="BZ355" s="5"/>
      <c r="CB355" s="40"/>
      <c r="CC355" s="5"/>
      <c r="CE355" s="40"/>
      <c r="CF355" s="5"/>
      <c r="CH355" s="40"/>
      <c r="CI355" s="5"/>
      <c r="CK355" s="40"/>
      <c r="CL355" s="5"/>
      <c r="CN355" s="40"/>
      <c r="CO355" s="5"/>
      <c r="CQ355" s="40"/>
      <c r="CR355" s="5"/>
    </row>
    <row r="356">
      <c r="AL356" s="40"/>
      <c r="AM356" s="5"/>
      <c r="AO356" s="40"/>
      <c r="AP356" s="5"/>
      <c r="AR356" s="40"/>
      <c r="AS356" s="5"/>
      <c r="AU356" s="40"/>
      <c r="AV356" s="5"/>
      <c r="AX356" s="40"/>
      <c r="AY356" s="5"/>
      <c r="BA356" s="40"/>
      <c r="BB356" s="5"/>
      <c r="BD356" s="40"/>
      <c r="BE356" s="5"/>
      <c r="BG356" s="40"/>
      <c r="BH356" s="5"/>
      <c r="BJ356" s="40"/>
      <c r="BK356" s="5"/>
      <c r="BM356" s="40"/>
      <c r="BN356" s="5"/>
      <c r="BP356" s="40"/>
      <c r="BQ356" s="5"/>
      <c r="BS356" s="40"/>
      <c r="BT356" s="5"/>
      <c r="BV356" s="40"/>
      <c r="BW356" s="5"/>
      <c r="BY356" s="40"/>
      <c r="BZ356" s="5"/>
      <c r="CB356" s="40"/>
      <c r="CC356" s="5"/>
      <c r="CE356" s="40"/>
      <c r="CF356" s="5"/>
      <c r="CH356" s="40"/>
      <c r="CI356" s="5"/>
      <c r="CK356" s="40"/>
      <c r="CL356" s="5"/>
      <c r="CN356" s="40"/>
      <c r="CO356" s="5"/>
      <c r="CQ356" s="40"/>
      <c r="CR356" s="5"/>
    </row>
    <row r="357">
      <c r="AL357" s="40"/>
      <c r="AM357" s="5"/>
      <c r="AO357" s="40"/>
      <c r="AP357" s="5"/>
      <c r="AR357" s="40"/>
      <c r="AS357" s="5"/>
      <c r="AU357" s="40"/>
      <c r="AV357" s="5"/>
      <c r="AX357" s="40"/>
      <c r="AY357" s="5"/>
      <c r="BA357" s="40"/>
      <c r="BB357" s="5"/>
      <c r="BD357" s="40"/>
      <c r="BE357" s="5"/>
      <c r="BG357" s="40"/>
      <c r="BH357" s="5"/>
      <c r="BJ357" s="40"/>
      <c r="BK357" s="5"/>
      <c r="BM357" s="40"/>
      <c r="BN357" s="5"/>
      <c r="BP357" s="40"/>
      <c r="BQ357" s="5"/>
      <c r="BS357" s="40"/>
      <c r="BT357" s="5"/>
      <c r="BV357" s="40"/>
      <c r="BW357" s="5"/>
      <c r="BY357" s="40"/>
      <c r="BZ357" s="5"/>
      <c r="CB357" s="40"/>
      <c r="CC357" s="5"/>
      <c r="CE357" s="40"/>
      <c r="CF357" s="5"/>
      <c r="CH357" s="40"/>
      <c r="CI357" s="5"/>
      <c r="CK357" s="40"/>
      <c r="CL357" s="5"/>
      <c r="CN357" s="40"/>
      <c r="CO357" s="5"/>
      <c r="CQ357" s="40"/>
      <c r="CR357" s="5"/>
    </row>
    <row r="358">
      <c r="AL358" s="40"/>
      <c r="AM358" s="5"/>
      <c r="AO358" s="40"/>
      <c r="AP358" s="5"/>
      <c r="AR358" s="40"/>
      <c r="AS358" s="5"/>
      <c r="AU358" s="40"/>
      <c r="AV358" s="5"/>
      <c r="AX358" s="40"/>
      <c r="AY358" s="5"/>
      <c r="BA358" s="40"/>
      <c r="BB358" s="5"/>
      <c r="BD358" s="40"/>
      <c r="BE358" s="5"/>
      <c r="BG358" s="40"/>
      <c r="BH358" s="5"/>
      <c r="BJ358" s="40"/>
      <c r="BK358" s="5"/>
      <c r="BM358" s="40"/>
      <c r="BN358" s="5"/>
      <c r="BP358" s="40"/>
      <c r="BQ358" s="5"/>
      <c r="BS358" s="40"/>
      <c r="BT358" s="5"/>
      <c r="BV358" s="40"/>
      <c r="BW358" s="5"/>
      <c r="BY358" s="40"/>
      <c r="BZ358" s="5"/>
      <c r="CB358" s="40"/>
      <c r="CC358" s="5"/>
      <c r="CE358" s="40"/>
      <c r="CF358" s="5"/>
      <c r="CH358" s="40"/>
      <c r="CI358" s="5"/>
      <c r="CK358" s="40"/>
      <c r="CL358" s="5"/>
      <c r="CN358" s="40"/>
      <c r="CO358" s="5"/>
      <c r="CQ358" s="40"/>
      <c r="CR358" s="5"/>
    </row>
    <row r="359">
      <c r="AL359" s="40"/>
      <c r="AM359" s="5"/>
      <c r="AO359" s="40"/>
      <c r="AP359" s="5"/>
      <c r="AR359" s="40"/>
      <c r="AS359" s="5"/>
      <c r="AU359" s="40"/>
      <c r="AV359" s="5"/>
      <c r="AX359" s="40"/>
      <c r="AY359" s="5"/>
      <c r="BA359" s="40"/>
      <c r="BB359" s="5"/>
      <c r="BD359" s="40"/>
      <c r="BE359" s="5"/>
      <c r="BG359" s="40"/>
      <c r="BH359" s="5"/>
      <c r="BJ359" s="40"/>
      <c r="BK359" s="5"/>
      <c r="BM359" s="40"/>
      <c r="BN359" s="5"/>
      <c r="BP359" s="40"/>
      <c r="BQ359" s="5"/>
      <c r="BS359" s="40"/>
      <c r="BT359" s="5"/>
      <c r="BV359" s="40"/>
      <c r="BW359" s="5"/>
      <c r="BY359" s="40"/>
      <c r="BZ359" s="5"/>
      <c r="CB359" s="40"/>
      <c r="CC359" s="5"/>
      <c r="CE359" s="40"/>
      <c r="CF359" s="5"/>
      <c r="CH359" s="40"/>
      <c r="CI359" s="5"/>
      <c r="CK359" s="40"/>
      <c r="CL359" s="5"/>
      <c r="CN359" s="40"/>
      <c r="CO359" s="5"/>
      <c r="CQ359" s="40"/>
      <c r="CR359" s="5"/>
    </row>
    <row r="360">
      <c r="AL360" s="40"/>
      <c r="AM360" s="5"/>
      <c r="AO360" s="40"/>
      <c r="AP360" s="5"/>
      <c r="AR360" s="40"/>
      <c r="AS360" s="5"/>
      <c r="AU360" s="40"/>
      <c r="AV360" s="5"/>
      <c r="AX360" s="40"/>
      <c r="AY360" s="5"/>
      <c r="BA360" s="40"/>
      <c r="BB360" s="5"/>
      <c r="BD360" s="40"/>
      <c r="BE360" s="5"/>
      <c r="BG360" s="40"/>
      <c r="BH360" s="5"/>
      <c r="BJ360" s="40"/>
      <c r="BK360" s="5"/>
      <c r="BM360" s="40"/>
      <c r="BN360" s="5"/>
      <c r="BP360" s="40"/>
      <c r="BQ360" s="5"/>
      <c r="BS360" s="40"/>
      <c r="BT360" s="5"/>
      <c r="BV360" s="40"/>
      <c r="BW360" s="5"/>
      <c r="BY360" s="40"/>
      <c r="BZ360" s="5"/>
      <c r="CB360" s="40"/>
      <c r="CC360" s="5"/>
      <c r="CE360" s="40"/>
      <c r="CF360" s="5"/>
      <c r="CH360" s="40"/>
      <c r="CI360" s="5"/>
      <c r="CK360" s="40"/>
      <c r="CL360" s="5"/>
      <c r="CN360" s="40"/>
      <c r="CO360" s="5"/>
      <c r="CQ360" s="40"/>
      <c r="CR360" s="5"/>
    </row>
    <row r="361">
      <c r="AL361" s="40"/>
      <c r="AM361" s="5"/>
      <c r="AO361" s="40"/>
      <c r="AP361" s="5"/>
      <c r="AR361" s="40"/>
      <c r="AS361" s="5"/>
      <c r="AU361" s="40"/>
      <c r="AV361" s="5"/>
      <c r="AX361" s="40"/>
      <c r="AY361" s="5"/>
      <c r="BA361" s="40"/>
      <c r="BB361" s="5"/>
      <c r="BD361" s="40"/>
      <c r="BE361" s="5"/>
      <c r="BG361" s="40"/>
      <c r="BH361" s="5"/>
      <c r="BJ361" s="40"/>
      <c r="BK361" s="5"/>
      <c r="BM361" s="40"/>
      <c r="BN361" s="5"/>
      <c r="BP361" s="40"/>
      <c r="BQ361" s="5"/>
      <c r="BS361" s="40"/>
      <c r="BT361" s="5"/>
      <c r="BV361" s="40"/>
      <c r="BW361" s="5"/>
      <c r="BY361" s="40"/>
      <c r="BZ361" s="5"/>
      <c r="CB361" s="40"/>
      <c r="CC361" s="5"/>
      <c r="CE361" s="40"/>
      <c r="CF361" s="5"/>
      <c r="CH361" s="40"/>
      <c r="CI361" s="5"/>
      <c r="CK361" s="40"/>
      <c r="CL361" s="5"/>
      <c r="CN361" s="40"/>
      <c r="CO361" s="5"/>
      <c r="CQ361" s="40"/>
      <c r="CR361" s="5"/>
    </row>
    <row r="362">
      <c r="AL362" s="40"/>
      <c r="AM362" s="5"/>
      <c r="AO362" s="40"/>
      <c r="AP362" s="5"/>
      <c r="AR362" s="40"/>
      <c r="AS362" s="5"/>
      <c r="AU362" s="40"/>
      <c r="AV362" s="5"/>
      <c r="AX362" s="40"/>
      <c r="AY362" s="5"/>
      <c r="BA362" s="40"/>
      <c r="BB362" s="5"/>
      <c r="BD362" s="40"/>
      <c r="BE362" s="5"/>
      <c r="BG362" s="40"/>
      <c r="BH362" s="5"/>
      <c r="BJ362" s="40"/>
      <c r="BK362" s="5"/>
      <c r="BM362" s="40"/>
      <c r="BN362" s="5"/>
      <c r="BP362" s="40"/>
      <c r="BQ362" s="5"/>
      <c r="BS362" s="40"/>
      <c r="BT362" s="5"/>
      <c r="BV362" s="40"/>
      <c r="BW362" s="5"/>
      <c r="BY362" s="40"/>
      <c r="BZ362" s="5"/>
      <c r="CB362" s="40"/>
      <c r="CC362" s="5"/>
      <c r="CE362" s="40"/>
      <c r="CF362" s="5"/>
      <c r="CH362" s="40"/>
      <c r="CI362" s="5"/>
      <c r="CK362" s="40"/>
      <c r="CL362" s="5"/>
      <c r="CN362" s="40"/>
      <c r="CO362" s="5"/>
      <c r="CQ362" s="40"/>
      <c r="CR362" s="5"/>
    </row>
    <row r="363">
      <c r="AL363" s="40"/>
      <c r="AM363" s="5"/>
      <c r="AO363" s="40"/>
      <c r="AP363" s="5"/>
      <c r="AR363" s="40"/>
      <c r="AS363" s="5"/>
      <c r="AU363" s="40"/>
      <c r="AV363" s="5"/>
      <c r="AX363" s="40"/>
      <c r="AY363" s="5"/>
      <c r="BA363" s="40"/>
      <c r="BB363" s="5"/>
      <c r="BD363" s="40"/>
      <c r="BE363" s="5"/>
      <c r="BG363" s="40"/>
      <c r="BH363" s="5"/>
      <c r="BJ363" s="40"/>
      <c r="BK363" s="5"/>
      <c r="BM363" s="40"/>
      <c r="BN363" s="5"/>
      <c r="BP363" s="40"/>
      <c r="BQ363" s="5"/>
      <c r="BS363" s="40"/>
      <c r="BT363" s="5"/>
      <c r="BV363" s="40"/>
      <c r="BW363" s="5"/>
      <c r="BY363" s="40"/>
      <c r="BZ363" s="5"/>
      <c r="CB363" s="40"/>
      <c r="CC363" s="5"/>
      <c r="CE363" s="40"/>
      <c r="CF363" s="5"/>
      <c r="CH363" s="40"/>
      <c r="CI363" s="5"/>
      <c r="CK363" s="40"/>
      <c r="CL363" s="5"/>
      <c r="CN363" s="40"/>
      <c r="CO363" s="5"/>
      <c r="CQ363" s="40"/>
      <c r="CR363" s="5"/>
    </row>
    <row r="364">
      <c r="AL364" s="40"/>
      <c r="AM364" s="5"/>
      <c r="AO364" s="40"/>
      <c r="AP364" s="5"/>
      <c r="AR364" s="40"/>
      <c r="AS364" s="5"/>
      <c r="AU364" s="40"/>
      <c r="AV364" s="5"/>
      <c r="AX364" s="40"/>
      <c r="AY364" s="5"/>
      <c r="BA364" s="40"/>
      <c r="BB364" s="5"/>
      <c r="BD364" s="40"/>
      <c r="BE364" s="5"/>
      <c r="BG364" s="40"/>
      <c r="BH364" s="5"/>
      <c r="BJ364" s="40"/>
      <c r="BK364" s="5"/>
      <c r="BM364" s="40"/>
      <c r="BN364" s="5"/>
      <c r="BP364" s="40"/>
      <c r="BQ364" s="5"/>
      <c r="BS364" s="40"/>
      <c r="BT364" s="5"/>
      <c r="BV364" s="40"/>
      <c r="BW364" s="5"/>
      <c r="BY364" s="40"/>
      <c r="BZ364" s="5"/>
      <c r="CB364" s="40"/>
      <c r="CC364" s="5"/>
      <c r="CE364" s="40"/>
      <c r="CF364" s="5"/>
      <c r="CH364" s="40"/>
      <c r="CI364" s="5"/>
      <c r="CK364" s="40"/>
      <c r="CL364" s="5"/>
      <c r="CN364" s="40"/>
      <c r="CO364" s="5"/>
      <c r="CQ364" s="40"/>
      <c r="CR364" s="5"/>
    </row>
    <row r="365">
      <c r="AL365" s="40"/>
      <c r="AM365" s="5"/>
      <c r="AO365" s="40"/>
      <c r="AP365" s="5"/>
      <c r="AR365" s="40"/>
      <c r="AS365" s="5"/>
      <c r="AU365" s="40"/>
      <c r="AV365" s="5"/>
      <c r="AX365" s="40"/>
      <c r="AY365" s="5"/>
      <c r="BA365" s="40"/>
      <c r="BB365" s="5"/>
      <c r="BD365" s="40"/>
      <c r="BE365" s="5"/>
      <c r="BG365" s="40"/>
      <c r="BH365" s="5"/>
      <c r="BJ365" s="40"/>
      <c r="BK365" s="5"/>
      <c r="BM365" s="40"/>
      <c r="BN365" s="5"/>
      <c r="BP365" s="40"/>
      <c r="BQ365" s="5"/>
      <c r="BS365" s="40"/>
      <c r="BT365" s="5"/>
      <c r="BV365" s="40"/>
      <c r="BW365" s="5"/>
      <c r="BY365" s="40"/>
      <c r="BZ365" s="5"/>
      <c r="CB365" s="40"/>
      <c r="CC365" s="5"/>
      <c r="CE365" s="40"/>
      <c r="CF365" s="5"/>
      <c r="CH365" s="40"/>
      <c r="CI365" s="5"/>
      <c r="CK365" s="40"/>
      <c r="CL365" s="5"/>
      <c r="CN365" s="40"/>
      <c r="CO365" s="5"/>
      <c r="CQ365" s="40"/>
      <c r="CR365" s="5"/>
    </row>
    <row r="366">
      <c r="AL366" s="40"/>
      <c r="AM366" s="5"/>
      <c r="AO366" s="40"/>
      <c r="AP366" s="5"/>
      <c r="AR366" s="40"/>
      <c r="AS366" s="5"/>
      <c r="AU366" s="40"/>
      <c r="AV366" s="5"/>
      <c r="AX366" s="40"/>
      <c r="AY366" s="5"/>
      <c r="BA366" s="40"/>
      <c r="BB366" s="5"/>
      <c r="BD366" s="40"/>
      <c r="BE366" s="5"/>
      <c r="BG366" s="40"/>
      <c r="BH366" s="5"/>
      <c r="BJ366" s="40"/>
      <c r="BK366" s="5"/>
      <c r="BM366" s="40"/>
      <c r="BN366" s="5"/>
      <c r="BP366" s="40"/>
      <c r="BQ366" s="5"/>
      <c r="BS366" s="40"/>
      <c r="BT366" s="5"/>
      <c r="BV366" s="40"/>
      <c r="BW366" s="5"/>
      <c r="BY366" s="40"/>
      <c r="BZ366" s="5"/>
      <c r="CB366" s="40"/>
      <c r="CC366" s="5"/>
      <c r="CE366" s="40"/>
      <c r="CF366" s="5"/>
      <c r="CH366" s="40"/>
      <c r="CI366" s="5"/>
      <c r="CK366" s="40"/>
      <c r="CL366" s="5"/>
      <c r="CN366" s="40"/>
      <c r="CO366" s="5"/>
      <c r="CQ366" s="40"/>
      <c r="CR366" s="5"/>
    </row>
    <row r="367">
      <c r="AL367" s="40"/>
      <c r="AM367" s="5"/>
      <c r="AO367" s="40"/>
      <c r="AP367" s="5"/>
      <c r="AR367" s="40"/>
      <c r="AS367" s="5"/>
      <c r="AU367" s="40"/>
      <c r="AV367" s="5"/>
      <c r="AX367" s="40"/>
      <c r="AY367" s="5"/>
      <c r="BA367" s="40"/>
      <c r="BB367" s="5"/>
      <c r="BD367" s="40"/>
      <c r="BE367" s="5"/>
      <c r="BG367" s="40"/>
      <c r="BH367" s="5"/>
      <c r="BJ367" s="40"/>
      <c r="BK367" s="5"/>
      <c r="BM367" s="40"/>
      <c r="BN367" s="5"/>
      <c r="BP367" s="40"/>
      <c r="BQ367" s="5"/>
      <c r="BS367" s="40"/>
      <c r="BT367" s="5"/>
      <c r="BV367" s="40"/>
      <c r="BW367" s="5"/>
      <c r="BY367" s="40"/>
      <c r="BZ367" s="5"/>
      <c r="CB367" s="40"/>
      <c r="CC367" s="5"/>
      <c r="CE367" s="40"/>
      <c r="CF367" s="5"/>
      <c r="CH367" s="40"/>
      <c r="CI367" s="5"/>
      <c r="CK367" s="40"/>
      <c r="CL367" s="5"/>
      <c r="CN367" s="40"/>
      <c r="CO367" s="5"/>
      <c r="CQ367" s="40"/>
      <c r="CR367" s="5"/>
    </row>
    <row r="368">
      <c r="AL368" s="40"/>
      <c r="AM368" s="5"/>
      <c r="AO368" s="40"/>
      <c r="AP368" s="5"/>
      <c r="AR368" s="40"/>
      <c r="AS368" s="5"/>
      <c r="AU368" s="40"/>
      <c r="AV368" s="5"/>
      <c r="AX368" s="40"/>
      <c r="AY368" s="5"/>
      <c r="BA368" s="40"/>
      <c r="BB368" s="5"/>
      <c r="BD368" s="40"/>
      <c r="BE368" s="5"/>
      <c r="BG368" s="40"/>
      <c r="BH368" s="5"/>
      <c r="BJ368" s="40"/>
      <c r="BK368" s="5"/>
      <c r="BM368" s="40"/>
      <c r="BN368" s="5"/>
      <c r="BP368" s="40"/>
      <c r="BQ368" s="5"/>
      <c r="BS368" s="40"/>
      <c r="BT368" s="5"/>
      <c r="BV368" s="40"/>
      <c r="BW368" s="5"/>
      <c r="BY368" s="40"/>
      <c r="BZ368" s="5"/>
      <c r="CB368" s="40"/>
      <c r="CC368" s="5"/>
      <c r="CE368" s="40"/>
      <c r="CF368" s="5"/>
      <c r="CH368" s="40"/>
      <c r="CI368" s="5"/>
      <c r="CK368" s="40"/>
      <c r="CL368" s="5"/>
      <c r="CN368" s="40"/>
      <c r="CO368" s="5"/>
      <c r="CQ368" s="40"/>
      <c r="CR368" s="5"/>
    </row>
    <row r="369">
      <c r="AL369" s="40"/>
      <c r="AM369" s="5"/>
      <c r="AO369" s="40"/>
      <c r="AP369" s="5"/>
      <c r="AR369" s="40"/>
      <c r="AS369" s="5"/>
      <c r="AU369" s="40"/>
      <c r="AV369" s="5"/>
      <c r="AX369" s="40"/>
      <c r="AY369" s="5"/>
      <c r="BA369" s="40"/>
      <c r="BB369" s="5"/>
      <c r="BD369" s="40"/>
      <c r="BE369" s="5"/>
      <c r="BG369" s="40"/>
      <c r="BH369" s="5"/>
      <c r="BJ369" s="40"/>
      <c r="BK369" s="5"/>
      <c r="BM369" s="40"/>
      <c r="BN369" s="5"/>
      <c r="BP369" s="40"/>
      <c r="BQ369" s="5"/>
      <c r="BS369" s="40"/>
      <c r="BT369" s="5"/>
      <c r="BV369" s="40"/>
      <c r="BW369" s="5"/>
      <c r="BY369" s="40"/>
      <c r="BZ369" s="5"/>
      <c r="CB369" s="40"/>
      <c r="CC369" s="5"/>
      <c r="CE369" s="40"/>
      <c r="CF369" s="5"/>
      <c r="CH369" s="40"/>
      <c r="CI369" s="5"/>
      <c r="CK369" s="40"/>
      <c r="CL369" s="5"/>
      <c r="CN369" s="40"/>
      <c r="CO369" s="5"/>
      <c r="CQ369" s="40"/>
      <c r="CR369" s="5"/>
    </row>
    <row r="370">
      <c r="AL370" s="40"/>
      <c r="AM370" s="5"/>
      <c r="AO370" s="40"/>
      <c r="AP370" s="5"/>
      <c r="AR370" s="40"/>
      <c r="AS370" s="5"/>
      <c r="AU370" s="40"/>
      <c r="AV370" s="5"/>
      <c r="AX370" s="40"/>
      <c r="AY370" s="5"/>
      <c r="BA370" s="40"/>
      <c r="BB370" s="5"/>
      <c r="BD370" s="40"/>
      <c r="BE370" s="5"/>
      <c r="BG370" s="40"/>
      <c r="BH370" s="5"/>
      <c r="BJ370" s="40"/>
      <c r="BK370" s="5"/>
      <c r="BM370" s="40"/>
      <c r="BN370" s="5"/>
      <c r="BP370" s="40"/>
      <c r="BQ370" s="5"/>
      <c r="BS370" s="40"/>
      <c r="BT370" s="5"/>
      <c r="BV370" s="40"/>
      <c r="BW370" s="5"/>
      <c r="BY370" s="40"/>
      <c r="BZ370" s="5"/>
      <c r="CB370" s="40"/>
      <c r="CC370" s="5"/>
      <c r="CE370" s="40"/>
      <c r="CF370" s="5"/>
      <c r="CH370" s="40"/>
      <c r="CI370" s="5"/>
      <c r="CK370" s="40"/>
      <c r="CL370" s="5"/>
      <c r="CN370" s="40"/>
      <c r="CO370" s="5"/>
      <c r="CQ370" s="40"/>
      <c r="CR370" s="5"/>
    </row>
    <row r="371">
      <c r="AL371" s="40"/>
      <c r="AM371" s="5"/>
      <c r="AO371" s="40"/>
      <c r="AP371" s="5"/>
      <c r="AR371" s="40"/>
      <c r="AS371" s="5"/>
      <c r="AU371" s="40"/>
      <c r="AV371" s="5"/>
      <c r="AX371" s="40"/>
      <c r="AY371" s="5"/>
      <c r="BA371" s="40"/>
      <c r="BB371" s="5"/>
      <c r="BD371" s="40"/>
      <c r="BE371" s="5"/>
      <c r="BG371" s="40"/>
      <c r="BH371" s="5"/>
      <c r="BJ371" s="40"/>
      <c r="BK371" s="5"/>
      <c r="BM371" s="40"/>
      <c r="BN371" s="5"/>
      <c r="BP371" s="40"/>
      <c r="BQ371" s="5"/>
      <c r="BS371" s="40"/>
      <c r="BT371" s="5"/>
      <c r="BV371" s="40"/>
      <c r="BW371" s="5"/>
      <c r="BY371" s="40"/>
      <c r="BZ371" s="5"/>
      <c r="CB371" s="40"/>
      <c r="CC371" s="5"/>
      <c r="CE371" s="40"/>
      <c r="CF371" s="5"/>
      <c r="CH371" s="40"/>
      <c r="CI371" s="5"/>
      <c r="CK371" s="40"/>
      <c r="CL371" s="5"/>
      <c r="CN371" s="40"/>
      <c r="CO371" s="5"/>
      <c r="CQ371" s="40"/>
      <c r="CR371" s="5"/>
    </row>
    <row r="372">
      <c r="AL372" s="40"/>
      <c r="AM372" s="5"/>
      <c r="AO372" s="40"/>
      <c r="AP372" s="5"/>
      <c r="AR372" s="40"/>
      <c r="AS372" s="5"/>
      <c r="AU372" s="40"/>
      <c r="AV372" s="5"/>
      <c r="AX372" s="40"/>
      <c r="AY372" s="5"/>
      <c r="BA372" s="40"/>
      <c r="BB372" s="5"/>
      <c r="BD372" s="40"/>
      <c r="BE372" s="5"/>
      <c r="BG372" s="40"/>
      <c r="BH372" s="5"/>
      <c r="BJ372" s="40"/>
      <c r="BK372" s="5"/>
      <c r="BM372" s="40"/>
      <c r="BN372" s="5"/>
      <c r="BP372" s="40"/>
      <c r="BQ372" s="5"/>
      <c r="BS372" s="40"/>
      <c r="BT372" s="5"/>
      <c r="BV372" s="40"/>
      <c r="BW372" s="5"/>
      <c r="BY372" s="40"/>
      <c r="BZ372" s="5"/>
      <c r="CB372" s="40"/>
      <c r="CC372" s="5"/>
      <c r="CE372" s="40"/>
      <c r="CF372" s="5"/>
      <c r="CH372" s="40"/>
      <c r="CI372" s="5"/>
      <c r="CK372" s="40"/>
      <c r="CL372" s="5"/>
      <c r="CN372" s="40"/>
      <c r="CO372" s="5"/>
      <c r="CQ372" s="40"/>
      <c r="CR372" s="5"/>
    </row>
    <row r="373">
      <c r="AL373" s="40"/>
      <c r="AM373" s="5"/>
      <c r="AO373" s="40"/>
      <c r="AP373" s="5"/>
      <c r="AR373" s="40"/>
      <c r="AS373" s="5"/>
      <c r="AU373" s="40"/>
      <c r="AV373" s="5"/>
      <c r="AX373" s="40"/>
      <c r="AY373" s="5"/>
      <c r="BA373" s="40"/>
      <c r="BB373" s="5"/>
      <c r="BD373" s="40"/>
      <c r="BE373" s="5"/>
      <c r="BG373" s="40"/>
      <c r="BH373" s="5"/>
      <c r="BJ373" s="40"/>
      <c r="BK373" s="5"/>
      <c r="BM373" s="40"/>
      <c r="BN373" s="5"/>
      <c r="BP373" s="40"/>
      <c r="BQ373" s="5"/>
      <c r="BS373" s="40"/>
      <c r="BT373" s="5"/>
      <c r="BV373" s="40"/>
      <c r="BW373" s="5"/>
      <c r="BY373" s="40"/>
      <c r="BZ373" s="5"/>
      <c r="CB373" s="40"/>
      <c r="CC373" s="5"/>
      <c r="CE373" s="40"/>
      <c r="CF373" s="5"/>
      <c r="CH373" s="40"/>
      <c r="CI373" s="5"/>
      <c r="CK373" s="40"/>
      <c r="CL373" s="5"/>
      <c r="CN373" s="40"/>
      <c r="CO373" s="5"/>
      <c r="CQ373" s="40"/>
      <c r="CR373" s="5"/>
    </row>
    <row r="374">
      <c r="AL374" s="40"/>
      <c r="AM374" s="5"/>
      <c r="AO374" s="40"/>
      <c r="AP374" s="5"/>
      <c r="AR374" s="40"/>
      <c r="AS374" s="5"/>
      <c r="AU374" s="40"/>
      <c r="AV374" s="5"/>
      <c r="AX374" s="40"/>
      <c r="AY374" s="5"/>
      <c r="BA374" s="40"/>
      <c r="BB374" s="5"/>
      <c r="BD374" s="40"/>
      <c r="BE374" s="5"/>
      <c r="BG374" s="40"/>
      <c r="BH374" s="5"/>
      <c r="BJ374" s="40"/>
      <c r="BK374" s="5"/>
      <c r="BM374" s="40"/>
      <c r="BN374" s="5"/>
      <c r="BP374" s="40"/>
      <c r="BQ374" s="5"/>
      <c r="BS374" s="40"/>
      <c r="BT374" s="5"/>
      <c r="BV374" s="40"/>
      <c r="BW374" s="5"/>
      <c r="BY374" s="40"/>
      <c r="BZ374" s="5"/>
      <c r="CB374" s="40"/>
      <c r="CC374" s="5"/>
      <c r="CE374" s="40"/>
      <c r="CF374" s="5"/>
      <c r="CH374" s="40"/>
      <c r="CI374" s="5"/>
      <c r="CK374" s="40"/>
      <c r="CL374" s="5"/>
      <c r="CN374" s="40"/>
      <c r="CO374" s="5"/>
      <c r="CQ374" s="40"/>
      <c r="CR374" s="5"/>
    </row>
    <row r="375">
      <c r="AL375" s="40"/>
      <c r="AM375" s="5"/>
      <c r="AO375" s="40"/>
      <c r="AP375" s="5"/>
      <c r="AR375" s="40"/>
      <c r="AS375" s="5"/>
      <c r="AU375" s="40"/>
      <c r="AV375" s="5"/>
      <c r="AX375" s="40"/>
      <c r="AY375" s="5"/>
      <c r="BA375" s="40"/>
      <c r="BB375" s="5"/>
      <c r="BD375" s="40"/>
      <c r="BE375" s="5"/>
      <c r="BG375" s="40"/>
      <c r="BH375" s="5"/>
      <c r="BJ375" s="40"/>
      <c r="BK375" s="5"/>
      <c r="BM375" s="40"/>
      <c r="BN375" s="5"/>
      <c r="BP375" s="40"/>
      <c r="BQ375" s="5"/>
      <c r="BS375" s="40"/>
      <c r="BT375" s="5"/>
      <c r="BV375" s="40"/>
      <c r="BW375" s="5"/>
      <c r="BY375" s="40"/>
      <c r="BZ375" s="5"/>
      <c r="CB375" s="40"/>
      <c r="CC375" s="5"/>
      <c r="CE375" s="40"/>
      <c r="CF375" s="5"/>
      <c r="CH375" s="40"/>
      <c r="CI375" s="5"/>
      <c r="CK375" s="40"/>
      <c r="CL375" s="5"/>
      <c r="CN375" s="40"/>
      <c r="CO375" s="5"/>
      <c r="CQ375" s="40"/>
      <c r="CR375" s="5"/>
    </row>
    <row r="376">
      <c r="AL376" s="40"/>
      <c r="AM376" s="5"/>
      <c r="AO376" s="40"/>
      <c r="AP376" s="5"/>
      <c r="AR376" s="40"/>
      <c r="AS376" s="5"/>
      <c r="AU376" s="40"/>
      <c r="AV376" s="5"/>
      <c r="AX376" s="40"/>
      <c r="AY376" s="5"/>
      <c r="BA376" s="40"/>
      <c r="BB376" s="5"/>
      <c r="BD376" s="40"/>
      <c r="BE376" s="5"/>
      <c r="BG376" s="40"/>
      <c r="BH376" s="5"/>
      <c r="BJ376" s="40"/>
      <c r="BK376" s="5"/>
      <c r="BM376" s="40"/>
      <c r="BN376" s="5"/>
      <c r="BP376" s="40"/>
      <c r="BQ376" s="5"/>
      <c r="BS376" s="40"/>
      <c r="BT376" s="5"/>
      <c r="BV376" s="40"/>
      <c r="BW376" s="5"/>
      <c r="BY376" s="40"/>
      <c r="BZ376" s="5"/>
      <c r="CB376" s="40"/>
      <c r="CC376" s="5"/>
      <c r="CE376" s="40"/>
      <c r="CF376" s="5"/>
      <c r="CH376" s="40"/>
      <c r="CI376" s="5"/>
      <c r="CK376" s="40"/>
      <c r="CL376" s="5"/>
      <c r="CN376" s="40"/>
      <c r="CO376" s="5"/>
      <c r="CQ376" s="40"/>
      <c r="CR376" s="5"/>
    </row>
    <row r="377">
      <c r="AL377" s="40"/>
      <c r="AM377" s="5"/>
      <c r="AO377" s="40"/>
      <c r="AP377" s="5"/>
      <c r="AR377" s="40"/>
      <c r="AS377" s="5"/>
      <c r="AU377" s="40"/>
      <c r="AV377" s="5"/>
      <c r="AX377" s="40"/>
      <c r="AY377" s="5"/>
      <c r="BA377" s="40"/>
      <c r="BB377" s="5"/>
      <c r="BD377" s="40"/>
      <c r="BE377" s="5"/>
      <c r="BG377" s="40"/>
      <c r="BH377" s="5"/>
      <c r="BJ377" s="40"/>
      <c r="BK377" s="5"/>
      <c r="BM377" s="40"/>
      <c r="BN377" s="5"/>
      <c r="BP377" s="40"/>
      <c r="BQ377" s="5"/>
      <c r="BS377" s="40"/>
      <c r="BT377" s="5"/>
      <c r="BV377" s="40"/>
      <c r="BW377" s="5"/>
      <c r="BY377" s="40"/>
      <c r="BZ377" s="5"/>
      <c r="CB377" s="40"/>
      <c r="CC377" s="5"/>
      <c r="CE377" s="40"/>
      <c r="CF377" s="5"/>
      <c r="CH377" s="40"/>
      <c r="CI377" s="5"/>
      <c r="CK377" s="40"/>
      <c r="CL377" s="5"/>
      <c r="CN377" s="40"/>
      <c r="CO377" s="5"/>
      <c r="CQ377" s="40"/>
      <c r="CR377" s="5"/>
    </row>
    <row r="378">
      <c r="AL378" s="40"/>
      <c r="AM378" s="5"/>
      <c r="AO378" s="40"/>
      <c r="AP378" s="5"/>
      <c r="AR378" s="40"/>
      <c r="AS378" s="5"/>
      <c r="AU378" s="40"/>
      <c r="AV378" s="5"/>
      <c r="AX378" s="40"/>
      <c r="AY378" s="5"/>
      <c r="BA378" s="40"/>
      <c r="BB378" s="5"/>
      <c r="BD378" s="40"/>
      <c r="BE378" s="5"/>
      <c r="BG378" s="40"/>
      <c r="BH378" s="5"/>
      <c r="BJ378" s="40"/>
      <c r="BK378" s="5"/>
      <c r="BM378" s="40"/>
      <c r="BN378" s="5"/>
      <c r="BP378" s="40"/>
      <c r="BQ378" s="5"/>
      <c r="BS378" s="40"/>
      <c r="BT378" s="5"/>
      <c r="BV378" s="40"/>
      <c r="BW378" s="5"/>
      <c r="BY378" s="40"/>
      <c r="BZ378" s="5"/>
      <c r="CB378" s="40"/>
      <c r="CC378" s="5"/>
      <c r="CE378" s="40"/>
      <c r="CF378" s="5"/>
      <c r="CH378" s="40"/>
      <c r="CI378" s="5"/>
      <c r="CK378" s="40"/>
      <c r="CL378" s="5"/>
      <c r="CN378" s="40"/>
      <c r="CO378" s="5"/>
      <c r="CQ378" s="40"/>
      <c r="CR378" s="5"/>
    </row>
    <row r="379">
      <c r="AL379" s="40"/>
      <c r="AM379" s="5"/>
      <c r="AO379" s="40"/>
      <c r="AP379" s="5"/>
      <c r="AR379" s="40"/>
      <c r="AS379" s="5"/>
      <c r="AU379" s="40"/>
      <c r="AV379" s="5"/>
      <c r="AX379" s="40"/>
      <c r="AY379" s="5"/>
      <c r="BA379" s="40"/>
      <c r="BB379" s="5"/>
      <c r="BD379" s="40"/>
      <c r="BE379" s="5"/>
      <c r="BG379" s="40"/>
      <c r="BH379" s="5"/>
      <c r="BJ379" s="40"/>
      <c r="BK379" s="5"/>
      <c r="BM379" s="40"/>
      <c r="BN379" s="5"/>
      <c r="BP379" s="40"/>
      <c r="BQ379" s="5"/>
      <c r="BS379" s="40"/>
      <c r="BT379" s="5"/>
      <c r="BV379" s="40"/>
      <c r="BW379" s="5"/>
      <c r="BY379" s="40"/>
      <c r="BZ379" s="5"/>
      <c r="CB379" s="40"/>
      <c r="CC379" s="5"/>
      <c r="CE379" s="40"/>
      <c r="CF379" s="5"/>
      <c r="CH379" s="40"/>
      <c r="CI379" s="5"/>
      <c r="CK379" s="40"/>
      <c r="CL379" s="5"/>
      <c r="CN379" s="40"/>
      <c r="CO379" s="5"/>
      <c r="CQ379" s="40"/>
      <c r="CR379" s="5"/>
    </row>
    <row r="380">
      <c r="AL380" s="40"/>
      <c r="AM380" s="5"/>
      <c r="AO380" s="40"/>
      <c r="AP380" s="5"/>
      <c r="AR380" s="40"/>
      <c r="AS380" s="5"/>
      <c r="AU380" s="40"/>
      <c r="AV380" s="5"/>
      <c r="AX380" s="40"/>
      <c r="AY380" s="5"/>
      <c r="BA380" s="40"/>
      <c r="BB380" s="5"/>
      <c r="BD380" s="40"/>
      <c r="BE380" s="5"/>
      <c r="BG380" s="40"/>
      <c r="BH380" s="5"/>
      <c r="BJ380" s="40"/>
      <c r="BK380" s="5"/>
      <c r="BM380" s="40"/>
      <c r="BN380" s="5"/>
      <c r="BP380" s="40"/>
      <c r="BQ380" s="5"/>
      <c r="BS380" s="40"/>
      <c r="BT380" s="5"/>
      <c r="BV380" s="40"/>
      <c r="BW380" s="5"/>
      <c r="BY380" s="40"/>
      <c r="BZ380" s="5"/>
      <c r="CB380" s="40"/>
      <c r="CC380" s="5"/>
      <c r="CE380" s="40"/>
      <c r="CF380" s="5"/>
      <c r="CH380" s="40"/>
      <c r="CI380" s="5"/>
      <c r="CK380" s="40"/>
      <c r="CL380" s="5"/>
      <c r="CN380" s="40"/>
      <c r="CO380" s="5"/>
      <c r="CQ380" s="40"/>
      <c r="CR380" s="5"/>
    </row>
    <row r="381">
      <c r="AL381" s="40"/>
      <c r="AM381" s="5"/>
      <c r="AO381" s="40"/>
      <c r="AP381" s="5"/>
      <c r="AR381" s="40"/>
      <c r="AS381" s="5"/>
      <c r="AU381" s="40"/>
      <c r="AV381" s="5"/>
      <c r="AX381" s="40"/>
      <c r="AY381" s="5"/>
      <c r="BA381" s="40"/>
      <c r="BB381" s="5"/>
      <c r="BD381" s="40"/>
      <c r="BE381" s="5"/>
      <c r="BG381" s="40"/>
      <c r="BH381" s="5"/>
      <c r="BJ381" s="40"/>
      <c r="BK381" s="5"/>
      <c r="BM381" s="40"/>
      <c r="BN381" s="5"/>
      <c r="BP381" s="40"/>
      <c r="BQ381" s="5"/>
      <c r="BS381" s="40"/>
      <c r="BT381" s="5"/>
      <c r="BV381" s="40"/>
      <c r="BW381" s="5"/>
      <c r="BY381" s="40"/>
      <c r="BZ381" s="5"/>
      <c r="CB381" s="40"/>
      <c r="CC381" s="5"/>
      <c r="CE381" s="40"/>
      <c r="CF381" s="5"/>
      <c r="CH381" s="40"/>
      <c r="CI381" s="5"/>
      <c r="CK381" s="40"/>
      <c r="CL381" s="5"/>
      <c r="CN381" s="40"/>
      <c r="CO381" s="5"/>
      <c r="CQ381" s="40"/>
      <c r="CR381" s="5"/>
    </row>
    <row r="382">
      <c r="AL382" s="40"/>
      <c r="AM382" s="5"/>
      <c r="AO382" s="40"/>
      <c r="AP382" s="5"/>
      <c r="AR382" s="40"/>
      <c r="AS382" s="5"/>
      <c r="AU382" s="40"/>
      <c r="AV382" s="5"/>
      <c r="AX382" s="40"/>
      <c r="AY382" s="5"/>
      <c r="BA382" s="40"/>
      <c r="BB382" s="5"/>
      <c r="BD382" s="40"/>
      <c r="BE382" s="5"/>
      <c r="BG382" s="40"/>
      <c r="BH382" s="5"/>
      <c r="BJ382" s="40"/>
      <c r="BK382" s="5"/>
      <c r="BM382" s="40"/>
      <c r="BN382" s="5"/>
      <c r="BP382" s="40"/>
      <c r="BQ382" s="5"/>
      <c r="BS382" s="40"/>
      <c r="BT382" s="5"/>
      <c r="BV382" s="40"/>
      <c r="BW382" s="5"/>
      <c r="BY382" s="40"/>
      <c r="BZ382" s="5"/>
      <c r="CB382" s="40"/>
      <c r="CC382" s="5"/>
      <c r="CE382" s="40"/>
      <c r="CF382" s="5"/>
      <c r="CH382" s="40"/>
      <c r="CI382" s="5"/>
      <c r="CK382" s="40"/>
      <c r="CL382" s="5"/>
      <c r="CN382" s="40"/>
      <c r="CO382" s="5"/>
      <c r="CQ382" s="40"/>
      <c r="CR382" s="5"/>
    </row>
    <row r="383">
      <c r="AL383" s="40"/>
      <c r="AM383" s="5"/>
      <c r="AO383" s="40"/>
      <c r="AP383" s="5"/>
      <c r="AR383" s="40"/>
      <c r="AS383" s="5"/>
      <c r="AU383" s="40"/>
      <c r="AV383" s="5"/>
      <c r="AX383" s="40"/>
      <c r="AY383" s="5"/>
      <c r="BA383" s="40"/>
      <c r="BB383" s="5"/>
      <c r="BD383" s="40"/>
      <c r="BE383" s="5"/>
      <c r="BG383" s="40"/>
      <c r="BH383" s="5"/>
      <c r="BJ383" s="40"/>
      <c r="BK383" s="5"/>
      <c r="BM383" s="40"/>
      <c r="BN383" s="5"/>
      <c r="BP383" s="40"/>
      <c r="BQ383" s="5"/>
      <c r="BS383" s="40"/>
      <c r="BT383" s="5"/>
      <c r="BV383" s="40"/>
      <c r="BW383" s="5"/>
      <c r="BY383" s="40"/>
      <c r="BZ383" s="5"/>
      <c r="CB383" s="40"/>
      <c r="CC383" s="5"/>
      <c r="CE383" s="40"/>
      <c r="CF383" s="5"/>
      <c r="CH383" s="40"/>
      <c r="CI383" s="5"/>
      <c r="CK383" s="40"/>
      <c r="CL383" s="5"/>
      <c r="CN383" s="40"/>
      <c r="CO383" s="5"/>
      <c r="CQ383" s="40"/>
      <c r="CR383" s="5"/>
    </row>
    <row r="384">
      <c r="AL384" s="40"/>
      <c r="AM384" s="5"/>
      <c r="AO384" s="40"/>
      <c r="AP384" s="5"/>
      <c r="AR384" s="40"/>
      <c r="AS384" s="5"/>
      <c r="AU384" s="40"/>
      <c r="AV384" s="5"/>
      <c r="AX384" s="40"/>
      <c r="AY384" s="5"/>
      <c r="BA384" s="40"/>
      <c r="BB384" s="5"/>
      <c r="BD384" s="40"/>
      <c r="BE384" s="5"/>
      <c r="BG384" s="40"/>
      <c r="BH384" s="5"/>
      <c r="BJ384" s="40"/>
      <c r="BK384" s="5"/>
      <c r="BM384" s="40"/>
      <c r="BN384" s="5"/>
      <c r="BP384" s="40"/>
      <c r="BQ384" s="5"/>
      <c r="BS384" s="40"/>
      <c r="BT384" s="5"/>
      <c r="BV384" s="40"/>
      <c r="BW384" s="5"/>
      <c r="BY384" s="40"/>
      <c r="BZ384" s="5"/>
      <c r="CB384" s="40"/>
      <c r="CC384" s="5"/>
      <c r="CE384" s="40"/>
      <c r="CF384" s="5"/>
      <c r="CH384" s="40"/>
      <c r="CI384" s="5"/>
      <c r="CK384" s="40"/>
      <c r="CL384" s="5"/>
      <c r="CN384" s="40"/>
      <c r="CO384" s="5"/>
      <c r="CQ384" s="40"/>
      <c r="CR384" s="5"/>
    </row>
    <row r="385">
      <c r="AL385" s="40"/>
      <c r="AM385" s="5"/>
      <c r="AO385" s="40"/>
      <c r="AP385" s="5"/>
      <c r="AR385" s="40"/>
      <c r="AS385" s="5"/>
      <c r="AU385" s="40"/>
      <c r="AV385" s="5"/>
      <c r="AX385" s="40"/>
      <c r="AY385" s="5"/>
      <c r="BA385" s="40"/>
      <c r="BB385" s="5"/>
      <c r="BD385" s="40"/>
      <c r="BE385" s="5"/>
      <c r="BG385" s="40"/>
      <c r="BH385" s="5"/>
      <c r="BJ385" s="40"/>
      <c r="BK385" s="5"/>
      <c r="BM385" s="40"/>
      <c r="BN385" s="5"/>
      <c r="BP385" s="40"/>
      <c r="BQ385" s="5"/>
      <c r="BS385" s="40"/>
      <c r="BT385" s="5"/>
      <c r="BV385" s="40"/>
      <c r="BW385" s="5"/>
      <c r="BY385" s="40"/>
      <c r="BZ385" s="5"/>
      <c r="CB385" s="40"/>
      <c r="CC385" s="5"/>
      <c r="CE385" s="40"/>
      <c r="CF385" s="5"/>
      <c r="CH385" s="40"/>
      <c r="CI385" s="5"/>
      <c r="CK385" s="40"/>
      <c r="CL385" s="5"/>
      <c r="CN385" s="40"/>
      <c r="CO385" s="5"/>
      <c r="CQ385" s="40"/>
      <c r="CR385" s="5"/>
    </row>
    <row r="386">
      <c r="AL386" s="40"/>
      <c r="AM386" s="5"/>
      <c r="AO386" s="40"/>
      <c r="AP386" s="5"/>
      <c r="AR386" s="40"/>
      <c r="AS386" s="5"/>
      <c r="AU386" s="40"/>
      <c r="AV386" s="5"/>
      <c r="AX386" s="40"/>
      <c r="AY386" s="5"/>
      <c r="BA386" s="40"/>
      <c r="BB386" s="5"/>
      <c r="BD386" s="40"/>
      <c r="BE386" s="5"/>
      <c r="BG386" s="40"/>
      <c r="BH386" s="5"/>
      <c r="BJ386" s="40"/>
      <c r="BK386" s="5"/>
      <c r="BM386" s="40"/>
      <c r="BN386" s="5"/>
      <c r="BP386" s="40"/>
      <c r="BQ386" s="5"/>
      <c r="BS386" s="40"/>
      <c r="BT386" s="5"/>
      <c r="BV386" s="40"/>
      <c r="BW386" s="5"/>
      <c r="BY386" s="40"/>
      <c r="BZ386" s="5"/>
      <c r="CB386" s="40"/>
      <c r="CC386" s="5"/>
      <c r="CE386" s="40"/>
      <c r="CF386" s="5"/>
      <c r="CH386" s="40"/>
      <c r="CI386" s="5"/>
      <c r="CK386" s="40"/>
      <c r="CL386" s="5"/>
      <c r="CN386" s="40"/>
      <c r="CO386" s="5"/>
      <c r="CQ386" s="40"/>
      <c r="CR386" s="5"/>
    </row>
    <row r="387">
      <c r="AL387" s="40"/>
      <c r="AM387" s="5"/>
      <c r="AO387" s="40"/>
      <c r="AP387" s="5"/>
      <c r="AR387" s="40"/>
      <c r="AS387" s="5"/>
      <c r="AU387" s="40"/>
      <c r="AV387" s="5"/>
      <c r="AX387" s="40"/>
      <c r="AY387" s="5"/>
      <c r="BA387" s="40"/>
      <c r="BB387" s="5"/>
      <c r="BD387" s="40"/>
      <c r="BE387" s="5"/>
      <c r="BG387" s="40"/>
      <c r="BH387" s="5"/>
      <c r="BJ387" s="40"/>
      <c r="BK387" s="5"/>
      <c r="BM387" s="40"/>
      <c r="BN387" s="5"/>
      <c r="BP387" s="40"/>
      <c r="BQ387" s="5"/>
      <c r="BS387" s="40"/>
      <c r="BT387" s="5"/>
      <c r="BV387" s="40"/>
      <c r="BW387" s="5"/>
      <c r="BY387" s="40"/>
      <c r="BZ387" s="5"/>
      <c r="CB387" s="40"/>
      <c r="CC387" s="5"/>
      <c r="CE387" s="40"/>
      <c r="CF387" s="5"/>
      <c r="CH387" s="40"/>
      <c r="CI387" s="5"/>
      <c r="CK387" s="40"/>
      <c r="CL387" s="5"/>
      <c r="CN387" s="40"/>
      <c r="CO387" s="5"/>
      <c r="CQ387" s="40"/>
      <c r="CR387" s="5"/>
    </row>
    <row r="388">
      <c r="AL388" s="40"/>
      <c r="AM388" s="5"/>
      <c r="AO388" s="40"/>
      <c r="AP388" s="5"/>
      <c r="AR388" s="40"/>
      <c r="AS388" s="5"/>
      <c r="AU388" s="40"/>
      <c r="AV388" s="5"/>
      <c r="AX388" s="40"/>
      <c r="AY388" s="5"/>
      <c r="BA388" s="40"/>
      <c r="BB388" s="5"/>
      <c r="BD388" s="40"/>
      <c r="BE388" s="5"/>
      <c r="BG388" s="40"/>
      <c r="BH388" s="5"/>
      <c r="BJ388" s="40"/>
      <c r="BK388" s="5"/>
      <c r="BM388" s="40"/>
      <c r="BN388" s="5"/>
      <c r="BP388" s="40"/>
      <c r="BQ388" s="5"/>
      <c r="BS388" s="40"/>
      <c r="BT388" s="5"/>
      <c r="BV388" s="40"/>
      <c r="BW388" s="5"/>
      <c r="BY388" s="40"/>
      <c r="BZ388" s="5"/>
      <c r="CB388" s="40"/>
      <c r="CC388" s="5"/>
      <c r="CE388" s="40"/>
      <c r="CF388" s="5"/>
      <c r="CH388" s="40"/>
      <c r="CI388" s="5"/>
      <c r="CK388" s="40"/>
      <c r="CL388" s="5"/>
      <c r="CN388" s="40"/>
      <c r="CO388" s="5"/>
      <c r="CQ388" s="40"/>
      <c r="CR388" s="5"/>
    </row>
    <row r="389">
      <c r="AL389" s="40"/>
      <c r="AM389" s="5"/>
      <c r="AO389" s="40"/>
      <c r="AP389" s="5"/>
      <c r="AR389" s="40"/>
      <c r="AS389" s="5"/>
      <c r="AU389" s="40"/>
      <c r="AV389" s="5"/>
      <c r="AX389" s="40"/>
      <c r="AY389" s="5"/>
      <c r="BA389" s="40"/>
      <c r="BB389" s="5"/>
      <c r="BD389" s="40"/>
      <c r="BE389" s="5"/>
      <c r="BG389" s="40"/>
      <c r="BH389" s="5"/>
      <c r="BJ389" s="40"/>
      <c r="BK389" s="5"/>
      <c r="BM389" s="40"/>
      <c r="BN389" s="5"/>
      <c r="BP389" s="40"/>
      <c r="BQ389" s="5"/>
      <c r="BS389" s="40"/>
      <c r="BT389" s="5"/>
      <c r="BV389" s="40"/>
      <c r="BW389" s="5"/>
      <c r="BY389" s="40"/>
      <c r="BZ389" s="5"/>
      <c r="CB389" s="40"/>
      <c r="CC389" s="5"/>
      <c r="CE389" s="40"/>
      <c r="CF389" s="5"/>
      <c r="CH389" s="40"/>
      <c r="CI389" s="5"/>
      <c r="CK389" s="40"/>
      <c r="CL389" s="5"/>
      <c r="CN389" s="40"/>
      <c r="CO389" s="5"/>
      <c r="CQ389" s="40"/>
      <c r="CR389" s="5"/>
    </row>
    <row r="390">
      <c r="AL390" s="40"/>
      <c r="AM390" s="5"/>
      <c r="AO390" s="40"/>
      <c r="AP390" s="5"/>
      <c r="AR390" s="40"/>
      <c r="AS390" s="5"/>
      <c r="AU390" s="40"/>
      <c r="AV390" s="5"/>
      <c r="AX390" s="40"/>
      <c r="AY390" s="5"/>
      <c r="BA390" s="40"/>
      <c r="BB390" s="5"/>
      <c r="BD390" s="40"/>
      <c r="BE390" s="5"/>
      <c r="BG390" s="40"/>
      <c r="BH390" s="5"/>
      <c r="BJ390" s="40"/>
      <c r="BK390" s="5"/>
      <c r="BM390" s="40"/>
      <c r="BN390" s="5"/>
      <c r="BP390" s="40"/>
      <c r="BQ390" s="5"/>
      <c r="BS390" s="40"/>
      <c r="BT390" s="5"/>
      <c r="BV390" s="40"/>
      <c r="BW390" s="5"/>
      <c r="BY390" s="40"/>
      <c r="BZ390" s="5"/>
      <c r="CB390" s="40"/>
      <c r="CC390" s="5"/>
      <c r="CE390" s="40"/>
      <c r="CF390" s="5"/>
      <c r="CH390" s="40"/>
      <c r="CI390" s="5"/>
      <c r="CK390" s="40"/>
      <c r="CL390" s="5"/>
      <c r="CN390" s="40"/>
      <c r="CO390" s="5"/>
      <c r="CQ390" s="40"/>
      <c r="CR390" s="5"/>
    </row>
    <row r="391">
      <c r="AL391" s="40"/>
      <c r="AM391" s="5"/>
      <c r="AO391" s="40"/>
      <c r="AP391" s="5"/>
      <c r="AR391" s="40"/>
      <c r="AS391" s="5"/>
      <c r="AU391" s="40"/>
      <c r="AV391" s="5"/>
      <c r="AX391" s="40"/>
      <c r="AY391" s="5"/>
      <c r="BA391" s="40"/>
      <c r="BB391" s="5"/>
      <c r="BD391" s="40"/>
      <c r="BE391" s="5"/>
      <c r="BG391" s="40"/>
      <c r="BH391" s="5"/>
      <c r="BJ391" s="40"/>
      <c r="BK391" s="5"/>
      <c r="BM391" s="40"/>
      <c r="BN391" s="5"/>
      <c r="BP391" s="40"/>
      <c r="BQ391" s="5"/>
      <c r="BS391" s="40"/>
      <c r="BT391" s="5"/>
      <c r="BV391" s="40"/>
      <c r="BW391" s="5"/>
      <c r="BY391" s="40"/>
      <c r="BZ391" s="5"/>
      <c r="CB391" s="40"/>
      <c r="CC391" s="5"/>
      <c r="CE391" s="40"/>
      <c r="CF391" s="5"/>
      <c r="CH391" s="40"/>
      <c r="CI391" s="5"/>
      <c r="CK391" s="40"/>
      <c r="CL391" s="5"/>
      <c r="CN391" s="40"/>
      <c r="CO391" s="5"/>
      <c r="CQ391" s="40"/>
      <c r="CR391" s="5"/>
    </row>
    <row r="392">
      <c r="AL392" s="40"/>
      <c r="AM392" s="5"/>
      <c r="AO392" s="40"/>
      <c r="AP392" s="5"/>
      <c r="AR392" s="40"/>
      <c r="AS392" s="5"/>
      <c r="AU392" s="40"/>
      <c r="AV392" s="5"/>
      <c r="AX392" s="40"/>
      <c r="AY392" s="5"/>
      <c r="BA392" s="40"/>
      <c r="BB392" s="5"/>
      <c r="BD392" s="40"/>
      <c r="BE392" s="5"/>
      <c r="BG392" s="40"/>
      <c r="BH392" s="5"/>
      <c r="BJ392" s="40"/>
      <c r="BK392" s="5"/>
      <c r="BM392" s="40"/>
      <c r="BN392" s="5"/>
      <c r="BP392" s="40"/>
      <c r="BQ392" s="5"/>
      <c r="BS392" s="40"/>
      <c r="BT392" s="5"/>
      <c r="BV392" s="40"/>
      <c r="BW392" s="5"/>
      <c r="BY392" s="40"/>
      <c r="BZ392" s="5"/>
      <c r="CB392" s="40"/>
      <c r="CC392" s="5"/>
      <c r="CE392" s="40"/>
      <c r="CF392" s="5"/>
      <c r="CH392" s="40"/>
      <c r="CI392" s="5"/>
      <c r="CK392" s="40"/>
      <c r="CL392" s="5"/>
      <c r="CN392" s="40"/>
      <c r="CO392" s="5"/>
      <c r="CQ392" s="40"/>
      <c r="CR392" s="5"/>
    </row>
    <row r="393">
      <c r="AL393" s="40"/>
      <c r="AM393" s="5"/>
      <c r="AO393" s="40"/>
      <c r="AP393" s="5"/>
      <c r="AR393" s="40"/>
      <c r="AS393" s="5"/>
      <c r="AU393" s="40"/>
      <c r="AV393" s="5"/>
      <c r="AX393" s="40"/>
      <c r="AY393" s="5"/>
      <c r="BA393" s="40"/>
      <c r="BB393" s="5"/>
      <c r="BD393" s="40"/>
      <c r="BE393" s="5"/>
      <c r="BG393" s="40"/>
      <c r="BH393" s="5"/>
      <c r="BJ393" s="40"/>
      <c r="BK393" s="5"/>
      <c r="BM393" s="40"/>
      <c r="BN393" s="5"/>
      <c r="BP393" s="40"/>
      <c r="BQ393" s="5"/>
      <c r="BS393" s="40"/>
      <c r="BT393" s="5"/>
      <c r="BV393" s="40"/>
      <c r="BW393" s="5"/>
      <c r="BY393" s="40"/>
      <c r="BZ393" s="5"/>
      <c r="CB393" s="40"/>
      <c r="CC393" s="5"/>
      <c r="CE393" s="40"/>
      <c r="CF393" s="5"/>
      <c r="CH393" s="40"/>
      <c r="CI393" s="5"/>
      <c r="CK393" s="40"/>
      <c r="CL393" s="5"/>
      <c r="CN393" s="40"/>
      <c r="CO393" s="5"/>
      <c r="CQ393" s="40"/>
      <c r="CR393" s="5"/>
    </row>
    <row r="394">
      <c r="AL394" s="40"/>
      <c r="AM394" s="5"/>
      <c r="AO394" s="40"/>
      <c r="AP394" s="5"/>
      <c r="AR394" s="40"/>
      <c r="AS394" s="5"/>
      <c r="AU394" s="40"/>
      <c r="AV394" s="5"/>
      <c r="AX394" s="40"/>
      <c r="AY394" s="5"/>
      <c r="BA394" s="40"/>
      <c r="BB394" s="5"/>
      <c r="BD394" s="40"/>
      <c r="BE394" s="5"/>
      <c r="BG394" s="40"/>
      <c r="BH394" s="5"/>
      <c r="BJ394" s="40"/>
      <c r="BK394" s="5"/>
      <c r="BM394" s="40"/>
      <c r="BN394" s="5"/>
      <c r="BP394" s="40"/>
      <c r="BQ394" s="5"/>
      <c r="BS394" s="40"/>
      <c r="BT394" s="5"/>
      <c r="BV394" s="40"/>
      <c r="BW394" s="5"/>
      <c r="BY394" s="40"/>
      <c r="BZ394" s="5"/>
      <c r="CB394" s="40"/>
      <c r="CC394" s="5"/>
      <c r="CE394" s="40"/>
      <c r="CF394" s="5"/>
      <c r="CH394" s="40"/>
      <c r="CI394" s="5"/>
      <c r="CK394" s="40"/>
      <c r="CL394" s="5"/>
      <c r="CN394" s="40"/>
      <c r="CO394" s="5"/>
      <c r="CQ394" s="40"/>
      <c r="CR394" s="5"/>
    </row>
    <row r="395">
      <c r="AL395" s="40"/>
      <c r="AM395" s="5"/>
      <c r="AO395" s="40"/>
      <c r="AP395" s="5"/>
      <c r="AR395" s="40"/>
      <c r="AS395" s="5"/>
      <c r="AU395" s="40"/>
      <c r="AV395" s="5"/>
      <c r="AX395" s="40"/>
      <c r="AY395" s="5"/>
      <c r="BA395" s="40"/>
      <c r="BB395" s="5"/>
      <c r="BD395" s="40"/>
      <c r="BE395" s="5"/>
      <c r="BG395" s="40"/>
      <c r="BH395" s="5"/>
      <c r="BJ395" s="40"/>
      <c r="BK395" s="5"/>
      <c r="BM395" s="40"/>
      <c r="BN395" s="5"/>
      <c r="BP395" s="40"/>
      <c r="BQ395" s="5"/>
      <c r="BS395" s="40"/>
      <c r="BT395" s="5"/>
      <c r="BV395" s="40"/>
      <c r="BW395" s="5"/>
      <c r="BY395" s="40"/>
      <c r="BZ395" s="5"/>
      <c r="CB395" s="40"/>
      <c r="CC395" s="5"/>
      <c r="CE395" s="40"/>
      <c r="CF395" s="5"/>
      <c r="CH395" s="40"/>
      <c r="CI395" s="5"/>
      <c r="CK395" s="40"/>
      <c r="CL395" s="5"/>
      <c r="CN395" s="40"/>
      <c r="CO395" s="5"/>
      <c r="CQ395" s="40"/>
      <c r="CR395" s="5"/>
    </row>
    <row r="396">
      <c r="AL396" s="40"/>
      <c r="AM396" s="5"/>
      <c r="AO396" s="40"/>
      <c r="AP396" s="5"/>
      <c r="AR396" s="40"/>
      <c r="AS396" s="5"/>
      <c r="AU396" s="40"/>
      <c r="AV396" s="5"/>
      <c r="AX396" s="40"/>
      <c r="AY396" s="5"/>
      <c r="BA396" s="40"/>
      <c r="BB396" s="5"/>
      <c r="BD396" s="40"/>
      <c r="BE396" s="5"/>
      <c r="BG396" s="40"/>
      <c r="BH396" s="5"/>
      <c r="BJ396" s="40"/>
      <c r="BK396" s="5"/>
      <c r="BM396" s="40"/>
      <c r="BN396" s="5"/>
      <c r="BP396" s="40"/>
      <c r="BQ396" s="5"/>
      <c r="BS396" s="40"/>
      <c r="BT396" s="5"/>
      <c r="BV396" s="40"/>
      <c r="BW396" s="5"/>
      <c r="BY396" s="40"/>
      <c r="BZ396" s="5"/>
      <c r="CB396" s="40"/>
      <c r="CC396" s="5"/>
      <c r="CE396" s="40"/>
      <c r="CF396" s="5"/>
      <c r="CH396" s="40"/>
      <c r="CI396" s="5"/>
      <c r="CK396" s="40"/>
      <c r="CL396" s="5"/>
      <c r="CN396" s="40"/>
      <c r="CO396" s="5"/>
      <c r="CQ396" s="40"/>
      <c r="CR396" s="5"/>
    </row>
    <row r="397">
      <c r="AL397" s="40"/>
      <c r="AM397" s="5"/>
      <c r="AO397" s="40"/>
      <c r="AP397" s="5"/>
      <c r="AR397" s="40"/>
      <c r="AS397" s="5"/>
      <c r="AU397" s="40"/>
      <c r="AV397" s="5"/>
      <c r="AX397" s="40"/>
      <c r="AY397" s="5"/>
      <c r="BA397" s="40"/>
      <c r="BB397" s="5"/>
      <c r="BD397" s="40"/>
      <c r="BE397" s="5"/>
      <c r="BG397" s="40"/>
      <c r="BH397" s="5"/>
      <c r="BJ397" s="40"/>
      <c r="BK397" s="5"/>
      <c r="BM397" s="40"/>
      <c r="BN397" s="5"/>
      <c r="BP397" s="40"/>
      <c r="BQ397" s="5"/>
      <c r="BS397" s="40"/>
      <c r="BT397" s="5"/>
      <c r="BV397" s="40"/>
      <c r="BW397" s="5"/>
      <c r="BY397" s="40"/>
      <c r="BZ397" s="5"/>
      <c r="CB397" s="40"/>
      <c r="CC397" s="5"/>
      <c r="CE397" s="40"/>
      <c r="CF397" s="5"/>
      <c r="CH397" s="40"/>
      <c r="CI397" s="5"/>
      <c r="CK397" s="40"/>
      <c r="CL397" s="5"/>
      <c r="CN397" s="40"/>
      <c r="CO397" s="5"/>
      <c r="CQ397" s="40"/>
      <c r="CR397" s="5"/>
    </row>
    <row r="398">
      <c r="AL398" s="40"/>
      <c r="AM398" s="5"/>
      <c r="AO398" s="40"/>
      <c r="AP398" s="5"/>
      <c r="AR398" s="40"/>
      <c r="AS398" s="5"/>
      <c r="AU398" s="40"/>
      <c r="AV398" s="5"/>
      <c r="AX398" s="40"/>
      <c r="AY398" s="5"/>
      <c r="BA398" s="40"/>
      <c r="BB398" s="5"/>
      <c r="BD398" s="40"/>
      <c r="BE398" s="5"/>
      <c r="BG398" s="40"/>
      <c r="BH398" s="5"/>
      <c r="BJ398" s="40"/>
      <c r="BK398" s="5"/>
      <c r="BM398" s="40"/>
      <c r="BN398" s="5"/>
      <c r="BP398" s="40"/>
      <c r="BQ398" s="5"/>
      <c r="BS398" s="40"/>
      <c r="BT398" s="5"/>
      <c r="BV398" s="40"/>
      <c r="BW398" s="5"/>
      <c r="BY398" s="40"/>
      <c r="BZ398" s="5"/>
      <c r="CB398" s="40"/>
      <c r="CC398" s="5"/>
      <c r="CE398" s="40"/>
      <c r="CF398" s="5"/>
      <c r="CH398" s="40"/>
      <c r="CI398" s="5"/>
      <c r="CK398" s="40"/>
      <c r="CL398" s="5"/>
      <c r="CN398" s="40"/>
      <c r="CO398" s="5"/>
      <c r="CQ398" s="40"/>
      <c r="CR398" s="5"/>
    </row>
    <row r="399">
      <c r="AL399" s="40"/>
      <c r="AM399" s="5"/>
      <c r="AO399" s="40"/>
      <c r="AP399" s="5"/>
      <c r="AR399" s="40"/>
      <c r="AS399" s="5"/>
      <c r="AU399" s="40"/>
      <c r="AV399" s="5"/>
      <c r="AX399" s="40"/>
      <c r="AY399" s="5"/>
      <c r="BA399" s="40"/>
      <c r="BB399" s="5"/>
      <c r="BD399" s="40"/>
      <c r="BE399" s="5"/>
      <c r="BG399" s="40"/>
      <c r="BH399" s="5"/>
      <c r="BJ399" s="40"/>
      <c r="BK399" s="5"/>
      <c r="BM399" s="40"/>
      <c r="BN399" s="5"/>
      <c r="BP399" s="40"/>
      <c r="BQ399" s="5"/>
      <c r="BS399" s="40"/>
      <c r="BT399" s="5"/>
      <c r="BV399" s="40"/>
      <c r="BW399" s="5"/>
      <c r="BY399" s="40"/>
      <c r="BZ399" s="5"/>
      <c r="CB399" s="40"/>
      <c r="CC399" s="5"/>
      <c r="CE399" s="40"/>
      <c r="CF399" s="5"/>
      <c r="CH399" s="40"/>
      <c r="CI399" s="5"/>
      <c r="CK399" s="40"/>
      <c r="CL399" s="5"/>
      <c r="CN399" s="40"/>
      <c r="CO399" s="5"/>
      <c r="CQ399" s="40"/>
      <c r="CR399" s="5"/>
    </row>
    <row r="400">
      <c r="AL400" s="40"/>
      <c r="AM400" s="5"/>
      <c r="AO400" s="40"/>
      <c r="AP400" s="5"/>
      <c r="AR400" s="40"/>
      <c r="AS400" s="5"/>
      <c r="AU400" s="40"/>
      <c r="AV400" s="5"/>
      <c r="AX400" s="40"/>
      <c r="AY400" s="5"/>
      <c r="BA400" s="40"/>
      <c r="BB400" s="5"/>
      <c r="BD400" s="40"/>
      <c r="BE400" s="5"/>
      <c r="BG400" s="40"/>
      <c r="BH400" s="5"/>
      <c r="BJ400" s="40"/>
      <c r="BK400" s="5"/>
      <c r="BM400" s="40"/>
      <c r="BN400" s="5"/>
      <c r="BP400" s="40"/>
      <c r="BQ400" s="5"/>
      <c r="BS400" s="40"/>
      <c r="BT400" s="5"/>
      <c r="BV400" s="40"/>
      <c r="BW400" s="5"/>
      <c r="BY400" s="40"/>
      <c r="BZ400" s="5"/>
      <c r="CB400" s="40"/>
      <c r="CC400" s="5"/>
      <c r="CE400" s="40"/>
      <c r="CF400" s="5"/>
      <c r="CH400" s="40"/>
      <c r="CI400" s="5"/>
      <c r="CK400" s="40"/>
      <c r="CL400" s="5"/>
      <c r="CN400" s="40"/>
      <c r="CO400" s="5"/>
      <c r="CQ400" s="40"/>
      <c r="CR400" s="5"/>
    </row>
    <row r="401">
      <c r="AL401" s="40"/>
      <c r="AM401" s="5"/>
      <c r="AO401" s="40"/>
      <c r="AP401" s="5"/>
      <c r="AR401" s="40"/>
      <c r="AS401" s="5"/>
      <c r="AU401" s="40"/>
      <c r="AV401" s="5"/>
      <c r="AX401" s="40"/>
      <c r="AY401" s="5"/>
      <c r="BA401" s="40"/>
      <c r="BB401" s="5"/>
      <c r="BD401" s="40"/>
      <c r="BE401" s="5"/>
      <c r="BG401" s="40"/>
      <c r="BH401" s="5"/>
      <c r="BJ401" s="40"/>
      <c r="BK401" s="5"/>
      <c r="BM401" s="40"/>
      <c r="BN401" s="5"/>
      <c r="BP401" s="40"/>
      <c r="BQ401" s="5"/>
      <c r="BS401" s="40"/>
      <c r="BT401" s="5"/>
      <c r="BV401" s="40"/>
      <c r="BW401" s="5"/>
      <c r="BY401" s="40"/>
      <c r="BZ401" s="5"/>
      <c r="CB401" s="40"/>
      <c r="CC401" s="5"/>
      <c r="CE401" s="40"/>
      <c r="CF401" s="5"/>
      <c r="CH401" s="40"/>
      <c r="CI401" s="5"/>
      <c r="CK401" s="40"/>
      <c r="CL401" s="5"/>
      <c r="CN401" s="40"/>
      <c r="CO401" s="5"/>
      <c r="CQ401" s="40"/>
      <c r="CR401" s="5"/>
    </row>
    <row r="402">
      <c r="AL402" s="40"/>
      <c r="AM402" s="5"/>
      <c r="AO402" s="40"/>
      <c r="AP402" s="5"/>
      <c r="AR402" s="40"/>
      <c r="AS402" s="5"/>
      <c r="AU402" s="40"/>
      <c r="AV402" s="5"/>
      <c r="AX402" s="40"/>
      <c r="AY402" s="5"/>
      <c r="BA402" s="40"/>
      <c r="BB402" s="5"/>
      <c r="BD402" s="40"/>
      <c r="BE402" s="5"/>
      <c r="BG402" s="40"/>
      <c r="BH402" s="5"/>
      <c r="BJ402" s="40"/>
      <c r="BK402" s="5"/>
      <c r="BM402" s="40"/>
      <c r="BN402" s="5"/>
      <c r="BP402" s="40"/>
      <c r="BQ402" s="5"/>
      <c r="BS402" s="40"/>
      <c r="BT402" s="5"/>
      <c r="BV402" s="40"/>
      <c r="BW402" s="5"/>
      <c r="BY402" s="40"/>
      <c r="BZ402" s="5"/>
      <c r="CB402" s="40"/>
      <c r="CC402" s="5"/>
      <c r="CE402" s="40"/>
      <c r="CF402" s="5"/>
      <c r="CH402" s="40"/>
      <c r="CI402" s="5"/>
      <c r="CK402" s="40"/>
      <c r="CL402" s="5"/>
      <c r="CN402" s="40"/>
      <c r="CO402" s="5"/>
      <c r="CQ402" s="40"/>
      <c r="CR402" s="5"/>
    </row>
    <row r="403">
      <c r="AL403" s="40"/>
      <c r="AM403" s="5"/>
      <c r="AO403" s="40"/>
      <c r="AP403" s="5"/>
      <c r="AR403" s="40"/>
      <c r="AS403" s="5"/>
      <c r="AU403" s="40"/>
      <c r="AV403" s="5"/>
      <c r="AX403" s="40"/>
      <c r="AY403" s="5"/>
      <c r="BA403" s="40"/>
      <c r="BB403" s="5"/>
      <c r="BD403" s="40"/>
      <c r="BE403" s="5"/>
      <c r="BG403" s="40"/>
      <c r="BH403" s="5"/>
      <c r="BJ403" s="40"/>
      <c r="BK403" s="5"/>
      <c r="BM403" s="40"/>
      <c r="BN403" s="5"/>
      <c r="BP403" s="40"/>
      <c r="BQ403" s="5"/>
      <c r="BS403" s="40"/>
      <c r="BT403" s="5"/>
      <c r="BV403" s="40"/>
      <c r="BW403" s="5"/>
      <c r="BY403" s="40"/>
      <c r="BZ403" s="5"/>
      <c r="CB403" s="40"/>
      <c r="CC403" s="5"/>
      <c r="CE403" s="40"/>
      <c r="CF403" s="5"/>
      <c r="CH403" s="40"/>
      <c r="CI403" s="5"/>
      <c r="CK403" s="40"/>
      <c r="CL403" s="5"/>
      <c r="CN403" s="40"/>
      <c r="CO403" s="5"/>
      <c r="CQ403" s="40"/>
      <c r="CR403" s="5"/>
    </row>
    <row r="404">
      <c r="AL404" s="40"/>
      <c r="AM404" s="5"/>
      <c r="AO404" s="40"/>
      <c r="AP404" s="5"/>
      <c r="AR404" s="40"/>
      <c r="AS404" s="5"/>
      <c r="AU404" s="40"/>
      <c r="AV404" s="5"/>
      <c r="AX404" s="40"/>
      <c r="AY404" s="5"/>
      <c r="BA404" s="40"/>
      <c r="BB404" s="5"/>
      <c r="BD404" s="40"/>
      <c r="BE404" s="5"/>
      <c r="BG404" s="40"/>
      <c r="BH404" s="5"/>
      <c r="BJ404" s="40"/>
      <c r="BK404" s="5"/>
      <c r="BM404" s="40"/>
      <c r="BN404" s="5"/>
      <c r="BP404" s="40"/>
      <c r="BQ404" s="5"/>
      <c r="BS404" s="40"/>
      <c r="BT404" s="5"/>
      <c r="BV404" s="40"/>
      <c r="BW404" s="5"/>
      <c r="BY404" s="40"/>
      <c r="BZ404" s="5"/>
      <c r="CB404" s="40"/>
      <c r="CC404" s="5"/>
      <c r="CE404" s="40"/>
      <c r="CF404" s="5"/>
      <c r="CH404" s="40"/>
      <c r="CI404" s="5"/>
      <c r="CK404" s="40"/>
      <c r="CL404" s="5"/>
      <c r="CN404" s="40"/>
      <c r="CO404" s="5"/>
      <c r="CQ404" s="40"/>
      <c r="CR404" s="5"/>
    </row>
    <row r="405">
      <c r="AL405" s="40"/>
      <c r="AM405" s="5"/>
      <c r="AO405" s="40"/>
      <c r="AP405" s="5"/>
      <c r="AR405" s="40"/>
      <c r="AS405" s="5"/>
      <c r="AU405" s="40"/>
      <c r="AV405" s="5"/>
      <c r="AX405" s="40"/>
      <c r="AY405" s="5"/>
      <c r="BA405" s="40"/>
      <c r="BB405" s="5"/>
      <c r="BD405" s="40"/>
      <c r="BE405" s="5"/>
      <c r="BG405" s="40"/>
      <c r="BH405" s="5"/>
      <c r="BJ405" s="40"/>
      <c r="BK405" s="5"/>
      <c r="BM405" s="40"/>
      <c r="BN405" s="5"/>
      <c r="BP405" s="40"/>
      <c r="BQ405" s="5"/>
      <c r="BS405" s="40"/>
      <c r="BT405" s="5"/>
      <c r="BV405" s="40"/>
      <c r="BW405" s="5"/>
      <c r="BY405" s="40"/>
      <c r="BZ405" s="5"/>
      <c r="CB405" s="40"/>
      <c r="CC405" s="5"/>
      <c r="CE405" s="40"/>
      <c r="CF405" s="5"/>
      <c r="CH405" s="40"/>
      <c r="CI405" s="5"/>
      <c r="CK405" s="40"/>
      <c r="CL405" s="5"/>
      <c r="CN405" s="40"/>
      <c r="CO405" s="5"/>
      <c r="CQ405" s="40"/>
      <c r="CR405" s="5"/>
    </row>
    <row r="406">
      <c r="AL406" s="40"/>
      <c r="AM406" s="5"/>
      <c r="AO406" s="40"/>
      <c r="AP406" s="5"/>
      <c r="AR406" s="40"/>
      <c r="AS406" s="5"/>
      <c r="AU406" s="40"/>
      <c r="AV406" s="5"/>
      <c r="AX406" s="40"/>
      <c r="AY406" s="5"/>
      <c r="BA406" s="40"/>
      <c r="BB406" s="5"/>
      <c r="BD406" s="40"/>
      <c r="BE406" s="5"/>
      <c r="BG406" s="40"/>
      <c r="BH406" s="5"/>
      <c r="BJ406" s="40"/>
      <c r="BK406" s="5"/>
      <c r="BM406" s="40"/>
      <c r="BN406" s="5"/>
      <c r="BP406" s="40"/>
      <c r="BQ406" s="5"/>
      <c r="BS406" s="40"/>
      <c r="BT406" s="5"/>
      <c r="BV406" s="40"/>
      <c r="BW406" s="5"/>
      <c r="BY406" s="40"/>
      <c r="BZ406" s="5"/>
      <c r="CB406" s="40"/>
      <c r="CC406" s="5"/>
      <c r="CE406" s="40"/>
      <c r="CF406" s="5"/>
      <c r="CH406" s="40"/>
      <c r="CI406" s="5"/>
      <c r="CK406" s="40"/>
      <c r="CL406" s="5"/>
      <c r="CN406" s="40"/>
      <c r="CO406" s="5"/>
      <c r="CQ406" s="40"/>
      <c r="CR406" s="5"/>
    </row>
    <row r="407">
      <c r="AL407" s="40"/>
      <c r="AM407" s="5"/>
      <c r="AO407" s="40"/>
      <c r="AP407" s="5"/>
      <c r="AR407" s="40"/>
      <c r="AS407" s="5"/>
      <c r="AU407" s="40"/>
      <c r="AV407" s="5"/>
      <c r="AX407" s="40"/>
      <c r="AY407" s="5"/>
      <c r="BA407" s="40"/>
      <c r="BB407" s="5"/>
      <c r="BD407" s="40"/>
      <c r="BE407" s="5"/>
      <c r="BG407" s="40"/>
      <c r="BH407" s="5"/>
      <c r="BJ407" s="40"/>
      <c r="BK407" s="5"/>
      <c r="BM407" s="40"/>
      <c r="BN407" s="5"/>
      <c r="BP407" s="40"/>
      <c r="BQ407" s="5"/>
      <c r="BS407" s="40"/>
      <c r="BT407" s="5"/>
      <c r="BV407" s="40"/>
      <c r="BW407" s="5"/>
      <c r="BY407" s="40"/>
      <c r="BZ407" s="5"/>
      <c r="CB407" s="40"/>
      <c r="CC407" s="5"/>
      <c r="CE407" s="40"/>
      <c r="CF407" s="5"/>
      <c r="CH407" s="40"/>
      <c r="CI407" s="5"/>
      <c r="CK407" s="40"/>
      <c r="CL407" s="5"/>
      <c r="CN407" s="40"/>
      <c r="CO407" s="5"/>
      <c r="CQ407" s="40"/>
      <c r="CR407" s="5"/>
    </row>
    <row r="408">
      <c r="AL408" s="40"/>
      <c r="AM408" s="5"/>
      <c r="AO408" s="40"/>
      <c r="AP408" s="5"/>
      <c r="AR408" s="40"/>
      <c r="AS408" s="5"/>
      <c r="AU408" s="40"/>
      <c r="AV408" s="5"/>
      <c r="AX408" s="40"/>
      <c r="AY408" s="5"/>
      <c r="BA408" s="40"/>
      <c r="BB408" s="5"/>
      <c r="BD408" s="40"/>
      <c r="BE408" s="5"/>
      <c r="BG408" s="40"/>
      <c r="BH408" s="5"/>
      <c r="BJ408" s="40"/>
      <c r="BK408" s="5"/>
      <c r="BM408" s="40"/>
      <c r="BN408" s="5"/>
      <c r="BP408" s="40"/>
      <c r="BQ408" s="5"/>
      <c r="BS408" s="40"/>
      <c r="BT408" s="5"/>
      <c r="BV408" s="40"/>
      <c r="BW408" s="5"/>
      <c r="BY408" s="40"/>
      <c r="BZ408" s="5"/>
      <c r="CB408" s="40"/>
      <c r="CC408" s="5"/>
      <c r="CE408" s="40"/>
      <c r="CF408" s="5"/>
      <c r="CH408" s="40"/>
      <c r="CI408" s="5"/>
      <c r="CK408" s="40"/>
      <c r="CL408" s="5"/>
      <c r="CN408" s="40"/>
      <c r="CO408" s="5"/>
      <c r="CQ408" s="40"/>
      <c r="CR408" s="5"/>
    </row>
    <row r="409">
      <c r="AL409" s="40"/>
      <c r="AM409" s="5"/>
      <c r="AO409" s="40"/>
      <c r="AP409" s="5"/>
      <c r="AR409" s="40"/>
      <c r="AS409" s="5"/>
      <c r="AU409" s="40"/>
      <c r="AV409" s="5"/>
      <c r="AX409" s="40"/>
      <c r="AY409" s="5"/>
      <c r="BA409" s="40"/>
      <c r="BB409" s="5"/>
      <c r="BD409" s="40"/>
      <c r="BE409" s="5"/>
      <c r="BG409" s="40"/>
      <c r="BH409" s="5"/>
      <c r="BJ409" s="40"/>
      <c r="BK409" s="5"/>
      <c r="BM409" s="40"/>
      <c r="BN409" s="5"/>
      <c r="BP409" s="40"/>
      <c r="BQ409" s="5"/>
      <c r="BS409" s="40"/>
      <c r="BT409" s="5"/>
      <c r="BV409" s="40"/>
      <c r="BW409" s="5"/>
      <c r="BY409" s="40"/>
      <c r="BZ409" s="5"/>
      <c r="CB409" s="40"/>
      <c r="CC409" s="5"/>
      <c r="CE409" s="40"/>
      <c r="CF409" s="5"/>
      <c r="CH409" s="40"/>
      <c r="CI409" s="5"/>
      <c r="CK409" s="40"/>
      <c r="CL409" s="5"/>
      <c r="CN409" s="40"/>
      <c r="CO409" s="5"/>
      <c r="CQ409" s="40"/>
      <c r="CR409" s="5"/>
    </row>
    <row r="410">
      <c r="AL410" s="40"/>
      <c r="AM410" s="5"/>
      <c r="AO410" s="40"/>
      <c r="AP410" s="5"/>
      <c r="AR410" s="40"/>
      <c r="AS410" s="5"/>
      <c r="AU410" s="40"/>
      <c r="AV410" s="5"/>
      <c r="AX410" s="40"/>
      <c r="AY410" s="5"/>
      <c r="BA410" s="40"/>
      <c r="BB410" s="5"/>
      <c r="BD410" s="40"/>
      <c r="BE410" s="5"/>
      <c r="BG410" s="40"/>
      <c r="BH410" s="5"/>
      <c r="BJ410" s="40"/>
      <c r="BK410" s="5"/>
      <c r="BM410" s="40"/>
      <c r="BN410" s="5"/>
      <c r="BP410" s="40"/>
      <c r="BQ410" s="5"/>
      <c r="BS410" s="40"/>
      <c r="BT410" s="5"/>
      <c r="BV410" s="40"/>
      <c r="BW410" s="5"/>
      <c r="BY410" s="40"/>
      <c r="BZ410" s="5"/>
      <c r="CB410" s="40"/>
      <c r="CC410" s="5"/>
      <c r="CE410" s="40"/>
      <c r="CF410" s="5"/>
      <c r="CH410" s="40"/>
      <c r="CI410" s="5"/>
      <c r="CK410" s="40"/>
      <c r="CL410" s="5"/>
      <c r="CN410" s="40"/>
      <c r="CO410" s="5"/>
      <c r="CQ410" s="40"/>
      <c r="CR410" s="5"/>
    </row>
    <row r="411">
      <c r="AL411" s="40"/>
      <c r="AM411" s="5"/>
      <c r="AO411" s="40"/>
      <c r="AP411" s="5"/>
      <c r="AR411" s="40"/>
      <c r="AS411" s="5"/>
      <c r="AU411" s="40"/>
      <c r="AV411" s="5"/>
      <c r="AX411" s="40"/>
      <c r="AY411" s="5"/>
      <c r="BA411" s="40"/>
      <c r="BB411" s="5"/>
      <c r="BD411" s="40"/>
      <c r="BE411" s="5"/>
      <c r="BG411" s="40"/>
      <c r="BH411" s="5"/>
      <c r="BJ411" s="40"/>
      <c r="BK411" s="5"/>
      <c r="BM411" s="40"/>
      <c r="BN411" s="5"/>
      <c r="BP411" s="40"/>
      <c r="BQ411" s="5"/>
      <c r="BS411" s="40"/>
      <c r="BT411" s="5"/>
      <c r="BV411" s="40"/>
      <c r="BW411" s="5"/>
      <c r="BY411" s="40"/>
      <c r="BZ411" s="5"/>
      <c r="CB411" s="40"/>
      <c r="CC411" s="5"/>
      <c r="CE411" s="40"/>
      <c r="CF411" s="5"/>
      <c r="CH411" s="40"/>
      <c r="CI411" s="5"/>
      <c r="CK411" s="40"/>
      <c r="CL411" s="5"/>
      <c r="CN411" s="40"/>
      <c r="CO411" s="5"/>
      <c r="CQ411" s="40"/>
      <c r="CR411" s="5"/>
    </row>
    <row r="412">
      <c r="AL412" s="40"/>
      <c r="AM412" s="5"/>
      <c r="AO412" s="40"/>
      <c r="AP412" s="5"/>
      <c r="AR412" s="40"/>
      <c r="AS412" s="5"/>
      <c r="AU412" s="40"/>
      <c r="AV412" s="5"/>
      <c r="AX412" s="40"/>
      <c r="AY412" s="5"/>
      <c r="BA412" s="40"/>
      <c r="BB412" s="5"/>
      <c r="BD412" s="40"/>
      <c r="BE412" s="5"/>
      <c r="BG412" s="40"/>
      <c r="BH412" s="5"/>
      <c r="BJ412" s="40"/>
      <c r="BK412" s="5"/>
      <c r="BM412" s="40"/>
      <c r="BN412" s="5"/>
      <c r="BP412" s="40"/>
      <c r="BQ412" s="5"/>
      <c r="BS412" s="40"/>
      <c r="BT412" s="5"/>
      <c r="BV412" s="40"/>
      <c r="BW412" s="5"/>
      <c r="BY412" s="40"/>
      <c r="BZ412" s="5"/>
      <c r="CB412" s="40"/>
      <c r="CC412" s="5"/>
      <c r="CE412" s="40"/>
      <c r="CF412" s="5"/>
      <c r="CH412" s="40"/>
      <c r="CI412" s="5"/>
      <c r="CK412" s="40"/>
      <c r="CL412" s="5"/>
      <c r="CN412" s="40"/>
      <c r="CO412" s="5"/>
      <c r="CQ412" s="40"/>
      <c r="CR412" s="5"/>
    </row>
    <row r="413">
      <c r="AL413" s="40"/>
      <c r="AM413" s="5"/>
      <c r="AO413" s="40"/>
      <c r="AP413" s="5"/>
      <c r="AR413" s="40"/>
      <c r="AS413" s="5"/>
      <c r="AU413" s="40"/>
      <c r="AV413" s="5"/>
      <c r="AX413" s="40"/>
      <c r="AY413" s="5"/>
      <c r="BA413" s="40"/>
      <c r="BB413" s="5"/>
      <c r="BD413" s="40"/>
      <c r="BE413" s="5"/>
      <c r="BG413" s="40"/>
      <c r="BH413" s="5"/>
      <c r="BJ413" s="40"/>
      <c r="BK413" s="5"/>
      <c r="BM413" s="40"/>
      <c r="BN413" s="5"/>
      <c r="BP413" s="40"/>
      <c r="BQ413" s="5"/>
      <c r="BS413" s="40"/>
      <c r="BT413" s="5"/>
      <c r="BV413" s="40"/>
      <c r="BW413" s="5"/>
      <c r="BY413" s="40"/>
      <c r="BZ413" s="5"/>
      <c r="CB413" s="40"/>
      <c r="CC413" s="5"/>
      <c r="CE413" s="40"/>
      <c r="CF413" s="5"/>
      <c r="CH413" s="40"/>
      <c r="CI413" s="5"/>
      <c r="CK413" s="40"/>
      <c r="CL413" s="5"/>
      <c r="CN413" s="40"/>
      <c r="CO413" s="5"/>
      <c r="CQ413" s="40"/>
      <c r="CR413" s="5"/>
    </row>
    <row r="414">
      <c r="AL414" s="40"/>
      <c r="AM414" s="5"/>
      <c r="AO414" s="40"/>
      <c r="AP414" s="5"/>
      <c r="AR414" s="40"/>
      <c r="AS414" s="5"/>
      <c r="AU414" s="40"/>
      <c r="AV414" s="5"/>
      <c r="AX414" s="40"/>
      <c r="AY414" s="5"/>
      <c r="BA414" s="40"/>
      <c r="BB414" s="5"/>
      <c r="BD414" s="40"/>
      <c r="BE414" s="5"/>
      <c r="BG414" s="40"/>
      <c r="BH414" s="5"/>
      <c r="BJ414" s="40"/>
      <c r="BK414" s="5"/>
      <c r="BM414" s="40"/>
      <c r="BN414" s="5"/>
      <c r="BP414" s="40"/>
      <c r="BQ414" s="5"/>
      <c r="BS414" s="40"/>
      <c r="BT414" s="5"/>
      <c r="BV414" s="40"/>
      <c r="BW414" s="5"/>
      <c r="BY414" s="40"/>
      <c r="BZ414" s="5"/>
      <c r="CB414" s="40"/>
      <c r="CC414" s="5"/>
      <c r="CE414" s="40"/>
      <c r="CF414" s="5"/>
      <c r="CH414" s="40"/>
      <c r="CI414" s="5"/>
      <c r="CK414" s="40"/>
      <c r="CL414" s="5"/>
      <c r="CN414" s="40"/>
      <c r="CO414" s="5"/>
      <c r="CQ414" s="40"/>
      <c r="CR414" s="5"/>
    </row>
    <row r="415">
      <c r="AL415" s="40"/>
      <c r="AM415" s="5"/>
      <c r="AO415" s="40"/>
      <c r="AP415" s="5"/>
      <c r="AR415" s="40"/>
      <c r="AS415" s="5"/>
      <c r="AU415" s="40"/>
      <c r="AV415" s="5"/>
      <c r="AX415" s="40"/>
      <c r="AY415" s="5"/>
      <c r="BA415" s="40"/>
      <c r="BB415" s="5"/>
      <c r="BD415" s="40"/>
      <c r="BE415" s="5"/>
      <c r="BG415" s="40"/>
      <c r="BH415" s="5"/>
      <c r="BJ415" s="40"/>
      <c r="BK415" s="5"/>
      <c r="BM415" s="40"/>
      <c r="BN415" s="5"/>
      <c r="BP415" s="40"/>
      <c r="BQ415" s="5"/>
      <c r="BS415" s="40"/>
      <c r="BT415" s="5"/>
      <c r="BV415" s="40"/>
      <c r="BW415" s="5"/>
      <c r="BY415" s="40"/>
      <c r="BZ415" s="5"/>
      <c r="CB415" s="40"/>
      <c r="CC415" s="5"/>
      <c r="CE415" s="40"/>
      <c r="CF415" s="5"/>
      <c r="CH415" s="40"/>
      <c r="CI415" s="5"/>
      <c r="CK415" s="40"/>
      <c r="CL415" s="5"/>
      <c r="CN415" s="40"/>
      <c r="CO415" s="5"/>
      <c r="CQ415" s="40"/>
      <c r="CR415" s="5"/>
    </row>
    <row r="416">
      <c r="AL416" s="40"/>
      <c r="AM416" s="5"/>
      <c r="AO416" s="40"/>
      <c r="AP416" s="5"/>
      <c r="AR416" s="40"/>
      <c r="AS416" s="5"/>
      <c r="AU416" s="40"/>
      <c r="AV416" s="5"/>
      <c r="AX416" s="40"/>
      <c r="AY416" s="5"/>
      <c r="BA416" s="40"/>
      <c r="BB416" s="5"/>
      <c r="BD416" s="40"/>
      <c r="BE416" s="5"/>
      <c r="BG416" s="40"/>
      <c r="BH416" s="5"/>
      <c r="BJ416" s="40"/>
      <c r="BK416" s="5"/>
      <c r="BM416" s="40"/>
      <c r="BN416" s="5"/>
      <c r="BP416" s="40"/>
      <c r="BQ416" s="5"/>
      <c r="BS416" s="40"/>
      <c r="BT416" s="5"/>
      <c r="BV416" s="40"/>
      <c r="BW416" s="5"/>
      <c r="BY416" s="40"/>
      <c r="BZ416" s="5"/>
      <c r="CB416" s="40"/>
      <c r="CC416" s="5"/>
      <c r="CE416" s="40"/>
      <c r="CF416" s="5"/>
      <c r="CH416" s="40"/>
      <c r="CI416" s="5"/>
      <c r="CK416" s="40"/>
      <c r="CL416" s="5"/>
      <c r="CN416" s="40"/>
      <c r="CO416" s="5"/>
      <c r="CQ416" s="40"/>
      <c r="CR416" s="5"/>
    </row>
    <row r="417">
      <c r="AL417" s="40"/>
      <c r="AM417" s="5"/>
      <c r="AO417" s="40"/>
      <c r="AP417" s="5"/>
      <c r="AR417" s="40"/>
      <c r="AS417" s="5"/>
      <c r="AU417" s="40"/>
      <c r="AV417" s="5"/>
      <c r="AX417" s="40"/>
      <c r="AY417" s="5"/>
      <c r="BA417" s="40"/>
      <c r="BB417" s="5"/>
      <c r="BD417" s="40"/>
      <c r="BE417" s="5"/>
      <c r="BG417" s="40"/>
      <c r="BH417" s="5"/>
      <c r="BJ417" s="40"/>
      <c r="BK417" s="5"/>
      <c r="BM417" s="40"/>
      <c r="BN417" s="5"/>
      <c r="BP417" s="40"/>
      <c r="BQ417" s="5"/>
      <c r="BS417" s="40"/>
      <c r="BT417" s="5"/>
      <c r="BV417" s="40"/>
      <c r="BW417" s="5"/>
      <c r="BY417" s="40"/>
      <c r="BZ417" s="5"/>
      <c r="CB417" s="40"/>
      <c r="CC417" s="5"/>
      <c r="CE417" s="40"/>
      <c r="CF417" s="5"/>
      <c r="CH417" s="40"/>
      <c r="CI417" s="5"/>
      <c r="CK417" s="40"/>
      <c r="CL417" s="5"/>
      <c r="CN417" s="40"/>
      <c r="CO417" s="5"/>
      <c r="CQ417" s="40"/>
      <c r="CR417" s="5"/>
    </row>
    <row r="418">
      <c r="AL418" s="40"/>
      <c r="AM418" s="5"/>
      <c r="AO418" s="40"/>
      <c r="AP418" s="5"/>
      <c r="AR418" s="40"/>
      <c r="AS418" s="5"/>
      <c r="AU418" s="40"/>
      <c r="AV418" s="5"/>
      <c r="AX418" s="40"/>
      <c r="AY418" s="5"/>
      <c r="BA418" s="40"/>
      <c r="BB418" s="5"/>
      <c r="BD418" s="40"/>
      <c r="BE418" s="5"/>
      <c r="BG418" s="40"/>
      <c r="BH418" s="5"/>
      <c r="BJ418" s="40"/>
      <c r="BK418" s="5"/>
      <c r="BM418" s="40"/>
      <c r="BN418" s="5"/>
      <c r="BP418" s="40"/>
      <c r="BQ418" s="5"/>
      <c r="BS418" s="40"/>
      <c r="BT418" s="5"/>
      <c r="BV418" s="40"/>
      <c r="BW418" s="5"/>
      <c r="BY418" s="40"/>
      <c r="BZ418" s="5"/>
      <c r="CB418" s="40"/>
      <c r="CC418" s="5"/>
      <c r="CE418" s="40"/>
      <c r="CF418" s="5"/>
      <c r="CH418" s="40"/>
      <c r="CI418" s="5"/>
      <c r="CK418" s="40"/>
      <c r="CL418" s="5"/>
      <c r="CN418" s="40"/>
      <c r="CO418" s="5"/>
      <c r="CQ418" s="40"/>
      <c r="CR418" s="5"/>
    </row>
    <row r="419">
      <c r="AL419" s="40"/>
      <c r="AM419" s="5"/>
      <c r="AO419" s="40"/>
      <c r="AP419" s="5"/>
      <c r="AR419" s="40"/>
      <c r="AS419" s="5"/>
      <c r="AU419" s="40"/>
      <c r="AV419" s="5"/>
      <c r="AX419" s="40"/>
      <c r="AY419" s="5"/>
      <c r="BA419" s="40"/>
      <c r="BB419" s="5"/>
      <c r="BD419" s="40"/>
      <c r="BE419" s="5"/>
      <c r="BG419" s="40"/>
      <c r="BH419" s="5"/>
      <c r="BJ419" s="40"/>
      <c r="BK419" s="5"/>
      <c r="BM419" s="40"/>
      <c r="BN419" s="5"/>
      <c r="BP419" s="40"/>
      <c r="BQ419" s="5"/>
      <c r="BS419" s="40"/>
      <c r="BT419" s="5"/>
      <c r="BV419" s="40"/>
      <c r="BW419" s="5"/>
      <c r="BY419" s="40"/>
      <c r="BZ419" s="5"/>
      <c r="CB419" s="40"/>
      <c r="CC419" s="5"/>
      <c r="CE419" s="40"/>
      <c r="CF419" s="5"/>
      <c r="CH419" s="40"/>
      <c r="CI419" s="5"/>
      <c r="CK419" s="40"/>
      <c r="CL419" s="5"/>
      <c r="CN419" s="40"/>
      <c r="CO419" s="5"/>
      <c r="CQ419" s="40"/>
      <c r="CR419" s="5"/>
    </row>
    <row r="420">
      <c r="AL420" s="40"/>
      <c r="AM420" s="5"/>
      <c r="AO420" s="40"/>
      <c r="AP420" s="5"/>
      <c r="AR420" s="40"/>
      <c r="AS420" s="5"/>
      <c r="AU420" s="40"/>
      <c r="AV420" s="5"/>
      <c r="AX420" s="40"/>
      <c r="AY420" s="5"/>
      <c r="BA420" s="40"/>
      <c r="BB420" s="5"/>
      <c r="BD420" s="40"/>
      <c r="BE420" s="5"/>
      <c r="BG420" s="40"/>
      <c r="BH420" s="5"/>
      <c r="BJ420" s="40"/>
      <c r="BK420" s="5"/>
      <c r="BM420" s="40"/>
      <c r="BN420" s="5"/>
      <c r="BP420" s="40"/>
      <c r="BQ420" s="5"/>
      <c r="BS420" s="40"/>
      <c r="BT420" s="5"/>
      <c r="BV420" s="40"/>
      <c r="BW420" s="5"/>
      <c r="BY420" s="40"/>
      <c r="BZ420" s="5"/>
      <c r="CB420" s="40"/>
      <c r="CC420" s="5"/>
      <c r="CE420" s="40"/>
      <c r="CF420" s="5"/>
      <c r="CH420" s="40"/>
      <c r="CI420" s="5"/>
      <c r="CK420" s="40"/>
      <c r="CL420" s="5"/>
      <c r="CN420" s="40"/>
      <c r="CO420" s="5"/>
      <c r="CQ420" s="40"/>
      <c r="CR420" s="5"/>
    </row>
    <row r="421">
      <c r="AL421" s="40"/>
      <c r="AM421" s="5"/>
      <c r="AO421" s="40"/>
      <c r="AP421" s="5"/>
      <c r="AR421" s="40"/>
      <c r="AS421" s="5"/>
      <c r="AU421" s="40"/>
      <c r="AV421" s="5"/>
      <c r="AX421" s="40"/>
      <c r="AY421" s="5"/>
      <c r="BA421" s="40"/>
      <c r="BB421" s="5"/>
      <c r="BD421" s="40"/>
      <c r="BE421" s="5"/>
      <c r="BG421" s="40"/>
      <c r="BH421" s="5"/>
      <c r="BJ421" s="40"/>
      <c r="BK421" s="5"/>
      <c r="BM421" s="40"/>
      <c r="BN421" s="5"/>
      <c r="BP421" s="40"/>
      <c r="BQ421" s="5"/>
      <c r="BS421" s="40"/>
      <c r="BT421" s="5"/>
      <c r="BV421" s="40"/>
      <c r="BW421" s="5"/>
      <c r="BY421" s="40"/>
      <c r="BZ421" s="5"/>
      <c r="CB421" s="40"/>
      <c r="CC421" s="5"/>
      <c r="CE421" s="40"/>
      <c r="CF421" s="5"/>
      <c r="CH421" s="40"/>
      <c r="CI421" s="5"/>
      <c r="CK421" s="40"/>
      <c r="CL421" s="5"/>
      <c r="CN421" s="40"/>
      <c r="CO421" s="5"/>
      <c r="CQ421" s="40"/>
      <c r="CR421" s="5"/>
    </row>
    <row r="422">
      <c r="AL422" s="40"/>
      <c r="AM422" s="5"/>
      <c r="AO422" s="40"/>
      <c r="AP422" s="5"/>
      <c r="AR422" s="40"/>
      <c r="AS422" s="5"/>
      <c r="AU422" s="40"/>
      <c r="AV422" s="5"/>
      <c r="AX422" s="40"/>
      <c r="AY422" s="5"/>
      <c r="BA422" s="40"/>
      <c r="BB422" s="5"/>
      <c r="BD422" s="40"/>
      <c r="BE422" s="5"/>
      <c r="BG422" s="40"/>
      <c r="BH422" s="5"/>
      <c r="BJ422" s="40"/>
      <c r="BK422" s="5"/>
      <c r="BM422" s="40"/>
      <c r="BN422" s="5"/>
      <c r="BP422" s="40"/>
      <c r="BQ422" s="5"/>
      <c r="BS422" s="40"/>
      <c r="BT422" s="5"/>
      <c r="BV422" s="40"/>
      <c r="BW422" s="5"/>
      <c r="BY422" s="40"/>
      <c r="BZ422" s="5"/>
      <c r="CB422" s="40"/>
      <c r="CC422" s="5"/>
      <c r="CE422" s="40"/>
      <c r="CF422" s="5"/>
      <c r="CH422" s="40"/>
      <c r="CI422" s="5"/>
      <c r="CK422" s="40"/>
      <c r="CL422" s="5"/>
      <c r="CN422" s="40"/>
      <c r="CO422" s="5"/>
      <c r="CQ422" s="40"/>
      <c r="CR422" s="5"/>
    </row>
    <row r="423">
      <c r="AL423" s="40"/>
      <c r="AM423" s="5"/>
      <c r="AO423" s="40"/>
      <c r="AP423" s="5"/>
      <c r="AR423" s="40"/>
      <c r="AS423" s="5"/>
      <c r="AU423" s="40"/>
      <c r="AV423" s="5"/>
      <c r="AX423" s="40"/>
      <c r="AY423" s="5"/>
      <c r="BA423" s="40"/>
      <c r="BB423" s="5"/>
      <c r="BD423" s="40"/>
      <c r="BE423" s="5"/>
      <c r="BG423" s="40"/>
      <c r="BH423" s="5"/>
      <c r="BJ423" s="40"/>
      <c r="BK423" s="5"/>
      <c r="BM423" s="40"/>
      <c r="BN423" s="5"/>
      <c r="BP423" s="40"/>
      <c r="BQ423" s="5"/>
      <c r="BS423" s="40"/>
      <c r="BT423" s="5"/>
      <c r="BV423" s="40"/>
      <c r="BW423" s="5"/>
      <c r="BY423" s="40"/>
      <c r="BZ423" s="5"/>
      <c r="CB423" s="40"/>
      <c r="CC423" s="5"/>
      <c r="CE423" s="40"/>
      <c r="CF423" s="5"/>
      <c r="CH423" s="40"/>
      <c r="CI423" s="5"/>
      <c r="CK423" s="40"/>
      <c r="CL423" s="5"/>
      <c r="CN423" s="40"/>
      <c r="CO423" s="5"/>
      <c r="CQ423" s="40"/>
      <c r="CR423" s="5"/>
    </row>
    <row r="424">
      <c r="AL424" s="40"/>
      <c r="AM424" s="5"/>
      <c r="AO424" s="40"/>
      <c r="AP424" s="5"/>
      <c r="AR424" s="40"/>
      <c r="AS424" s="5"/>
      <c r="AU424" s="40"/>
      <c r="AV424" s="5"/>
      <c r="AX424" s="40"/>
      <c r="AY424" s="5"/>
      <c r="BA424" s="40"/>
      <c r="BB424" s="5"/>
      <c r="BD424" s="40"/>
      <c r="BE424" s="5"/>
      <c r="BG424" s="40"/>
      <c r="BH424" s="5"/>
      <c r="BJ424" s="40"/>
      <c r="BK424" s="5"/>
      <c r="BM424" s="40"/>
      <c r="BN424" s="5"/>
      <c r="BP424" s="40"/>
      <c r="BQ424" s="5"/>
      <c r="BS424" s="40"/>
      <c r="BT424" s="5"/>
      <c r="BV424" s="40"/>
      <c r="BW424" s="5"/>
      <c r="BY424" s="40"/>
      <c r="BZ424" s="5"/>
      <c r="CB424" s="40"/>
      <c r="CC424" s="5"/>
      <c r="CE424" s="40"/>
      <c r="CF424" s="5"/>
      <c r="CH424" s="40"/>
      <c r="CI424" s="5"/>
      <c r="CK424" s="40"/>
      <c r="CL424" s="5"/>
      <c r="CN424" s="40"/>
      <c r="CO424" s="5"/>
      <c r="CQ424" s="40"/>
      <c r="CR424" s="5"/>
    </row>
    <row r="425">
      <c r="AL425" s="40"/>
      <c r="AM425" s="5"/>
      <c r="AO425" s="40"/>
      <c r="AP425" s="5"/>
      <c r="AR425" s="40"/>
      <c r="AS425" s="5"/>
      <c r="AU425" s="40"/>
      <c r="AV425" s="5"/>
      <c r="AX425" s="40"/>
      <c r="AY425" s="5"/>
      <c r="BA425" s="40"/>
      <c r="BB425" s="5"/>
      <c r="BD425" s="40"/>
      <c r="BE425" s="5"/>
      <c r="BG425" s="40"/>
      <c r="BH425" s="5"/>
      <c r="BJ425" s="40"/>
      <c r="BK425" s="5"/>
      <c r="BM425" s="40"/>
      <c r="BN425" s="5"/>
      <c r="BP425" s="40"/>
      <c r="BQ425" s="5"/>
      <c r="BS425" s="40"/>
      <c r="BT425" s="5"/>
      <c r="BV425" s="40"/>
      <c r="BW425" s="5"/>
      <c r="BY425" s="40"/>
      <c r="BZ425" s="5"/>
      <c r="CB425" s="40"/>
      <c r="CC425" s="5"/>
      <c r="CE425" s="40"/>
      <c r="CF425" s="5"/>
      <c r="CH425" s="40"/>
      <c r="CI425" s="5"/>
      <c r="CK425" s="40"/>
      <c r="CL425" s="5"/>
      <c r="CN425" s="40"/>
      <c r="CO425" s="5"/>
      <c r="CQ425" s="40"/>
      <c r="CR425" s="5"/>
    </row>
    <row r="426">
      <c r="AL426" s="40"/>
      <c r="AM426" s="5"/>
      <c r="AO426" s="40"/>
      <c r="AP426" s="5"/>
      <c r="AR426" s="40"/>
      <c r="AS426" s="5"/>
      <c r="AU426" s="40"/>
      <c r="AV426" s="5"/>
      <c r="AX426" s="40"/>
      <c r="AY426" s="5"/>
      <c r="BA426" s="40"/>
      <c r="BB426" s="5"/>
      <c r="BD426" s="40"/>
      <c r="BE426" s="5"/>
      <c r="BG426" s="40"/>
      <c r="BH426" s="5"/>
      <c r="BJ426" s="40"/>
      <c r="BK426" s="5"/>
      <c r="BM426" s="40"/>
      <c r="BN426" s="5"/>
      <c r="BP426" s="40"/>
      <c r="BQ426" s="5"/>
      <c r="BS426" s="40"/>
      <c r="BT426" s="5"/>
      <c r="BV426" s="40"/>
      <c r="BW426" s="5"/>
      <c r="BY426" s="40"/>
      <c r="BZ426" s="5"/>
      <c r="CB426" s="40"/>
      <c r="CC426" s="5"/>
      <c r="CE426" s="40"/>
      <c r="CF426" s="5"/>
      <c r="CH426" s="40"/>
      <c r="CI426" s="5"/>
      <c r="CK426" s="40"/>
      <c r="CL426" s="5"/>
      <c r="CN426" s="40"/>
      <c r="CO426" s="5"/>
      <c r="CQ426" s="40"/>
      <c r="CR426" s="5"/>
    </row>
    <row r="427">
      <c r="AL427" s="40"/>
      <c r="AM427" s="5"/>
      <c r="AO427" s="40"/>
      <c r="AP427" s="5"/>
      <c r="AR427" s="40"/>
      <c r="AS427" s="5"/>
      <c r="AU427" s="40"/>
      <c r="AV427" s="5"/>
      <c r="AX427" s="40"/>
      <c r="AY427" s="5"/>
      <c r="BA427" s="40"/>
      <c r="BB427" s="5"/>
      <c r="BD427" s="40"/>
      <c r="BE427" s="5"/>
      <c r="BG427" s="40"/>
      <c r="BH427" s="5"/>
      <c r="BJ427" s="40"/>
      <c r="BK427" s="5"/>
      <c r="BM427" s="40"/>
      <c r="BN427" s="5"/>
      <c r="BP427" s="40"/>
      <c r="BQ427" s="5"/>
      <c r="BS427" s="40"/>
      <c r="BT427" s="5"/>
      <c r="BV427" s="40"/>
      <c r="BW427" s="5"/>
      <c r="BY427" s="40"/>
      <c r="BZ427" s="5"/>
      <c r="CB427" s="40"/>
      <c r="CC427" s="5"/>
      <c r="CE427" s="40"/>
      <c r="CF427" s="5"/>
      <c r="CH427" s="40"/>
      <c r="CI427" s="5"/>
      <c r="CK427" s="40"/>
      <c r="CL427" s="5"/>
      <c r="CN427" s="40"/>
      <c r="CO427" s="5"/>
      <c r="CQ427" s="40"/>
      <c r="CR427" s="5"/>
    </row>
    <row r="428">
      <c r="AL428" s="40"/>
      <c r="AM428" s="5"/>
      <c r="AO428" s="40"/>
      <c r="AP428" s="5"/>
      <c r="AR428" s="40"/>
      <c r="AS428" s="5"/>
      <c r="AU428" s="40"/>
      <c r="AV428" s="5"/>
      <c r="AX428" s="40"/>
      <c r="AY428" s="5"/>
      <c r="BA428" s="40"/>
      <c r="BB428" s="5"/>
      <c r="BD428" s="40"/>
      <c r="BE428" s="5"/>
      <c r="BG428" s="40"/>
      <c r="BH428" s="5"/>
      <c r="BJ428" s="40"/>
      <c r="BK428" s="5"/>
      <c r="BM428" s="40"/>
      <c r="BN428" s="5"/>
      <c r="BP428" s="40"/>
      <c r="BQ428" s="5"/>
      <c r="BS428" s="40"/>
      <c r="BT428" s="5"/>
      <c r="BV428" s="40"/>
      <c r="BW428" s="5"/>
      <c r="BY428" s="40"/>
      <c r="BZ428" s="5"/>
      <c r="CB428" s="40"/>
      <c r="CC428" s="5"/>
      <c r="CE428" s="40"/>
      <c r="CF428" s="5"/>
      <c r="CH428" s="40"/>
      <c r="CI428" s="5"/>
      <c r="CK428" s="40"/>
      <c r="CL428" s="5"/>
      <c r="CN428" s="40"/>
      <c r="CO428" s="5"/>
      <c r="CQ428" s="40"/>
      <c r="CR428" s="5"/>
    </row>
    <row r="429">
      <c r="AL429" s="40"/>
      <c r="AM429" s="5"/>
      <c r="AO429" s="40"/>
      <c r="AP429" s="5"/>
      <c r="AR429" s="40"/>
      <c r="AS429" s="5"/>
      <c r="AU429" s="40"/>
      <c r="AV429" s="5"/>
      <c r="AX429" s="40"/>
      <c r="AY429" s="5"/>
      <c r="BA429" s="40"/>
      <c r="BB429" s="5"/>
      <c r="BD429" s="40"/>
      <c r="BE429" s="5"/>
      <c r="BG429" s="40"/>
      <c r="BH429" s="5"/>
      <c r="BJ429" s="40"/>
      <c r="BK429" s="5"/>
      <c r="BM429" s="40"/>
      <c r="BN429" s="5"/>
      <c r="BP429" s="40"/>
      <c r="BQ429" s="5"/>
      <c r="BS429" s="40"/>
      <c r="BT429" s="5"/>
      <c r="BV429" s="40"/>
      <c r="BW429" s="5"/>
      <c r="BY429" s="40"/>
      <c r="BZ429" s="5"/>
      <c r="CB429" s="40"/>
      <c r="CC429" s="5"/>
      <c r="CE429" s="40"/>
      <c r="CF429" s="5"/>
      <c r="CH429" s="40"/>
      <c r="CI429" s="5"/>
      <c r="CK429" s="40"/>
      <c r="CL429" s="5"/>
      <c r="CN429" s="40"/>
      <c r="CO429" s="5"/>
      <c r="CQ429" s="40"/>
      <c r="CR429" s="5"/>
    </row>
    <row r="430">
      <c r="AL430" s="40"/>
      <c r="AM430" s="5"/>
      <c r="AO430" s="40"/>
      <c r="AP430" s="5"/>
      <c r="AR430" s="40"/>
      <c r="AS430" s="5"/>
      <c r="AU430" s="40"/>
      <c r="AV430" s="5"/>
      <c r="AX430" s="40"/>
      <c r="AY430" s="5"/>
      <c r="BA430" s="40"/>
      <c r="BB430" s="5"/>
      <c r="BD430" s="40"/>
      <c r="BE430" s="5"/>
      <c r="BG430" s="40"/>
      <c r="BH430" s="5"/>
      <c r="BJ430" s="40"/>
      <c r="BK430" s="5"/>
      <c r="BM430" s="40"/>
      <c r="BN430" s="5"/>
      <c r="BP430" s="40"/>
      <c r="BQ430" s="5"/>
      <c r="BS430" s="40"/>
      <c r="BT430" s="5"/>
      <c r="BV430" s="40"/>
      <c r="BW430" s="5"/>
      <c r="BY430" s="40"/>
      <c r="BZ430" s="5"/>
      <c r="CB430" s="40"/>
      <c r="CC430" s="5"/>
      <c r="CE430" s="40"/>
      <c r="CF430" s="5"/>
      <c r="CH430" s="40"/>
      <c r="CI430" s="5"/>
      <c r="CK430" s="40"/>
      <c r="CL430" s="5"/>
      <c r="CN430" s="40"/>
      <c r="CO430" s="5"/>
      <c r="CQ430" s="40"/>
      <c r="CR430" s="5"/>
    </row>
    <row r="431">
      <c r="AL431" s="40"/>
      <c r="AM431" s="5"/>
      <c r="AO431" s="40"/>
      <c r="AP431" s="5"/>
      <c r="AR431" s="40"/>
      <c r="AS431" s="5"/>
      <c r="AU431" s="40"/>
      <c r="AV431" s="5"/>
      <c r="AX431" s="40"/>
      <c r="AY431" s="5"/>
      <c r="BA431" s="40"/>
      <c r="BB431" s="5"/>
      <c r="BD431" s="40"/>
      <c r="BE431" s="5"/>
      <c r="BG431" s="40"/>
      <c r="BH431" s="5"/>
      <c r="BJ431" s="40"/>
      <c r="BK431" s="5"/>
      <c r="BM431" s="40"/>
      <c r="BN431" s="5"/>
      <c r="BP431" s="40"/>
      <c r="BQ431" s="5"/>
      <c r="BS431" s="40"/>
      <c r="BT431" s="5"/>
      <c r="BV431" s="40"/>
      <c r="BW431" s="5"/>
      <c r="BY431" s="40"/>
      <c r="BZ431" s="5"/>
      <c r="CB431" s="40"/>
      <c r="CC431" s="5"/>
      <c r="CE431" s="40"/>
      <c r="CF431" s="5"/>
      <c r="CH431" s="40"/>
      <c r="CI431" s="5"/>
      <c r="CK431" s="40"/>
      <c r="CL431" s="5"/>
      <c r="CN431" s="40"/>
      <c r="CO431" s="5"/>
      <c r="CQ431" s="40"/>
      <c r="CR431" s="5"/>
    </row>
    <row r="432">
      <c r="AL432" s="40"/>
      <c r="AM432" s="5"/>
      <c r="AO432" s="40"/>
      <c r="AP432" s="5"/>
      <c r="AR432" s="40"/>
      <c r="AS432" s="5"/>
      <c r="AU432" s="40"/>
      <c r="AV432" s="5"/>
      <c r="AX432" s="40"/>
      <c r="AY432" s="5"/>
      <c r="BA432" s="40"/>
      <c r="BB432" s="5"/>
      <c r="BD432" s="40"/>
      <c r="BE432" s="5"/>
      <c r="BG432" s="40"/>
      <c r="BH432" s="5"/>
      <c r="BJ432" s="40"/>
      <c r="BK432" s="5"/>
      <c r="BM432" s="40"/>
      <c r="BN432" s="5"/>
      <c r="BP432" s="40"/>
      <c r="BQ432" s="5"/>
      <c r="BS432" s="40"/>
      <c r="BT432" s="5"/>
      <c r="BV432" s="40"/>
      <c r="BW432" s="5"/>
      <c r="BY432" s="40"/>
      <c r="BZ432" s="5"/>
      <c r="CB432" s="40"/>
      <c r="CC432" s="5"/>
      <c r="CE432" s="40"/>
      <c r="CF432" s="5"/>
      <c r="CH432" s="40"/>
      <c r="CI432" s="5"/>
      <c r="CK432" s="40"/>
      <c r="CL432" s="5"/>
      <c r="CN432" s="40"/>
      <c r="CO432" s="5"/>
      <c r="CQ432" s="40"/>
      <c r="CR432" s="5"/>
    </row>
    <row r="433">
      <c r="AL433" s="40"/>
      <c r="AM433" s="5"/>
      <c r="AO433" s="40"/>
      <c r="AP433" s="5"/>
      <c r="AR433" s="40"/>
      <c r="AS433" s="5"/>
      <c r="AU433" s="40"/>
      <c r="AV433" s="5"/>
      <c r="AX433" s="40"/>
      <c r="AY433" s="5"/>
      <c r="BA433" s="40"/>
      <c r="BB433" s="5"/>
      <c r="BD433" s="40"/>
      <c r="BE433" s="5"/>
      <c r="BG433" s="40"/>
      <c r="BH433" s="5"/>
      <c r="BJ433" s="40"/>
      <c r="BK433" s="5"/>
      <c r="BM433" s="40"/>
      <c r="BN433" s="5"/>
      <c r="BP433" s="40"/>
      <c r="BQ433" s="5"/>
      <c r="BS433" s="40"/>
      <c r="BT433" s="5"/>
      <c r="BV433" s="40"/>
      <c r="BW433" s="5"/>
      <c r="BY433" s="40"/>
      <c r="BZ433" s="5"/>
      <c r="CB433" s="40"/>
      <c r="CC433" s="5"/>
      <c r="CE433" s="40"/>
      <c r="CF433" s="5"/>
      <c r="CH433" s="40"/>
      <c r="CI433" s="5"/>
      <c r="CK433" s="40"/>
      <c r="CL433" s="5"/>
      <c r="CN433" s="40"/>
      <c r="CO433" s="5"/>
      <c r="CQ433" s="40"/>
      <c r="CR433" s="5"/>
    </row>
    <row r="434">
      <c r="AL434" s="40"/>
      <c r="AM434" s="5"/>
      <c r="AO434" s="40"/>
      <c r="AP434" s="5"/>
      <c r="AR434" s="40"/>
      <c r="AS434" s="5"/>
      <c r="AU434" s="40"/>
      <c r="AV434" s="5"/>
      <c r="AX434" s="40"/>
      <c r="AY434" s="5"/>
      <c r="BA434" s="40"/>
      <c r="BB434" s="5"/>
      <c r="BD434" s="40"/>
      <c r="BE434" s="5"/>
      <c r="BG434" s="40"/>
      <c r="BH434" s="5"/>
      <c r="BJ434" s="40"/>
      <c r="BK434" s="5"/>
      <c r="BM434" s="40"/>
      <c r="BN434" s="5"/>
      <c r="BP434" s="40"/>
      <c r="BQ434" s="5"/>
      <c r="BS434" s="40"/>
      <c r="BT434" s="5"/>
      <c r="BV434" s="40"/>
      <c r="BW434" s="5"/>
      <c r="BY434" s="40"/>
      <c r="BZ434" s="5"/>
      <c r="CB434" s="40"/>
      <c r="CC434" s="5"/>
      <c r="CE434" s="40"/>
      <c r="CF434" s="5"/>
      <c r="CH434" s="40"/>
      <c r="CI434" s="5"/>
      <c r="CK434" s="40"/>
      <c r="CL434" s="5"/>
      <c r="CN434" s="40"/>
      <c r="CO434" s="5"/>
      <c r="CQ434" s="40"/>
      <c r="CR434" s="5"/>
    </row>
    <row r="435">
      <c r="AL435" s="40"/>
      <c r="AM435" s="5"/>
      <c r="AO435" s="40"/>
      <c r="AP435" s="5"/>
      <c r="AR435" s="40"/>
      <c r="AS435" s="5"/>
      <c r="AU435" s="40"/>
      <c r="AV435" s="5"/>
      <c r="AX435" s="40"/>
      <c r="AY435" s="5"/>
      <c r="BA435" s="40"/>
      <c r="BB435" s="5"/>
      <c r="BD435" s="40"/>
      <c r="BE435" s="5"/>
      <c r="BG435" s="40"/>
      <c r="BH435" s="5"/>
      <c r="BJ435" s="40"/>
      <c r="BK435" s="5"/>
      <c r="BM435" s="40"/>
      <c r="BN435" s="5"/>
      <c r="BP435" s="40"/>
      <c r="BQ435" s="5"/>
      <c r="BS435" s="40"/>
      <c r="BT435" s="5"/>
      <c r="BV435" s="40"/>
      <c r="BW435" s="5"/>
      <c r="BY435" s="40"/>
      <c r="BZ435" s="5"/>
      <c r="CB435" s="40"/>
      <c r="CC435" s="5"/>
      <c r="CE435" s="40"/>
      <c r="CF435" s="5"/>
      <c r="CH435" s="40"/>
      <c r="CI435" s="5"/>
      <c r="CK435" s="40"/>
      <c r="CL435" s="5"/>
      <c r="CN435" s="40"/>
      <c r="CO435" s="5"/>
      <c r="CQ435" s="40"/>
      <c r="CR435" s="5"/>
    </row>
    <row r="436">
      <c r="AL436" s="40"/>
      <c r="AM436" s="5"/>
      <c r="AO436" s="40"/>
      <c r="AP436" s="5"/>
      <c r="AR436" s="40"/>
      <c r="AS436" s="5"/>
      <c r="AU436" s="40"/>
      <c r="AV436" s="5"/>
      <c r="AX436" s="40"/>
      <c r="AY436" s="5"/>
      <c r="BA436" s="40"/>
      <c r="BB436" s="5"/>
      <c r="BD436" s="40"/>
      <c r="BE436" s="5"/>
      <c r="BG436" s="40"/>
      <c r="BH436" s="5"/>
      <c r="BJ436" s="40"/>
      <c r="BK436" s="5"/>
      <c r="BM436" s="40"/>
      <c r="BN436" s="5"/>
      <c r="BP436" s="40"/>
      <c r="BQ436" s="5"/>
      <c r="BS436" s="40"/>
      <c r="BT436" s="5"/>
      <c r="BV436" s="40"/>
      <c r="BW436" s="5"/>
      <c r="BY436" s="40"/>
      <c r="BZ436" s="5"/>
      <c r="CB436" s="40"/>
      <c r="CC436" s="5"/>
      <c r="CE436" s="40"/>
      <c r="CF436" s="5"/>
      <c r="CH436" s="40"/>
      <c r="CI436" s="5"/>
      <c r="CK436" s="40"/>
      <c r="CL436" s="5"/>
      <c r="CN436" s="40"/>
      <c r="CO436" s="5"/>
      <c r="CQ436" s="40"/>
      <c r="CR436" s="5"/>
    </row>
    <row r="437">
      <c r="AL437" s="40"/>
      <c r="AM437" s="5"/>
      <c r="AO437" s="40"/>
      <c r="AP437" s="5"/>
      <c r="AR437" s="40"/>
      <c r="AS437" s="5"/>
      <c r="AU437" s="40"/>
      <c r="AV437" s="5"/>
      <c r="AX437" s="40"/>
      <c r="AY437" s="5"/>
      <c r="BA437" s="40"/>
      <c r="BB437" s="5"/>
      <c r="BD437" s="40"/>
      <c r="BE437" s="5"/>
      <c r="BG437" s="40"/>
      <c r="BH437" s="5"/>
      <c r="BJ437" s="40"/>
      <c r="BK437" s="5"/>
      <c r="BM437" s="40"/>
      <c r="BN437" s="5"/>
      <c r="BP437" s="40"/>
      <c r="BQ437" s="5"/>
      <c r="BS437" s="40"/>
      <c r="BT437" s="5"/>
      <c r="BV437" s="40"/>
      <c r="BW437" s="5"/>
      <c r="BY437" s="40"/>
      <c r="BZ437" s="5"/>
      <c r="CB437" s="40"/>
      <c r="CC437" s="5"/>
      <c r="CE437" s="40"/>
      <c r="CF437" s="5"/>
      <c r="CH437" s="40"/>
      <c r="CI437" s="5"/>
      <c r="CK437" s="40"/>
      <c r="CL437" s="5"/>
      <c r="CN437" s="40"/>
      <c r="CO437" s="5"/>
      <c r="CQ437" s="40"/>
      <c r="CR437" s="5"/>
    </row>
    <row r="438">
      <c r="AL438" s="40"/>
      <c r="AM438" s="5"/>
      <c r="AO438" s="40"/>
      <c r="AP438" s="5"/>
      <c r="AR438" s="40"/>
      <c r="AS438" s="5"/>
      <c r="AU438" s="40"/>
      <c r="AV438" s="5"/>
      <c r="AX438" s="40"/>
      <c r="AY438" s="5"/>
      <c r="BA438" s="40"/>
      <c r="BB438" s="5"/>
      <c r="BD438" s="40"/>
      <c r="BE438" s="5"/>
      <c r="BG438" s="40"/>
      <c r="BH438" s="5"/>
      <c r="BJ438" s="40"/>
      <c r="BK438" s="5"/>
      <c r="BM438" s="40"/>
      <c r="BN438" s="5"/>
      <c r="BP438" s="40"/>
      <c r="BQ438" s="5"/>
      <c r="BS438" s="40"/>
      <c r="BT438" s="5"/>
      <c r="BV438" s="40"/>
      <c r="BW438" s="5"/>
      <c r="BY438" s="40"/>
      <c r="BZ438" s="5"/>
      <c r="CB438" s="40"/>
      <c r="CC438" s="5"/>
      <c r="CE438" s="40"/>
      <c r="CF438" s="5"/>
      <c r="CH438" s="40"/>
      <c r="CI438" s="5"/>
      <c r="CK438" s="40"/>
      <c r="CL438" s="5"/>
      <c r="CN438" s="40"/>
      <c r="CO438" s="5"/>
      <c r="CQ438" s="40"/>
      <c r="CR438" s="5"/>
    </row>
    <row r="439">
      <c r="AL439" s="40"/>
      <c r="AM439" s="5"/>
      <c r="AO439" s="40"/>
      <c r="AP439" s="5"/>
      <c r="AR439" s="40"/>
      <c r="AS439" s="5"/>
      <c r="AU439" s="40"/>
      <c r="AV439" s="5"/>
      <c r="AX439" s="40"/>
      <c r="AY439" s="5"/>
      <c r="BA439" s="40"/>
      <c r="BB439" s="5"/>
      <c r="BD439" s="40"/>
      <c r="BE439" s="5"/>
      <c r="BG439" s="40"/>
      <c r="BH439" s="5"/>
      <c r="BJ439" s="40"/>
      <c r="BK439" s="5"/>
      <c r="BM439" s="40"/>
      <c r="BN439" s="5"/>
      <c r="BP439" s="40"/>
      <c r="BQ439" s="5"/>
      <c r="BS439" s="40"/>
      <c r="BT439" s="5"/>
      <c r="BV439" s="40"/>
      <c r="BW439" s="5"/>
      <c r="BY439" s="40"/>
      <c r="BZ439" s="5"/>
      <c r="CB439" s="40"/>
      <c r="CC439" s="5"/>
      <c r="CE439" s="40"/>
      <c r="CF439" s="5"/>
      <c r="CH439" s="40"/>
      <c r="CI439" s="5"/>
      <c r="CK439" s="40"/>
      <c r="CL439" s="5"/>
      <c r="CN439" s="40"/>
      <c r="CO439" s="5"/>
      <c r="CQ439" s="40"/>
      <c r="CR439" s="5"/>
    </row>
    <row r="440">
      <c r="AL440" s="40"/>
      <c r="AM440" s="5"/>
      <c r="AO440" s="40"/>
      <c r="AP440" s="5"/>
      <c r="AR440" s="40"/>
      <c r="AS440" s="5"/>
      <c r="AU440" s="40"/>
      <c r="AV440" s="5"/>
      <c r="AX440" s="40"/>
      <c r="AY440" s="5"/>
      <c r="BA440" s="40"/>
      <c r="BB440" s="5"/>
      <c r="BD440" s="40"/>
      <c r="BE440" s="5"/>
      <c r="BG440" s="40"/>
      <c r="BH440" s="5"/>
      <c r="BJ440" s="40"/>
      <c r="BK440" s="5"/>
      <c r="BM440" s="40"/>
      <c r="BN440" s="5"/>
      <c r="BP440" s="40"/>
      <c r="BQ440" s="5"/>
      <c r="BS440" s="40"/>
      <c r="BT440" s="5"/>
      <c r="BV440" s="40"/>
      <c r="BW440" s="5"/>
      <c r="BY440" s="40"/>
      <c r="BZ440" s="5"/>
      <c r="CB440" s="40"/>
      <c r="CC440" s="5"/>
      <c r="CE440" s="40"/>
      <c r="CF440" s="5"/>
      <c r="CH440" s="40"/>
      <c r="CI440" s="5"/>
      <c r="CK440" s="40"/>
      <c r="CL440" s="5"/>
      <c r="CN440" s="40"/>
      <c r="CO440" s="5"/>
      <c r="CQ440" s="40"/>
      <c r="CR440" s="5"/>
    </row>
    <row r="441">
      <c r="AL441" s="40"/>
      <c r="AM441" s="5"/>
      <c r="AO441" s="40"/>
      <c r="AP441" s="5"/>
      <c r="AR441" s="40"/>
      <c r="AS441" s="5"/>
      <c r="AU441" s="40"/>
      <c r="AV441" s="5"/>
      <c r="AX441" s="40"/>
      <c r="AY441" s="5"/>
      <c r="BA441" s="40"/>
      <c r="BB441" s="5"/>
      <c r="BD441" s="40"/>
      <c r="BE441" s="5"/>
      <c r="BG441" s="40"/>
      <c r="BH441" s="5"/>
      <c r="BJ441" s="40"/>
      <c r="BK441" s="5"/>
      <c r="BM441" s="40"/>
      <c r="BN441" s="5"/>
      <c r="BP441" s="40"/>
      <c r="BQ441" s="5"/>
      <c r="BS441" s="40"/>
      <c r="BT441" s="5"/>
      <c r="BV441" s="40"/>
      <c r="BW441" s="5"/>
      <c r="BY441" s="40"/>
      <c r="BZ441" s="5"/>
      <c r="CB441" s="40"/>
      <c r="CC441" s="5"/>
      <c r="CE441" s="40"/>
      <c r="CF441" s="5"/>
      <c r="CH441" s="40"/>
      <c r="CI441" s="5"/>
      <c r="CK441" s="40"/>
      <c r="CL441" s="5"/>
      <c r="CN441" s="40"/>
      <c r="CO441" s="5"/>
      <c r="CQ441" s="40"/>
      <c r="CR441" s="5"/>
    </row>
    <row r="442">
      <c r="AL442" s="40"/>
      <c r="AM442" s="5"/>
      <c r="AO442" s="40"/>
      <c r="AP442" s="5"/>
      <c r="AR442" s="40"/>
      <c r="AS442" s="5"/>
      <c r="AU442" s="40"/>
      <c r="AV442" s="5"/>
      <c r="AX442" s="40"/>
      <c r="AY442" s="5"/>
      <c r="BA442" s="40"/>
      <c r="BB442" s="5"/>
      <c r="BD442" s="40"/>
      <c r="BE442" s="5"/>
      <c r="BG442" s="40"/>
      <c r="BH442" s="5"/>
      <c r="BJ442" s="40"/>
      <c r="BK442" s="5"/>
      <c r="BM442" s="40"/>
      <c r="BN442" s="5"/>
      <c r="BP442" s="40"/>
      <c r="BQ442" s="5"/>
      <c r="BS442" s="40"/>
      <c r="BT442" s="5"/>
      <c r="BV442" s="40"/>
      <c r="BW442" s="5"/>
      <c r="BY442" s="40"/>
      <c r="BZ442" s="5"/>
      <c r="CB442" s="40"/>
      <c r="CC442" s="5"/>
      <c r="CE442" s="40"/>
      <c r="CF442" s="5"/>
      <c r="CH442" s="40"/>
      <c r="CI442" s="5"/>
      <c r="CK442" s="40"/>
      <c r="CL442" s="5"/>
      <c r="CN442" s="40"/>
      <c r="CO442" s="5"/>
      <c r="CQ442" s="40"/>
      <c r="CR442" s="5"/>
    </row>
    <row r="443">
      <c r="AL443" s="40"/>
      <c r="AM443" s="5"/>
      <c r="AO443" s="40"/>
      <c r="AP443" s="5"/>
      <c r="AR443" s="40"/>
      <c r="AS443" s="5"/>
      <c r="AU443" s="40"/>
      <c r="AV443" s="5"/>
      <c r="AX443" s="40"/>
      <c r="AY443" s="5"/>
      <c r="BA443" s="40"/>
      <c r="BB443" s="5"/>
      <c r="BD443" s="40"/>
      <c r="BE443" s="5"/>
      <c r="BG443" s="40"/>
      <c r="BH443" s="5"/>
      <c r="BJ443" s="40"/>
      <c r="BK443" s="5"/>
      <c r="BM443" s="40"/>
      <c r="BN443" s="5"/>
      <c r="BP443" s="40"/>
      <c r="BQ443" s="5"/>
      <c r="BS443" s="40"/>
      <c r="BT443" s="5"/>
      <c r="BV443" s="40"/>
      <c r="BW443" s="5"/>
      <c r="BY443" s="40"/>
      <c r="BZ443" s="5"/>
      <c r="CB443" s="40"/>
      <c r="CC443" s="5"/>
      <c r="CE443" s="40"/>
      <c r="CF443" s="5"/>
      <c r="CH443" s="40"/>
      <c r="CI443" s="5"/>
      <c r="CK443" s="40"/>
      <c r="CL443" s="5"/>
      <c r="CN443" s="40"/>
      <c r="CO443" s="5"/>
      <c r="CQ443" s="40"/>
      <c r="CR443" s="5"/>
    </row>
    <row r="444">
      <c r="AL444" s="40"/>
      <c r="AM444" s="5"/>
      <c r="AO444" s="40"/>
      <c r="AP444" s="5"/>
      <c r="AR444" s="40"/>
      <c r="AS444" s="5"/>
      <c r="AU444" s="40"/>
      <c r="AV444" s="5"/>
      <c r="AX444" s="40"/>
      <c r="AY444" s="5"/>
      <c r="BA444" s="40"/>
      <c r="BB444" s="5"/>
      <c r="BD444" s="40"/>
      <c r="BE444" s="5"/>
      <c r="BG444" s="40"/>
      <c r="BH444" s="5"/>
      <c r="BJ444" s="40"/>
      <c r="BK444" s="5"/>
      <c r="BM444" s="40"/>
      <c r="BN444" s="5"/>
      <c r="BP444" s="40"/>
      <c r="BQ444" s="5"/>
      <c r="BS444" s="40"/>
      <c r="BT444" s="5"/>
      <c r="BV444" s="40"/>
      <c r="BW444" s="5"/>
      <c r="BY444" s="40"/>
      <c r="BZ444" s="5"/>
      <c r="CB444" s="40"/>
      <c r="CC444" s="5"/>
      <c r="CE444" s="40"/>
      <c r="CF444" s="5"/>
      <c r="CH444" s="40"/>
      <c r="CI444" s="5"/>
      <c r="CK444" s="40"/>
      <c r="CL444" s="5"/>
      <c r="CN444" s="40"/>
      <c r="CO444" s="5"/>
      <c r="CQ444" s="40"/>
      <c r="CR444" s="5"/>
    </row>
    <row r="445">
      <c r="AL445" s="40"/>
      <c r="AM445" s="5"/>
      <c r="AO445" s="40"/>
      <c r="AP445" s="5"/>
      <c r="AR445" s="40"/>
      <c r="AS445" s="5"/>
      <c r="AU445" s="40"/>
      <c r="AV445" s="5"/>
      <c r="AX445" s="40"/>
      <c r="AY445" s="5"/>
      <c r="BA445" s="40"/>
      <c r="BB445" s="5"/>
      <c r="BD445" s="40"/>
      <c r="BE445" s="5"/>
      <c r="BG445" s="40"/>
      <c r="BH445" s="5"/>
      <c r="BJ445" s="40"/>
      <c r="BK445" s="5"/>
      <c r="BM445" s="40"/>
      <c r="BN445" s="5"/>
      <c r="BP445" s="40"/>
      <c r="BQ445" s="5"/>
      <c r="BS445" s="40"/>
      <c r="BT445" s="5"/>
      <c r="BV445" s="40"/>
      <c r="BW445" s="5"/>
      <c r="BY445" s="40"/>
      <c r="BZ445" s="5"/>
      <c r="CB445" s="40"/>
      <c r="CC445" s="5"/>
      <c r="CE445" s="40"/>
      <c r="CF445" s="5"/>
      <c r="CH445" s="40"/>
      <c r="CI445" s="5"/>
      <c r="CK445" s="40"/>
      <c r="CL445" s="5"/>
      <c r="CN445" s="40"/>
      <c r="CO445" s="5"/>
      <c r="CQ445" s="40"/>
      <c r="CR445" s="5"/>
    </row>
    <row r="446">
      <c r="AL446" s="40"/>
      <c r="AM446" s="5"/>
      <c r="AO446" s="40"/>
      <c r="AP446" s="5"/>
      <c r="AR446" s="40"/>
      <c r="AS446" s="5"/>
      <c r="AU446" s="40"/>
      <c r="AV446" s="5"/>
      <c r="AX446" s="40"/>
      <c r="AY446" s="5"/>
      <c r="BA446" s="40"/>
      <c r="BB446" s="5"/>
      <c r="BD446" s="40"/>
      <c r="BE446" s="5"/>
      <c r="BG446" s="40"/>
      <c r="BH446" s="5"/>
      <c r="BJ446" s="40"/>
      <c r="BK446" s="5"/>
      <c r="BM446" s="40"/>
      <c r="BN446" s="5"/>
      <c r="BP446" s="40"/>
      <c r="BQ446" s="5"/>
      <c r="BS446" s="40"/>
      <c r="BT446" s="5"/>
      <c r="BV446" s="40"/>
      <c r="BW446" s="5"/>
      <c r="BY446" s="40"/>
      <c r="BZ446" s="5"/>
      <c r="CB446" s="40"/>
      <c r="CC446" s="5"/>
      <c r="CE446" s="40"/>
      <c r="CF446" s="5"/>
      <c r="CH446" s="40"/>
      <c r="CI446" s="5"/>
      <c r="CK446" s="40"/>
      <c r="CL446" s="5"/>
      <c r="CN446" s="40"/>
      <c r="CO446" s="5"/>
      <c r="CQ446" s="40"/>
      <c r="CR446" s="5"/>
    </row>
    <row r="447">
      <c r="AL447" s="40"/>
      <c r="AM447" s="5"/>
      <c r="AO447" s="40"/>
      <c r="AP447" s="5"/>
      <c r="AR447" s="40"/>
      <c r="AS447" s="5"/>
      <c r="AU447" s="40"/>
      <c r="AV447" s="5"/>
      <c r="AX447" s="40"/>
      <c r="AY447" s="5"/>
      <c r="BA447" s="40"/>
      <c r="BB447" s="5"/>
      <c r="BD447" s="40"/>
      <c r="BE447" s="5"/>
      <c r="BG447" s="40"/>
      <c r="BH447" s="5"/>
      <c r="BJ447" s="40"/>
      <c r="BK447" s="5"/>
      <c r="BM447" s="40"/>
      <c r="BN447" s="5"/>
      <c r="BP447" s="40"/>
      <c r="BQ447" s="5"/>
      <c r="BS447" s="40"/>
      <c r="BT447" s="5"/>
      <c r="BV447" s="40"/>
      <c r="BW447" s="5"/>
      <c r="BY447" s="40"/>
      <c r="BZ447" s="5"/>
      <c r="CB447" s="40"/>
      <c r="CC447" s="5"/>
      <c r="CE447" s="40"/>
      <c r="CF447" s="5"/>
      <c r="CH447" s="40"/>
      <c r="CI447" s="5"/>
      <c r="CK447" s="40"/>
      <c r="CL447" s="5"/>
      <c r="CN447" s="40"/>
      <c r="CO447" s="5"/>
      <c r="CQ447" s="40"/>
      <c r="CR447" s="5"/>
    </row>
    <row r="448">
      <c r="AL448" s="40"/>
      <c r="AM448" s="5"/>
      <c r="AO448" s="40"/>
      <c r="AP448" s="5"/>
      <c r="AR448" s="40"/>
      <c r="AS448" s="5"/>
      <c r="AU448" s="40"/>
      <c r="AV448" s="5"/>
      <c r="AX448" s="40"/>
      <c r="AY448" s="5"/>
      <c r="BA448" s="40"/>
      <c r="BB448" s="5"/>
      <c r="BD448" s="40"/>
      <c r="BE448" s="5"/>
      <c r="BG448" s="40"/>
      <c r="BH448" s="5"/>
      <c r="BJ448" s="40"/>
      <c r="BK448" s="5"/>
      <c r="BM448" s="40"/>
      <c r="BN448" s="5"/>
      <c r="BP448" s="40"/>
      <c r="BQ448" s="5"/>
      <c r="BS448" s="40"/>
      <c r="BT448" s="5"/>
      <c r="BV448" s="40"/>
      <c r="BW448" s="5"/>
      <c r="BY448" s="40"/>
      <c r="BZ448" s="5"/>
      <c r="CB448" s="40"/>
      <c r="CC448" s="5"/>
      <c r="CE448" s="40"/>
      <c r="CF448" s="5"/>
      <c r="CH448" s="40"/>
      <c r="CI448" s="5"/>
      <c r="CK448" s="40"/>
      <c r="CL448" s="5"/>
      <c r="CN448" s="40"/>
      <c r="CO448" s="5"/>
      <c r="CQ448" s="40"/>
      <c r="CR448" s="5"/>
    </row>
    <row r="449">
      <c r="AL449" s="40"/>
      <c r="AM449" s="5"/>
      <c r="AO449" s="40"/>
      <c r="AP449" s="5"/>
      <c r="AR449" s="40"/>
      <c r="AS449" s="5"/>
      <c r="AU449" s="40"/>
      <c r="AV449" s="5"/>
      <c r="AX449" s="40"/>
      <c r="AY449" s="5"/>
      <c r="BA449" s="40"/>
      <c r="BB449" s="5"/>
      <c r="BD449" s="40"/>
      <c r="BE449" s="5"/>
      <c r="BG449" s="40"/>
      <c r="BH449" s="5"/>
      <c r="BJ449" s="40"/>
      <c r="BK449" s="5"/>
      <c r="BM449" s="40"/>
      <c r="BN449" s="5"/>
      <c r="BP449" s="40"/>
      <c r="BQ449" s="5"/>
      <c r="BS449" s="40"/>
      <c r="BT449" s="5"/>
      <c r="BV449" s="40"/>
      <c r="BW449" s="5"/>
      <c r="BY449" s="40"/>
      <c r="BZ449" s="5"/>
      <c r="CB449" s="40"/>
      <c r="CC449" s="5"/>
      <c r="CE449" s="40"/>
      <c r="CF449" s="5"/>
      <c r="CH449" s="40"/>
      <c r="CI449" s="5"/>
      <c r="CK449" s="40"/>
      <c r="CL449" s="5"/>
      <c r="CN449" s="40"/>
      <c r="CO449" s="5"/>
      <c r="CQ449" s="40"/>
      <c r="CR449" s="5"/>
    </row>
    <row r="450">
      <c r="AL450" s="40"/>
      <c r="AM450" s="5"/>
      <c r="AO450" s="40"/>
      <c r="AP450" s="5"/>
      <c r="AR450" s="40"/>
      <c r="AS450" s="5"/>
      <c r="AU450" s="40"/>
      <c r="AV450" s="5"/>
      <c r="AX450" s="40"/>
      <c r="AY450" s="5"/>
      <c r="BA450" s="40"/>
      <c r="BB450" s="5"/>
      <c r="BD450" s="40"/>
      <c r="BE450" s="5"/>
      <c r="BG450" s="40"/>
      <c r="BH450" s="5"/>
      <c r="BJ450" s="40"/>
      <c r="BK450" s="5"/>
      <c r="BM450" s="40"/>
      <c r="BN450" s="5"/>
      <c r="BP450" s="40"/>
      <c r="BQ450" s="5"/>
      <c r="BS450" s="40"/>
      <c r="BT450" s="5"/>
      <c r="BV450" s="40"/>
      <c r="BW450" s="5"/>
      <c r="BY450" s="40"/>
      <c r="BZ450" s="5"/>
      <c r="CB450" s="40"/>
      <c r="CC450" s="5"/>
      <c r="CE450" s="40"/>
      <c r="CF450" s="5"/>
      <c r="CH450" s="40"/>
      <c r="CI450" s="5"/>
      <c r="CK450" s="40"/>
      <c r="CL450" s="5"/>
      <c r="CN450" s="40"/>
      <c r="CO450" s="5"/>
      <c r="CQ450" s="40"/>
      <c r="CR450" s="5"/>
    </row>
    <row r="451">
      <c r="AL451" s="40"/>
      <c r="AM451" s="5"/>
      <c r="AO451" s="40"/>
      <c r="AP451" s="5"/>
      <c r="AR451" s="40"/>
      <c r="AS451" s="5"/>
      <c r="AU451" s="40"/>
      <c r="AV451" s="5"/>
      <c r="AX451" s="40"/>
      <c r="AY451" s="5"/>
      <c r="BA451" s="40"/>
      <c r="BB451" s="5"/>
      <c r="BD451" s="40"/>
      <c r="BE451" s="5"/>
      <c r="BG451" s="40"/>
      <c r="BH451" s="5"/>
      <c r="BJ451" s="40"/>
      <c r="BK451" s="5"/>
      <c r="BM451" s="40"/>
      <c r="BN451" s="5"/>
      <c r="BP451" s="40"/>
      <c r="BQ451" s="5"/>
      <c r="BS451" s="40"/>
      <c r="BT451" s="5"/>
      <c r="BV451" s="40"/>
      <c r="BW451" s="5"/>
      <c r="BY451" s="40"/>
      <c r="BZ451" s="5"/>
      <c r="CB451" s="40"/>
      <c r="CC451" s="5"/>
      <c r="CE451" s="40"/>
      <c r="CF451" s="5"/>
      <c r="CH451" s="40"/>
      <c r="CI451" s="5"/>
      <c r="CK451" s="40"/>
      <c r="CL451" s="5"/>
      <c r="CN451" s="40"/>
      <c r="CO451" s="5"/>
      <c r="CQ451" s="40"/>
      <c r="CR451" s="5"/>
    </row>
    <row r="452">
      <c r="AL452" s="40"/>
      <c r="AM452" s="5"/>
      <c r="AO452" s="40"/>
      <c r="AP452" s="5"/>
      <c r="AR452" s="40"/>
      <c r="AS452" s="5"/>
      <c r="AU452" s="40"/>
      <c r="AV452" s="5"/>
      <c r="AX452" s="40"/>
      <c r="AY452" s="5"/>
      <c r="BA452" s="40"/>
      <c r="BB452" s="5"/>
      <c r="BD452" s="40"/>
      <c r="BE452" s="5"/>
      <c r="BG452" s="40"/>
      <c r="BH452" s="5"/>
      <c r="BJ452" s="40"/>
      <c r="BK452" s="5"/>
      <c r="BM452" s="40"/>
      <c r="BN452" s="5"/>
      <c r="BP452" s="40"/>
      <c r="BQ452" s="5"/>
      <c r="BS452" s="40"/>
      <c r="BT452" s="5"/>
      <c r="BV452" s="40"/>
      <c r="BW452" s="5"/>
      <c r="BY452" s="40"/>
      <c r="BZ452" s="5"/>
      <c r="CB452" s="40"/>
      <c r="CC452" s="5"/>
      <c r="CE452" s="40"/>
      <c r="CF452" s="5"/>
      <c r="CH452" s="40"/>
      <c r="CI452" s="5"/>
      <c r="CK452" s="40"/>
      <c r="CL452" s="5"/>
      <c r="CN452" s="40"/>
      <c r="CO452" s="5"/>
      <c r="CQ452" s="40"/>
      <c r="CR452" s="5"/>
    </row>
    <row r="453">
      <c r="AL453" s="40"/>
      <c r="AM453" s="5"/>
      <c r="AO453" s="40"/>
      <c r="AP453" s="5"/>
      <c r="AR453" s="40"/>
      <c r="AS453" s="5"/>
      <c r="AU453" s="40"/>
      <c r="AV453" s="5"/>
      <c r="AX453" s="40"/>
      <c r="AY453" s="5"/>
      <c r="BA453" s="40"/>
      <c r="BB453" s="5"/>
      <c r="BD453" s="40"/>
      <c r="BE453" s="5"/>
      <c r="BG453" s="40"/>
      <c r="BH453" s="5"/>
      <c r="BJ453" s="40"/>
      <c r="BK453" s="5"/>
      <c r="BM453" s="40"/>
      <c r="BN453" s="5"/>
      <c r="BP453" s="40"/>
      <c r="BQ453" s="5"/>
      <c r="BS453" s="40"/>
      <c r="BT453" s="5"/>
      <c r="BV453" s="40"/>
      <c r="BW453" s="5"/>
      <c r="BY453" s="40"/>
      <c r="BZ453" s="5"/>
      <c r="CB453" s="40"/>
      <c r="CC453" s="5"/>
      <c r="CE453" s="40"/>
      <c r="CF453" s="5"/>
      <c r="CH453" s="40"/>
      <c r="CI453" s="5"/>
      <c r="CK453" s="40"/>
      <c r="CL453" s="5"/>
      <c r="CN453" s="40"/>
      <c r="CO453" s="5"/>
      <c r="CQ453" s="40"/>
      <c r="CR453" s="5"/>
    </row>
    <row r="454">
      <c r="AL454" s="40"/>
      <c r="AM454" s="5"/>
      <c r="AO454" s="40"/>
      <c r="AP454" s="5"/>
      <c r="AR454" s="40"/>
      <c r="AS454" s="5"/>
      <c r="AU454" s="40"/>
      <c r="AV454" s="5"/>
      <c r="AX454" s="40"/>
      <c r="AY454" s="5"/>
      <c r="BA454" s="40"/>
      <c r="BB454" s="5"/>
      <c r="BD454" s="40"/>
      <c r="BE454" s="5"/>
      <c r="BG454" s="40"/>
      <c r="BH454" s="5"/>
      <c r="BJ454" s="40"/>
      <c r="BK454" s="5"/>
      <c r="BM454" s="40"/>
      <c r="BN454" s="5"/>
      <c r="BP454" s="40"/>
      <c r="BQ454" s="5"/>
      <c r="BS454" s="40"/>
      <c r="BT454" s="5"/>
      <c r="BV454" s="40"/>
      <c r="BW454" s="5"/>
      <c r="BY454" s="40"/>
      <c r="BZ454" s="5"/>
      <c r="CB454" s="40"/>
      <c r="CC454" s="5"/>
      <c r="CE454" s="40"/>
      <c r="CF454" s="5"/>
      <c r="CH454" s="40"/>
      <c r="CI454" s="5"/>
      <c r="CK454" s="40"/>
      <c r="CL454" s="5"/>
      <c r="CN454" s="40"/>
      <c r="CO454" s="5"/>
      <c r="CQ454" s="40"/>
      <c r="CR454" s="5"/>
    </row>
    <row r="455">
      <c r="AL455" s="40"/>
      <c r="AM455" s="5"/>
      <c r="AO455" s="40"/>
      <c r="AP455" s="5"/>
      <c r="AR455" s="40"/>
      <c r="AS455" s="5"/>
      <c r="AU455" s="40"/>
      <c r="AV455" s="5"/>
      <c r="AX455" s="40"/>
      <c r="AY455" s="5"/>
      <c r="BA455" s="40"/>
      <c r="BB455" s="5"/>
      <c r="BD455" s="40"/>
      <c r="BE455" s="5"/>
      <c r="BG455" s="40"/>
      <c r="BH455" s="5"/>
      <c r="BJ455" s="40"/>
      <c r="BK455" s="5"/>
      <c r="BM455" s="40"/>
      <c r="BN455" s="5"/>
      <c r="BP455" s="40"/>
      <c r="BQ455" s="5"/>
      <c r="BS455" s="40"/>
      <c r="BT455" s="5"/>
      <c r="BV455" s="40"/>
      <c r="BW455" s="5"/>
      <c r="BY455" s="40"/>
      <c r="BZ455" s="5"/>
      <c r="CB455" s="40"/>
      <c r="CC455" s="5"/>
      <c r="CE455" s="40"/>
      <c r="CF455" s="5"/>
      <c r="CH455" s="40"/>
      <c r="CI455" s="5"/>
      <c r="CK455" s="40"/>
      <c r="CL455" s="5"/>
      <c r="CN455" s="40"/>
      <c r="CO455" s="5"/>
      <c r="CQ455" s="40"/>
      <c r="CR455" s="5"/>
    </row>
    <row r="456">
      <c r="AL456" s="40"/>
      <c r="AM456" s="5"/>
      <c r="AO456" s="40"/>
      <c r="AP456" s="5"/>
      <c r="AR456" s="40"/>
      <c r="AS456" s="5"/>
      <c r="AU456" s="40"/>
      <c r="AV456" s="5"/>
      <c r="AX456" s="40"/>
      <c r="AY456" s="5"/>
      <c r="BA456" s="40"/>
      <c r="BB456" s="5"/>
      <c r="BD456" s="40"/>
      <c r="BE456" s="5"/>
      <c r="BG456" s="40"/>
      <c r="BH456" s="5"/>
      <c r="BJ456" s="40"/>
      <c r="BK456" s="5"/>
      <c r="BM456" s="40"/>
      <c r="BN456" s="5"/>
      <c r="BP456" s="40"/>
      <c r="BQ456" s="5"/>
      <c r="BS456" s="40"/>
      <c r="BT456" s="5"/>
      <c r="BV456" s="40"/>
      <c r="BW456" s="5"/>
      <c r="BY456" s="40"/>
      <c r="BZ456" s="5"/>
      <c r="CB456" s="40"/>
      <c r="CC456" s="5"/>
      <c r="CE456" s="40"/>
      <c r="CF456" s="5"/>
      <c r="CH456" s="40"/>
      <c r="CI456" s="5"/>
      <c r="CK456" s="40"/>
      <c r="CL456" s="5"/>
      <c r="CN456" s="40"/>
      <c r="CO456" s="5"/>
      <c r="CQ456" s="40"/>
      <c r="CR456" s="5"/>
    </row>
    <row r="457">
      <c r="AL457" s="40"/>
      <c r="AM457" s="5"/>
      <c r="AO457" s="40"/>
      <c r="AP457" s="5"/>
      <c r="AR457" s="40"/>
      <c r="AS457" s="5"/>
      <c r="AU457" s="40"/>
      <c r="AV457" s="5"/>
      <c r="AX457" s="40"/>
      <c r="AY457" s="5"/>
      <c r="BA457" s="40"/>
      <c r="BB457" s="5"/>
      <c r="BD457" s="40"/>
      <c r="BE457" s="5"/>
      <c r="BG457" s="40"/>
      <c r="BH457" s="5"/>
      <c r="BJ457" s="40"/>
      <c r="BK457" s="5"/>
      <c r="BM457" s="40"/>
      <c r="BN457" s="5"/>
      <c r="BP457" s="40"/>
      <c r="BQ457" s="5"/>
      <c r="BS457" s="40"/>
      <c r="BT457" s="5"/>
      <c r="BV457" s="40"/>
      <c r="BW457" s="5"/>
      <c r="BY457" s="40"/>
      <c r="BZ457" s="5"/>
      <c r="CB457" s="40"/>
      <c r="CC457" s="5"/>
      <c r="CE457" s="40"/>
      <c r="CF457" s="5"/>
      <c r="CH457" s="40"/>
      <c r="CI457" s="5"/>
      <c r="CK457" s="40"/>
      <c r="CL457" s="5"/>
      <c r="CN457" s="40"/>
      <c r="CO457" s="5"/>
      <c r="CQ457" s="40"/>
      <c r="CR457" s="5"/>
    </row>
    <row r="458">
      <c r="AL458" s="40"/>
      <c r="AM458" s="5"/>
      <c r="AO458" s="40"/>
      <c r="AP458" s="5"/>
      <c r="AR458" s="40"/>
      <c r="AS458" s="5"/>
      <c r="AU458" s="40"/>
      <c r="AV458" s="5"/>
      <c r="AX458" s="40"/>
      <c r="AY458" s="5"/>
      <c r="BA458" s="40"/>
      <c r="BB458" s="5"/>
      <c r="BD458" s="40"/>
      <c r="BE458" s="5"/>
      <c r="BG458" s="40"/>
      <c r="BH458" s="5"/>
      <c r="BJ458" s="40"/>
      <c r="BK458" s="5"/>
      <c r="BM458" s="40"/>
      <c r="BN458" s="5"/>
      <c r="BP458" s="40"/>
      <c r="BQ458" s="5"/>
      <c r="BS458" s="40"/>
      <c r="BT458" s="5"/>
      <c r="BV458" s="40"/>
      <c r="BW458" s="5"/>
      <c r="BY458" s="40"/>
      <c r="BZ458" s="5"/>
      <c r="CB458" s="40"/>
      <c r="CC458" s="5"/>
      <c r="CE458" s="40"/>
      <c r="CF458" s="5"/>
      <c r="CH458" s="40"/>
      <c r="CI458" s="5"/>
      <c r="CK458" s="40"/>
      <c r="CL458" s="5"/>
      <c r="CN458" s="40"/>
      <c r="CO458" s="5"/>
      <c r="CQ458" s="40"/>
      <c r="CR458" s="5"/>
    </row>
    <row r="459">
      <c r="AL459" s="40"/>
      <c r="AM459" s="5"/>
      <c r="AO459" s="40"/>
      <c r="AP459" s="5"/>
      <c r="AR459" s="40"/>
      <c r="AS459" s="5"/>
      <c r="AU459" s="40"/>
      <c r="AV459" s="5"/>
      <c r="AX459" s="40"/>
      <c r="AY459" s="5"/>
      <c r="BA459" s="40"/>
      <c r="BB459" s="5"/>
      <c r="BD459" s="40"/>
      <c r="BE459" s="5"/>
      <c r="BG459" s="40"/>
      <c r="BH459" s="5"/>
      <c r="BJ459" s="40"/>
      <c r="BK459" s="5"/>
      <c r="BM459" s="40"/>
      <c r="BN459" s="5"/>
      <c r="BP459" s="40"/>
      <c r="BQ459" s="5"/>
      <c r="BS459" s="40"/>
      <c r="BT459" s="5"/>
      <c r="BV459" s="40"/>
      <c r="BW459" s="5"/>
      <c r="BY459" s="40"/>
      <c r="BZ459" s="5"/>
      <c r="CB459" s="40"/>
      <c r="CC459" s="5"/>
      <c r="CE459" s="40"/>
      <c r="CF459" s="5"/>
      <c r="CH459" s="40"/>
      <c r="CI459" s="5"/>
      <c r="CK459" s="40"/>
      <c r="CL459" s="5"/>
      <c r="CN459" s="40"/>
      <c r="CO459" s="5"/>
      <c r="CQ459" s="40"/>
      <c r="CR459" s="5"/>
    </row>
    <row r="460">
      <c r="AL460" s="40"/>
      <c r="AM460" s="5"/>
      <c r="AO460" s="40"/>
      <c r="AP460" s="5"/>
      <c r="AR460" s="40"/>
      <c r="AS460" s="5"/>
      <c r="AU460" s="40"/>
      <c r="AV460" s="5"/>
      <c r="AX460" s="40"/>
      <c r="AY460" s="5"/>
      <c r="BA460" s="40"/>
      <c r="BB460" s="5"/>
      <c r="BD460" s="40"/>
      <c r="BE460" s="5"/>
      <c r="BG460" s="40"/>
      <c r="BH460" s="5"/>
      <c r="BJ460" s="40"/>
      <c r="BK460" s="5"/>
      <c r="BM460" s="40"/>
      <c r="BN460" s="5"/>
      <c r="BP460" s="40"/>
      <c r="BQ460" s="5"/>
      <c r="BS460" s="40"/>
      <c r="BT460" s="5"/>
      <c r="BV460" s="40"/>
      <c r="BW460" s="5"/>
      <c r="BY460" s="40"/>
      <c r="BZ460" s="5"/>
      <c r="CB460" s="40"/>
      <c r="CC460" s="5"/>
      <c r="CE460" s="40"/>
      <c r="CF460" s="5"/>
      <c r="CH460" s="40"/>
      <c r="CI460" s="5"/>
      <c r="CK460" s="40"/>
      <c r="CL460" s="5"/>
      <c r="CN460" s="40"/>
      <c r="CO460" s="5"/>
      <c r="CQ460" s="40"/>
      <c r="CR460" s="5"/>
    </row>
    <row r="461">
      <c r="AL461" s="40"/>
      <c r="AM461" s="5"/>
      <c r="AO461" s="40"/>
      <c r="AP461" s="5"/>
      <c r="AR461" s="40"/>
      <c r="AS461" s="5"/>
      <c r="AU461" s="40"/>
      <c r="AV461" s="5"/>
      <c r="AX461" s="40"/>
      <c r="AY461" s="5"/>
      <c r="BA461" s="40"/>
      <c r="BB461" s="5"/>
      <c r="BD461" s="40"/>
      <c r="BE461" s="5"/>
      <c r="BG461" s="40"/>
      <c r="BH461" s="5"/>
      <c r="BJ461" s="40"/>
      <c r="BK461" s="5"/>
      <c r="BM461" s="40"/>
      <c r="BN461" s="5"/>
      <c r="BP461" s="40"/>
      <c r="BQ461" s="5"/>
      <c r="BS461" s="40"/>
      <c r="BT461" s="5"/>
      <c r="BV461" s="40"/>
      <c r="BW461" s="5"/>
      <c r="BY461" s="40"/>
      <c r="BZ461" s="5"/>
      <c r="CB461" s="40"/>
      <c r="CC461" s="5"/>
      <c r="CE461" s="40"/>
      <c r="CF461" s="5"/>
      <c r="CH461" s="40"/>
      <c r="CI461" s="5"/>
      <c r="CK461" s="40"/>
      <c r="CL461" s="5"/>
      <c r="CN461" s="40"/>
      <c r="CO461" s="5"/>
      <c r="CQ461" s="40"/>
      <c r="CR461" s="5"/>
    </row>
    <row r="462">
      <c r="AL462" s="40"/>
      <c r="AM462" s="5"/>
      <c r="AO462" s="40"/>
      <c r="AP462" s="5"/>
      <c r="AR462" s="40"/>
      <c r="AS462" s="5"/>
      <c r="AU462" s="40"/>
      <c r="AV462" s="5"/>
      <c r="AX462" s="40"/>
      <c r="AY462" s="5"/>
      <c r="BA462" s="40"/>
      <c r="BB462" s="5"/>
      <c r="BD462" s="40"/>
      <c r="BE462" s="5"/>
      <c r="BG462" s="40"/>
      <c r="BH462" s="5"/>
      <c r="BJ462" s="40"/>
      <c r="BK462" s="5"/>
      <c r="BM462" s="40"/>
      <c r="BN462" s="5"/>
      <c r="BP462" s="40"/>
      <c r="BQ462" s="5"/>
      <c r="BS462" s="40"/>
      <c r="BT462" s="5"/>
      <c r="BV462" s="40"/>
      <c r="BW462" s="5"/>
      <c r="BY462" s="40"/>
      <c r="BZ462" s="5"/>
      <c r="CB462" s="40"/>
      <c r="CC462" s="5"/>
      <c r="CE462" s="40"/>
      <c r="CF462" s="5"/>
      <c r="CH462" s="40"/>
      <c r="CI462" s="5"/>
      <c r="CK462" s="40"/>
      <c r="CL462" s="5"/>
      <c r="CN462" s="40"/>
      <c r="CO462" s="5"/>
      <c r="CQ462" s="40"/>
      <c r="CR462" s="5"/>
    </row>
    <row r="463">
      <c r="AL463" s="40"/>
      <c r="AM463" s="5"/>
      <c r="AO463" s="40"/>
      <c r="AP463" s="5"/>
      <c r="AR463" s="40"/>
      <c r="AS463" s="5"/>
      <c r="AU463" s="40"/>
      <c r="AV463" s="5"/>
      <c r="AX463" s="40"/>
      <c r="AY463" s="5"/>
      <c r="BA463" s="40"/>
      <c r="BB463" s="5"/>
      <c r="BD463" s="40"/>
      <c r="BE463" s="5"/>
      <c r="BG463" s="40"/>
      <c r="BH463" s="5"/>
      <c r="BJ463" s="40"/>
      <c r="BK463" s="5"/>
      <c r="BM463" s="40"/>
      <c r="BN463" s="5"/>
      <c r="BP463" s="40"/>
      <c r="BQ463" s="5"/>
      <c r="BS463" s="40"/>
      <c r="BT463" s="5"/>
      <c r="BV463" s="40"/>
      <c r="BW463" s="5"/>
      <c r="BY463" s="40"/>
      <c r="BZ463" s="5"/>
      <c r="CB463" s="40"/>
      <c r="CC463" s="5"/>
      <c r="CE463" s="40"/>
      <c r="CF463" s="5"/>
      <c r="CH463" s="40"/>
      <c r="CI463" s="5"/>
      <c r="CK463" s="40"/>
      <c r="CL463" s="5"/>
      <c r="CN463" s="40"/>
      <c r="CO463" s="5"/>
      <c r="CQ463" s="40"/>
      <c r="CR463" s="5"/>
    </row>
    <row r="464">
      <c r="AL464" s="40"/>
      <c r="AM464" s="5"/>
      <c r="AO464" s="40"/>
      <c r="AP464" s="5"/>
      <c r="AR464" s="40"/>
      <c r="AS464" s="5"/>
      <c r="AU464" s="40"/>
      <c r="AV464" s="5"/>
      <c r="AX464" s="40"/>
      <c r="AY464" s="5"/>
      <c r="BA464" s="40"/>
      <c r="BB464" s="5"/>
      <c r="BD464" s="40"/>
      <c r="BE464" s="5"/>
      <c r="BG464" s="40"/>
      <c r="BH464" s="5"/>
      <c r="BJ464" s="40"/>
      <c r="BK464" s="5"/>
      <c r="BM464" s="40"/>
      <c r="BN464" s="5"/>
      <c r="BP464" s="40"/>
      <c r="BQ464" s="5"/>
      <c r="BS464" s="40"/>
      <c r="BT464" s="5"/>
      <c r="BV464" s="40"/>
      <c r="BW464" s="5"/>
      <c r="BY464" s="40"/>
      <c r="BZ464" s="5"/>
      <c r="CB464" s="40"/>
      <c r="CC464" s="5"/>
      <c r="CE464" s="40"/>
      <c r="CF464" s="5"/>
      <c r="CH464" s="40"/>
      <c r="CI464" s="5"/>
      <c r="CK464" s="40"/>
      <c r="CL464" s="5"/>
      <c r="CN464" s="40"/>
      <c r="CO464" s="5"/>
      <c r="CQ464" s="40"/>
      <c r="CR464" s="5"/>
    </row>
    <row r="465">
      <c r="AL465" s="40"/>
      <c r="AM465" s="5"/>
      <c r="AO465" s="40"/>
      <c r="AP465" s="5"/>
      <c r="AR465" s="40"/>
      <c r="AS465" s="5"/>
      <c r="AU465" s="40"/>
      <c r="AV465" s="5"/>
      <c r="AX465" s="40"/>
      <c r="AY465" s="5"/>
      <c r="BA465" s="40"/>
      <c r="BB465" s="5"/>
      <c r="BD465" s="40"/>
      <c r="BE465" s="5"/>
      <c r="BG465" s="40"/>
      <c r="BH465" s="5"/>
      <c r="BJ465" s="40"/>
      <c r="BK465" s="5"/>
      <c r="BM465" s="40"/>
      <c r="BN465" s="5"/>
      <c r="BP465" s="40"/>
      <c r="BQ465" s="5"/>
      <c r="BS465" s="40"/>
      <c r="BT465" s="5"/>
      <c r="BV465" s="40"/>
      <c r="BW465" s="5"/>
      <c r="BY465" s="40"/>
      <c r="BZ465" s="5"/>
      <c r="CB465" s="40"/>
      <c r="CC465" s="5"/>
      <c r="CE465" s="40"/>
      <c r="CF465" s="5"/>
      <c r="CH465" s="40"/>
      <c r="CI465" s="5"/>
      <c r="CK465" s="40"/>
      <c r="CL465" s="5"/>
      <c r="CN465" s="40"/>
      <c r="CO465" s="5"/>
      <c r="CQ465" s="40"/>
      <c r="CR465" s="5"/>
    </row>
    <row r="466">
      <c r="AL466" s="40"/>
      <c r="AM466" s="5"/>
      <c r="AO466" s="40"/>
      <c r="AP466" s="5"/>
      <c r="AR466" s="40"/>
      <c r="AS466" s="5"/>
      <c r="AU466" s="40"/>
      <c r="AV466" s="5"/>
      <c r="AX466" s="40"/>
      <c r="AY466" s="5"/>
      <c r="BA466" s="40"/>
      <c r="BB466" s="5"/>
      <c r="BD466" s="40"/>
      <c r="BE466" s="5"/>
      <c r="BG466" s="40"/>
      <c r="BH466" s="5"/>
      <c r="BJ466" s="40"/>
      <c r="BK466" s="5"/>
      <c r="BM466" s="40"/>
      <c r="BN466" s="5"/>
      <c r="BP466" s="40"/>
      <c r="BQ466" s="5"/>
      <c r="BS466" s="40"/>
      <c r="BT466" s="5"/>
      <c r="BV466" s="40"/>
      <c r="BW466" s="5"/>
      <c r="BY466" s="40"/>
      <c r="BZ466" s="5"/>
      <c r="CB466" s="40"/>
      <c r="CC466" s="5"/>
      <c r="CE466" s="40"/>
      <c r="CF466" s="5"/>
      <c r="CH466" s="40"/>
      <c r="CI466" s="5"/>
      <c r="CK466" s="40"/>
      <c r="CL466" s="5"/>
      <c r="CN466" s="40"/>
      <c r="CO466" s="5"/>
      <c r="CQ466" s="40"/>
      <c r="CR466" s="5"/>
    </row>
    <row r="467">
      <c r="AL467" s="40"/>
      <c r="AM467" s="5"/>
      <c r="AO467" s="40"/>
      <c r="AP467" s="5"/>
      <c r="AR467" s="40"/>
      <c r="AS467" s="5"/>
      <c r="AU467" s="40"/>
      <c r="AV467" s="5"/>
      <c r="AX467" s="40"/>
      <c r="AY467" s="5"/>
      <c r="BA467" s="40"/>
      <c r="BB467" s="5"/>
      <c r="BD467" s="40"/>
      <c r="BE467" s="5"/>
      <c r="BG467" s="40"/>
      <c r="BH467" s="5"/>
      <c r="BJ467" s="40"/>
      <c r="BK467" s="5"/>
      <c r="BM467" s="40"/>
      <c r="BN467" s="5"/>
      <c r="BP467" s="40"/>
      <c r="BQ467" s="5"/>
      <c r="BS467" s="40"/>
      <c r="BT467" s="5"/>
      <c r="BV467" s="40"/>
      <c r="BW467" s="5"/>
      <c r="BY467" s="40"/>
      <c r="BZ467" s="5"/>
      <c r="CB467" s="40"/>
      <c r="CC467" s="5"/>
      <c r="CE467" s="40"/>
      <c r="CF467" s="5"/>
      <c r="CH467" s="40"/>
      <c r="CI467" s="5"/>
      <c r="CK467" s="40"/>
      <c r="CL467" s="5"/>
      <c r="CN467" s="40"/>
      <c r="CO467" s="5"/>
      <c r="CQ467" s="40"/>
      <c r="CR467" s="5"/>
    </row>
    <row r="468">
      <c r="AL468" s="40"/>
      <c r="AM468" s="5"/>
      <c r="AO468" s="40"/>
      <c r="AP468" s="5"/>
      <c r="AR468" s="40"/>
      <c r="AS468" s="5"/>
      <c r="AU468" s="40"/>
      <c r="AV468" s="5"/>
      <c r="AX468" s="40"/>
      <c r="AY468" s="5"/>
      <c r="BA468" s="40"/>
      <c r="BB468" s="5"/>
      <c r="BD468" s="40"/>
      <c r="BE468" s="5"/>
      <c r="BG468" s="40"/>
      <c r="BH468" s="5"/>
      <c r="BJ468" s="40"/>
      <c r="BK468" s="5"/>
      <c r="BM468" s="40"/>
      <c r="BN468" s="5"/>
      <c r="BP468" s="40"/>
      <c r="BQ468" s="5"/>
      <c r="BS468" s="40"/>
      <c r="BT468" s="5"/>
      <c r="BV468" s="40"/>
      <c r="BW468" s="5"/>
      <c r="BY468" s="40"/>
      <c r="BZ468" s="5"/>
      <c r="CB468" s="40"/>
      <c r="CC468" s="5"/>
      <c r="CE468" s="40"/>
      <c r="CF468" s="5"/>
      <c r="CH468" s="40"/>
      <c r="CI468" s="5"/>
      <c r="CK468" s="40"/>
      <c r="CL468" s="5"/>
      <c r="CN468" s="40"/>
      <c r="CO468" s="5"/>
      <c r="CQ468" s="40"/>
      <c r="CR468" s="5"/>
    </row>
    <row r="469">
      <c r="AL469" s="40"/>
      <c r="AM469" s="5"/>
      <c r="AO469" s="40"/>
      <c r="AP469" s="5"/>
      <c r="AR469" s="40"/>
      <c r="AS469" s="5"/>
      <c r="AU469" s="40"/>
      <c r="AV469" s="5"/>
      <c r="AX469" s="40"/>
      <c r="AY469" s="5"/>
      <c r="BA469" s="40"/>
      <c r="BB469" s="5"/>
      <c r="BD469" s="40"/>
      <c r="BE469" s="5"/>
      <c r="BG469" s="40"/>
      <c r="BH469" s="5"/>
      <c r="BJ469" s="40"/>
      <c r="BK469" s="5"/>
      <c r="BM469" s="40"/>
      <c r="BN469" s="5"/>
      <c r="BP469" s="40"/>
      <c r="BQ469" s="5"/>
      <c r="BS469" s="40"/>
      <c r="BT469" s="5"/>
      <c r="BV469" s="40"/>
      <c r="BW469" s="5"/>
      <c r="BY469" s="40"/>
      <c r="BZ469" s="5"/>
      <c r="CB469" s="40"/>
      <c r="CC469" s="5"/>
      <c r="CE469" s="40"/>
      <c r="CF469" s="5"/>
      <c r="CH469" s="40"/>
      <c r="CI469" s="5"/>
      <c r="CK469" s="40"/>
      <c r="CL469" s="5"/>
      <c r="CN469" s="40"/>
      <c r="CO469" s="5"/>
      <c r="CQ469" s="40"/>
      <c r="CR469" s="5"/>
    </row>
    <row r="470">
      <c r="AL470" s="40"/>
      <c r="AM470" s="5"/>
      <c r="AO470" s="40"/>
      <c r="AP470" s="5"/>
      <c r="AR470" s="40"/>
      <c r="AS470" s="5"/>
      <c r="AU470" s="40"/>
      <c r="AV470" s="5"/>
      <c r="AX470" s="40"/>
      <c r="AY470" s="5"/>
      <c r="BA470" s="40"/>
      <c r="BB470" s="5"/>
      <c r="BD470" s="40"/>
      <c r="BE470" s="5"/>
      <c r="BG470" s="40"/>
      <c r="BH470" s="5"/>
      <c r="BJ470" s="40"/>
      <c r="BK470" s="5"/>
      <c r="BM470" s="40"/>
      <c r="BN470" s="5"/>
      <c r="BP470" s="40"/>
      <c r="BQ470" s="5"/>
      <c r="BS470" s="40"/>
      <c r="BT470" s="5"/>
      <c r="BV470" s="40"/>
      <c r="BW470" s="5"/>
      <c r="BY470" s="40"/>
      <c r="BZ470" s="5"/>
      <c r="CB470" s="40"/>
      <c r="CC470" s="5"/>
      <c r="CE470" s="40"/>
      <c r="CF470" s="5"/>
      <c r="CH470" s="40"/>
      <c r="CI470" s="5"/>
      <c r="CK470" s="40"/>
      <c r="CL470" s="5"/>
      <c r="CN470" s="40"/>
      <c r="CO470" s="5"/>
      <c r="CQ470" s="40"/>
      <c r="CR470" s="5"/>
    </row>
    <row r="471">
      <c r="AL471" s="40"/>
      <c r="AM471" s="5"/>
      <c r="AO471" s="40"/>
      <c r="AP471" s="5"/>
      <c r="AR471" s="40"/>
      <c r="AS471" s="5"/>
      <c r="AU471" s="40"/>
      <c r="AV471" s="5"/>
      <c r="AX471" s="40"/>
      <c r="AY471" s="5"/>
      <c r="BA471" s="40"/>
      <c r="BB471" s="5"/>
      <c r="BD471" s="40"/>
      <c r="BE471" s="5"/>
      <c r="BG471" s="40"/>
      <c r="BH471" s="5"/>
      <c r="BJ471" s="40"/>
      <c r="BK471" s="5"/>
      <c r="BM471" s="40"/>
      <c r="BN471" s="5"/>
      <c r="BP471" s="40"/>
      <c r="BQ471" s="5"/>
      <c r="BS471" s="40"/>
      <c r="BT471" s="5"/>
      <c r="BV471" s="40"/>
      <c r="BW471" s="5"/>
      <c r="BY471" s="40"/>
      <c r="BZ471" s="5"/>
      <c r="CB471" s="40"/>
      <c r="CC471" s="5"/>
      <c r="CE471" s="40"/>
      <c r="CF471" s="5"/>
      <c r="CH471" s="40"/>
      <c r="CI471" s="5"/>
      <c r="CK471" s="40"/>
      <c r="CL471" s="5"/>
      <c r="CN471" s="40"/>
      <c r="CO471" s="5"/>
      <c r="CQ471" s="40"/>
      <c r="CR471" s="5"/>
    </row>
    <row r="472">
      <c r="AL472" s="40"/>
      <c r="AM472" s="5"/>
      <c r="AO472" s="40"/>
      <c r="AP472" s="5"/>
      <c r="AR472" s="40"/>
      <c r="AS472" s="5"/>
      <c r="AU472" s="40"/>
      <c r="AV472" s="5"/>
      <c r="AX472" s="40"/>
      <c r="AY472" s="5"/>
      <c r="BA472" s="40"/>
      <c r="BB472" s="5"/>
      <c r="BD472" s="40"/>
      <c r="BE472" s="5"/>
      <c r="BG472" s="40"/>
      <c r="BH472" s="5"/>
      <c r="BJ472" s="40"/>
      <c r="BK472" s="5"/>
      <c r="BM472" s="40"/>
      <c r="BN472" s="5"/>
      <c r="BP472" s="40"/>
      <c r="BQ472" s="5"/>
      <c r="BS472" s="40"/>
      <c r="BT472" s="5"/>
      <c r="BV472" s="40"/>
      <c r="BW472" s="5"/>
      <c r="BY472" s="40"/>
      <c r="BZ472" s="5"/>
      <c r="CB472" s="40"/>
      <c r="CC472" s="5"/>
      <c r="CE472" s="40"/>
      <c r="CF472" s="5"/>
      <c r="CH472" s="40"/>
      <c r="CI472" s="5"/>
      <c r="CK472" s="40"/>
      <c r="CL472" s="5"/>
      <c r="CN472" s="40"/>
      <c r="CO472" s="5"/>
      <c r="CQ472" s="40"/>
      <c r="CR472" s="5"/>
    </row>
    <row r="473">
      <c r="AL473" s="40"/>
      <c r="AM473" s="5"/>
      <c r="AO473" s="40"/>
      <c r="AP473" s="5"/>
      <c r="AR473" s="40"/>
      <c r="AS473" s="5"/>
      <c r="AU473" s="40"/>
      <c r="AV473" s="5"/>
      <c r="AX473" s="40"/>
      <c r="AY473" s="5"/>
      <c r="BA473" s="40"/>
      <c r="BB473" s="5"/>
      <c r="BD473" s="40"/>
      <c r="BE473" s="5"/>
      <c r="BG473" s="40"/>
      <c r="BH473" s="5"/>
      <c r="BJ473" s="40"/>
      <c r="BK473" s="5"/>
      <c r="BM473" s="40"/>
      <c r="BN473" s="5"/>
      <c r="BP473" s="40"/>
      <c r="BQ473" s="5"/>
      <c r="BS473" s="40"/>
      <c r="BT473" s="5"/>
      <c r="BV473" s="40"/>
      <c r="BW473" s="5"/>
      <c r="BY473" s="40"/>
      <c r="BZ473" s="5"/>
      <c r="CB473" s="40"/>
      <c r="CC473" s="5"/>
      <c r="CE473" s="40"/>
      <c r="CF473" s="5"/>
      <c r="CH473" s="40"/>
      <c r="CI473" s="5"/>
      <c r="CK473" s="40"/>
      <c r="CL473" s="5"/>
      <c r="CN473" s="40"/>
      <c r="CO473" s="5"/>
      <c r="CQ473" s="40"/>
      <c r="CR473" s="5"/>
    </row>
    <row r="474">
      <c r="AL474" s="40"/>
      <c r="AM474" s="5"/>
      <c r="AO474" s="40"/>
      <c r="AP474" s="5"/>
      <c r="AR474" s="40"/>
      <c r="AS474" s="5"/>
      <c r="AU474" s="40"/>
      <c r="AV474" s="5"/>
      <c r="AX474" s="40"/>
      <c r="AY474" s="5"/>
      <c r="BA474" s="40"/>
      <c r="BB474" s="5"/>
      <c r="BD474" s="40"/>
      <c r="BE474" s="5"/>
      <c r="BG474" s="40"/>
      <c r="BH474" s="5"/>
      <c r="BJ474" s="40"/>
      <c r="BK474" s="5"/>
      <c r="BM474" s="40"/>
      <c r="BN474" s="5"/>
      <c r="BP474" s="40"/>
      <c r="BQ474" s="5"/>
      <c r="BS474" s="40"/>
      <c r="BT474" s="5"/>
      <c r="BV474" s="40"/>
      <c r="BW474" s="5"/>
      <c r="BY474" s="40"/>
      <c r="BZ474" s="5"/>
      <c r="CB474" s="40"/>
      <c r="CC474" s="5"/>
      <c r="CE474" s="40"/>
      <c r="CF474" s="5"/>
      <c r="CH474" s="40"/>
      <c r="CI474" s="5"/>
      <c r="CK474" s="40"/>
      <c r="CL474" s="5"/>
      <c r="CN474" s="40"/>
      <c r="CO474" s="5"/>
      <c r="CQ474" s="40"/>
      <c r="CR474" s="5"/>
    </row>
    <row r="475">
      <c r="AL475" s="40"/>
      <c r="AM475" s="5"/>
      <c r="AO475" s="40"/>
      <c r="AP475" s="5"/>
      <c r="AR475" s="40"/>
      <c r="AS475" s="5"/>
      <c r="AU475" s="40"/>
      <c r="AV475" s="5"/>
      <c r="AX475" s="40"/>
      <c r="AY475" s="5"/>
      <c r="BA475" s="40"/>
      <c r="BB475" s="5"/>
      <c r="BD475" s="40"/>
      <c r="BE475" s="5"/>
      <c r="BG475" s="40"/>
      <c r="BH475" s="5"/>
      <c r="BJ475" s="40"/>
      <c r="BK475" s="5"/>
      <c r="BM475" s="40"/>
      <c r="BN475" s="5"/>
      <c r="BP475" s="40"/>
      <c r="BQ475" s="5"/>
      <c r="BS475" s="40"/>
      <c r="BT475" s="5"/>
      <c r="BV475" s="40"/>
      <c r="BW475" s="5"/>
      <c r="BY475" s="40"/>
      <c r="BZ475" s="5"/>
      <c r="CB475" s="40"/>
      <c r="CC475" s="5"/>
      <c r="CE475" s="40"/>
      <c r="CF475" s="5"/>
      <c r="CH475" s="40"/>
      <c r="CI475" s="5"/>
      <c r="CK475" s="40"/>
      <c r="CL475" s="5"/>
      <c r="CN475" s="40"/>
      <c r="CO475" s="5"/>
      <c r="CQ475" s="40"/>
      <c r="CR475" s="5"/>
    </row>
    <row r="476">
      <c r="AL476" s="40"/>
      <c r="AM476" s="5"/>
      <c r="AO476" s="40"/>
      <c r="AP476" s="5"/>
      <c r="AR476" s="40"/>
      <c r="AS476" s="5"/>
      <c r="AU476" s="40"/>
      <c r="AV476" s="5"/>
      <c r="AX476" s="40"/>
      <c r="AY476" s="5"/>
      <c r="BA476" s="40"/>
      <c r="BB476" s="5"/>
      <c r="BD476" s="40"/>
      <c r="BE476" s="5"/>
      <c r="BG476" s="40"/>
      <c r="BH476" s="5"/>
      <c r="BJ476" s="40"/>
      <c r="BK476" s="5"/>
      <c r="BM476" s="40"/>
      <c r="BN476" s="5"/>
      <c r="BP476" s="40"/>
      <c r="BQ476" s="5"/>
      <c r="BS476" s="40"/>
      <c r="BT476" s="5"/>
      <c r="BV476" s="40"/>
      <c r="BW476" s="5"/>
      <c r="BY476" s="40"/>
      <c r="BZ476" s="5"/>
      <c r="CB476" s="40"/>
      <c r="CC476" s="5"/>
      <c r="CE476" s="40"/>
      <c r="CF476" s="5"/>
      <c r="CH476" s="40"/>
      <c r="CI476" s="5"/>
      <c r="CK476" s="40"/>
      <c r="CL476" s="5"/>
      <c r="CN476" s="40"/>
      <c r="CO476" s="5"/>
      <c r="CQ476" s="40"/>
      <c r="CR476" s="5"/>
    </row>
    <row r="477">
      <c r="AL477" s="40"/>
      <c r="AM477" s="5"/>
      <c r="AO477" s="40"/>
      <c r="AP477" s="5"/>
      <c r="AR477" s="40"/>
      <c r="AS477" s="5"/>
      <c r="AU477" s="40"/>
      <c r="AV477" s="5"/>
      <c r="AX477" s="40"/>
      <c r="AY477" s="5"/>
      <c r="BA477" s="40"/>
      <c r="BB477" s="5"/>
      <c r="BD477" s="40"/>
      <c r="BE477" s="5"/>
      <c r="BG477" s="40"/>
      <c r="BH477" s="5"/>
      <c r="BJ477" s="40"/>
      <c r="BK477" s="5"/>
      <c r="BM477" s="40"/>
      <c r="BN477" s="5"/>
      <c r="BP477" s="40"/>
      <c r="BQ477" s="5"/>
      <c r="BS477" s="40"/>
      <c r="BT477" s="5"/>
      <c r="BV477" s="40"/>
      <c r="BW477" s="5"/>
      <c r="BY477" s="40"/>
      <c r="BZ477" s="5"/>
      <c r="CB477" s="40"/>
      <c r="CC477" s="5"/>
      <c r="CE477" s="40"/>
      <c r="CF477" s="5"/>
      <c r="CH477" s="40"/>
      <c r="CI477" s="5"/>
      <c r="CK477" s="40"/>
      <c r="CL477" s="5"/>
      <c r="CN477" s="40"/>
      <c r="CO477" s="5"/>
      <c r="CQ477" s="40"/>
      <c r="CR477" s="5"/>
    </row>
    <row r="478">
      <c r="AL478" s="40"/>
      <c r="AM478" s="5"/>
      <c r="AO478" s="40"/>
      <c r="AP478" s="5"/>
      <c r="AR478" s="40"/>
      <c r="AS478" s="5"/>
      <c r="AU478" s="40"/>
      <c r="AV478" s="5"/>
      <c r="AX478" s="40"/>
      <c r="AY478" s="5"/>
      <c r="BA478" s="40"/>
      <c r="BB478" s="5"/>
      <c r="BD478" s="40"/>
      <c r="BE478" s="5"/>
      <c r="BG478" s="40"/>
      <c r="BH478" s="5"/>
      <c r="BJ478" s="40"/>
      <c r="BK478" s="5"/>
      <c r="BM478" s="40"/>
      <c r="BN478" s="5"/>
      <c r="BP478" s="40"/>
      <c r="BQ478" s="5"/>
      <c r="BS478" s="40"/>
      <c r="BT478" s="5"/>
      <c r="BV478" s="40"/>
      <c r="BW478" s="5"/>
      <c r="BY478" s="40"/>
      <c r="BZ478" s="5"/>
      <c r="CB478" s="40"/>
      <c r="CC478" s="5"/>
      <c r="CE478" s="40"/>
      <c r="CF478" s="5"/>
      <c r="CH478" s="40"/>
      <c r="CI478" s="5"/>
      <c r="CK478" s="40"/>
      <c r="CL478" s="5"/>
      <c r="CN478" s="40"/>
      <c r="CO478" s="5"/>
      <c r="CQ478" s="40"/>
      <c r="CR478" s="5"/>
    </row>
    <row r="479">
      <c r="AL479" s="40"/>
      <c r="AM479" s="5"/>
      <c r="AO479" s="40"/>
      <c r="AP479" s="5"/>
      <c r="AR479" s="40"/>
      <c r="AS479" s="5"/>
      <c r="AU479" s="40"/>
      <c r="AV479" s="5"/>
      <c r="AX479" s="40"/>
      <c r="AY479" s="5"/>
      <c r="BA479" s="40"/>
      <c r="BB479" s="5"/>
      <c r="BD479" s="40"/>
      <c r="BE479" s="5"/>
      <c r="BG479" s="40"/>
      <c r="BH479" s="5"/>
      <c r="BJ479" s="40"/>
      <c r="BK479" s="5"/>
      <c r="BM479" s="40"/>
      <c r="BN479" s="5"/>
      <c r="BP479" s="40"/>
      <c r="BQ479" s="5"/>
      <c r="BS479" s="40"/>
      <c r="BT479" s="5"/>
      <c r="BV479" s="40"/>
      <c r="BW479" s="5"/>
      <c r="BY479" s="40"/>
      <c r="BZ479" s="5"/>
      <c r="CB479" s="40"/>
      <c r="CC479" s="5"/>
      <c r="CE479" s="40"/>
      <c r="CF479" s="5"/>
      <c r="CH479" s="40"/>
      <c r="CI479" s="5"/>
      <c r="CK479" s="40"/>
      <c r="CL479" s="5"/>
      <c r="CN479" s="40"/>
      <c r="CO479" s="5"/>
      <c r="CQ479" s="40"/>
      <c r="CR479" s="5"/>
    </row>
    <row r="480">
      <c r="AL480" s="40"/>
      <c r="AM480" s="5"/>
      <c r="AO480" s="40"/>
      <c r="AP480" s="5"/>
      <c r="AR480" s="40"/>
      <c r="AS480" s="5"/>
      <c r="AU480" s="40"/>
      <c r="AV480" s="5"/>
      <c r="AX480" s="40"/>
      <c r="AY480" s="5"/>
      <c r="BA480" s="40"/>
      <c r="BB480" s="5"/>
      <c r="BD480" s="40"/>
      <c r="BE480" s="5"/>
      <c r="BG480" s="40"/>
      <c r="BH480" s="5"/>
      <c r="BJ480" s="40"/>
      <c r="BK480" s="5"/>
      <c r="BM480" s="40"/>
      <c r="BN480" s="5"/>
      <c r="BP480" s="40"/>
      <c r="BQ480" s="5"/>
      <c r="BS480" s="40"/>
      <c r="BT480" s="5"/>
      <c r="BV480" s="40"/>
      <c r="BW480" s="5"/>
      <c r="BY480" s="40"/>
      <c r="BZ480" s="5"/>
      <c r="CB480" s="40"/>
      <c r="CC480" s="5"/>
      <c r="CE480" s="40"/>
      <c r="CF480" s="5"/>
      <c r="CH480" s="40"/>
      <c r="CI480" s="5"/>
      <c r="CK480" s="40"/>
      <c r="CL480" s="5"/>
      <c r="CN480" s="40"/>
      <c r="CO480" s="5"/>
      <c r="CQ480" s="40"/>
      <c r="CR480" s="5"/>
    </row>
    <row r="481">
      <c r="AL481" s="40"/>
      <c r="AM481" s="5"/>
      <c r="AO481" s="40"/>
      <c r="AP481" s="5"/>
      <c r="AR481" s="40"/>
      <c r="AS481" s="5"/>
      <c r="AU481" s="40"/>
      <c r="AV481" s="5"/>
      <c r="AX481" s="40"/>
      <c r="AY481" s="5"/>
      <c r="BA481" s="40"/>
      <c r="BB481" s="5"/>
      <c r="BD481" s="40"/>
      <c r="BE481" s="5"/>
      <c r="BG481" s="40"/>
      <c r="BH481" s="5"/>
      <c r="BJ481" s="40"/>
      <c r="BK481" s="5"/>
      <c r="BM481" s="40"/>
      <c r="BN481" s="5"/>
      <c r="BP481" s="40"/>
      <c r="BQ481" s="5"/>
      <c r="BS481" s="40"/>
      <c r="BT481" s="5"/>
      <c r="BV481" s="40"/>
      <c r="BW481" s="5"/>
      <c r="BY481" s="40"/>
      <c r="BZ481" s="5"/>
      <c r="CB481" s="40"/>
      <c r="CC481" s="5"/>
      <c r="CE481" s="40"/>
      <c r="CF481" s="5"/>
      <c r="CH481" s="40"/>
      <c r="CI481" s="5"/>
      <c r="CK481" s="40"/>
      <c r="CL481" s="5"/>
      <c r="CN481" s="40"/>
      <c r="CO481" s="5"/>
      <c r="CQ481" s="40"/>
      <c r="CR481" s="5"/>
    </row>
    <row r="482">
      <c r="AL482" s="40"/>
      <c r="AM482" s="5"/>
      <c r="AO482" s="40"/>
      <c r="AP482" s="5"/>
      <c r="AR482" s="40"/>
      <c r="AS482" s="5"/>
      <c r="AU482" s="40"/>
      <c r="AV482" s="5"/>
      <c r="AX482" s="40"/>
      <c r="AY482" s="5"/>
      <c r="BA482" s="40"/>
      <c r="BB482" s="5"/>
      <c r="BD482" s="40"/>
      <c r="BE482" s="5"/>
      <c r="BG482" s="40"/>
      <c r="BH482" s="5"/>
      <c r="BJ482" s="40"/>
      <c r="BK482" s="5"/>
      <c r="BM482" s="40"/>
      <c r="BN482" s="5"/>
      <c r="BP482" s="40"/>
      <c r="BQ482" s="5"/>
      <c r="BS482" s="40"/>
      <c r="BT482" s="5"/>
      <c r="BV482" s="40"/>
      <c r="BW482" s="5"/>
      <c r="BY482" s="40"/>
      <c r="BZ482" s="5"/>
      <c r="CB482" s="40"/>
      <c r="CC482" s="5"/>
      <c r="CE482" s="40"/>
      <c r="CF482" s="5"/>
      <c r="CH482" s="40"/>
      <c r="CI482" s="5"/>
      <c r="CK482" s="40"/>
      <c r="CL482" s="5"/>
      <c r="CN482" s="40"/>
      <c r="CO482" s="5"/>
      <c r="CQ482" s="40"/>
      <c r="CR482" s="5"/>
    </row>
    <row r="483">
      <c r="AL483" s="40"/>
      <c r="AM483" s="5"/>
      <c r="AO483" s="40"/>
      <c r="AP483" s="5"/>
      <c r="AR483" s="40"/>
      <c r="AS483" s="5"/>
      <c r="AU483" s="40"/>
      <c r="AV483" s="5"/>
      <c r="AX483" s="40"/>
      <c r="AY483" s="5"/>
      <c r="BA483" s="40"/>
      <c r="BB483" s="5"/>
      <c r="BD483" s="40"/>
      <c r="BE483" s="5"/>
      <c r="BG483" s="40"/>
      <c r="BH483" s="5"/>
      <c r="BJ483" s="40"/>
      <c r="BK483" s="5"/>
      <c r="BM483" s="40"/>
      <c r="BN483" s="5"/>
      <c r="BP483" s="40"/>
      <c r="BQ483" s="5"/>
      <c r="BS483" s="40"/>
      <c r="BT483" s="5"/>
      <c r="BV483" s="40"/>
      <c r="BW483" s="5"/>
      <c r="BY483" s="40"/>
      <c r="BZ483" s="5"/>
      <c r="CB483" s="40"/>
      <c r="CC483" s="5"/>
      <c r="CE483" s="40"/>
      <c r="CF483" s="5"/>
      <c r="CH483" s="40"/>
      <c r="CI483" s="5"/>
      <c r="CK483" s="40"/>
      <c r="CL483" s="5"/>
      <c r="CN483" s="40"/>
      <c r="CO483" s="5"/>
      <c r="CQ483" s="40"/>
      <c r="CR483" s="5"/>
    </row>
    <row r="484">
      <c r="AL484" s="40"/>
      <c r="AM484" s="5"/>
      <c r="AO484" s="40"/>
      <c r="AP484" s="5"/>
      <c r="AR484" s="40"/>
      <c r="AS484" s="5"/>
      <c r="AU484" s="40"/>
      <c r="AV484" s="5"/>
      <c r="AX484" s="40"/>
      <c r="AY484" s="5"/>
      <c r="BA484" s="40"/>
      <c r="BB484" s="5"/>
      <c r="BD484" s="40"/>
      <c r="BE484" s="5"/>
      <c r="BG484" s="40"/>
      <c r="BH484" s="5"/>
      <c r="BJ484" s="40"/>
      <c r="BK484" s="5"/>
      <c r="BM484" s="40"/>
      <c r="BN484" s="5"/>
      <c r="BP484" s="40"/>
      <c r="BQ484" s="5"/>
      <c r="BS484" s="40"/>
      <c r="BT484" s="5"/>
      <c r="BV484" s="40"/>
      <c r="BW484" s="5"/>
      <c r="BY484" s="40"/>
      <c r="BZ484" s="5"/>
      <c r="CB484" s="40"/>
      <c r="CC484" s="5"/>
      <c r="CE484" s="40"/>
      <c r="CF484" s="5"/>
      <c r="CH484" s="40"/>
      <c r="CI484" s="5"/>
      <c r="CK484" s="40"/>
      <c r="CL484" s="5"/>
      <c r="CN484" s="40"/>
      <c r="CO484" s="5"/>
      <c r="CQ484" s="40"/>
      <c r="CR484" s="5"/>
    </row>
    <row r="485">
      <c r="AL485" s="40"/>
      <c r="AM485" s="5"/>
      <c r="AO485" s="40"/>
      <c r="AP485" s="5"/>
      <c r="AR485" s="40"/>
      <c r="AS485" s="5"/>
      <c r="AU485" s="40"/>
      <c r="AV485" s="5"/>
      <c r="AX485" s="40"/>
      <c r="AY485" s="5"/>
      <c r="BA485" s="40"/>
      <c r="BB485" s="5"/>
      <c r="BD485" s="40"/>
      <c r="BE485" s="5"/>
      <c r="BG485" s="40"/>
      <c r="BH485" s="5"/>
      <c r="BJ485" s="40"/>
      <c r="BK485" s="5"/>
      <c r="BM485" s="40"/>
      <c r="BN485" s="5"/>
      <c r="BP485" s="40"/>
      <c r="BQ485" s="5"/>
      <c r="BS485" s="40"/>
      <c r="BT485" s="5"/>
      <c r="BV485" s="40"/>
      <c r="BW485" s="5"/>
      <c r="BY485" s="40"/>
      <c r="BZ485" s="5"/>
      <c r="CB485" s="40"/>
      <c r="CC485" s="5"/>
      <c r="CE485" s="40"/>
      <c r="CF485" s="5"/>
      <c r="CH485" s="40"/>
      <c r="CI485" s="5"/>
      <c r="CK485" s="40"/>
      <c r="CL485" s="5"/>
      <c r="CN485" s="40"/>
      <c r="CO485" s="5"/>
      <c r="CQ485" s="40"/>
      <c r="CR485" s="5"/>
    </row>
    <row r="486">
      <c r="AL486" s="40"/>
      <c r="AM486" s="5"/>
      <c r="AO486" s="40"/>
      <c r="AP486" s="5"/>
      <c r="AR486" s="40"/>
      <c r="AS486" s="5"/>
      <c r="AU486" s="40"/>
      <c r="AV486" s="5"/>
      <c r="AX486" s="40"/>
      <c r="AY486" s="5"/>
      <c r="BA486" s="40"/>
      <c r="BB486" s="5"/>
      <c r="BD486" s="40"/>
      <c r="BE486" s="5"/>
      <c r="BG486" s="40"/>
      <c r="BH486" s="5"/>
      <c r="BJ486" s="40"/>
      <c r="BK486" s="5"/>
      <c r="BM486" s="40"/>
      <c r="BN486" s="5"/>
      <c r="BP486" s="40"/>
      <c r="BQ486" s="5"/>
      <c r="BS486" s="40"/>
      <c r="BT486" s="5"/>
      <c r="BV486" s="40"/>
      <c r="BW486" s="5"/>
      <c r="BY486" s="40"/>
      <c r="BZ486" s="5"/>
      <c r="CB486" s="40"/>
      <c r="CC486" s="5"/>
      <c r="CE486" s="40"/>
      <c r="CF486" s="5"/>
      <c r="CH486" s="40"/>
      <c r="CI486" s="5"/>
      <c r="CK486" s="40"/>
      <c r="CL486" s="5"/>
      <c r="CN486" s="40"/>
      <c r="CO486" s="5"/>
      <c r="CQ486" s="40"/>
      <c r="CR486" s="5"/>
    </row>
    <row r="487">
      <c r="AL487" s="40"/>
      <c r="AM487" s="5"/>
      <c r="AO487" s="40"/>
      <c r="AP487" s="5"/>
      <c r="AR487" s="40"/>
      <c r="AS487" s="5"/>
      <c r="AU487" s="40"/>
      <c r="AV487" s="5"/>
      <c r="AX487" s="40"/>
      <c r="AY487" s="5"/>
      <c r="BA487" s="40"/>
      <c r="BB487" s="5"/>
      <c r="BD487" s="40"/>
      <c r="BE487" s="5"/>
      <c r="BG487" s="40"/>
      <c r="BH487" s="5"/>
      <c r="BJ487" s="40"/>
      <c r="BK487" s="5"/>
      <c r="BM487" s="40"/>
      <c r="BN487" s="5"/>
      <c r="BP487" s="40"/>
      <c r="BQ487" s="5"/>
      <c r="BS487" s="40"/>
      <c r="BT487" s="5"/>
      <c r="BV487" s="40"/>
      <c r="BW487" s="5"/>
      <c r="BY487" s="40"/>
      <c r="BZ487" s="5"/>
      <c r="CB487" s="40"/>
      <c r="CC487" s="5"/>
      <c r="CE487" s="40"/>
      <c r="CF487" s="5"/>
      <c r="CH487" s="40"/>
      <c r="CI487" s="5"/>
      <c r="CK487" s="40"/>
      <c r="CL487" s="5"/>
      <c r="CN487" s="40"/>
      <c r="CO487" s="5"/>
      <c r="CQ487" s="40"/>
      <c r="CR487" s="5"/>
    </row>
    <row r="488">
      <c r="AL488" s="40"/>
      <c r="AM488" s="5"/>
      <c r="AO488" s="40"/>
      <c r="AP488" s="5"/>
      <c r="AR488" s="40"/>
      <c r="AS488" s="5"/>
      <c r="AU488" s="40"/>
      <c r="AV488" s="5"/>
      <c r="AX488" s="40"/>
      <c r="AY488" s="5"/>
      <c r="BA488" s="40"/>
      <c r="BB488" s="5"/>
      <c r="BD488" s="40"/>
      <c r="BE488" s="5"/>
      <c r="BG488" s="40"/>
      <c r="BH488" s="5"/>
      <c r="BJ488" s="40"/>
      <c r="BK488" s="5"/>
      <c r="BM488" s="40"/>
      <c r="BN488" s="5"/>
      <c r="BP488" s="40"/>
      <c r="BQ488" s="5"/>
      <c r="BS488" s="40"/>
      <c r="BT488" s="5"/>
      <c r="BV488" s="40"/>
      <c r="BW488" s="5"/>
      <c r="BY488" s="40"/>
      <c r="BZ488" s="5"/>
      <c r="CB488" s="40"/>
      <c r="CC488" s="5"/>
      <c r="CE488" s="40"/>
      <c r="CF488" s="5"/>
      <c r="CH488" s="40"/>
      <c r="CI488" s="5"/>
      <c r="CK488" s="40"/>
      <c r="CL488" s="5"/>
      <c r="CN488" s="40"/>
      <c r="CO488" s="5"/>
      <c r="CQ488" s="40"/>
      <c r="CR488" s="5"/>
    </row>
    <row r="489">
      <c r="AL489" s="40"/>
      <c r="AM489" s="5"/>
      <c r="AO489" s="40"/>
      <c r="AP489" s="5"/>
      <c r="AR489" s="40"/>
      <c r="AS489" s="5"/>
      <c r="AU489" s="40"/>
      <c r="AV489" s="5"/>
      <c r="AX489" s="40"/>
      <c r="AY489" s="5"/>
      <c r="BA489" s="40"/>
      <c r="BB489" s="5"/>
      <c r="BD489" s="40"/>
      <c r="BE489" s="5"/>
      <c r="BG489" s="40"/>
      <c r="BH489" s="5"/>
      <c r="BJ489" s="40"/>
      <c r="BK489" s="5"/>
      <c r="BM489" s="40"/>
      <c r="BN489" s="5"/>
      <c r="BP489" s="40"/>
      <c r="BQ489" s="5"/>
      <c r="BS489" s="40"/>
      <c r="BT489" s="5"/>
      <c r="BV489" s="40"/>
      <c r="BW489" s="5"/>
      <c r="BY489" s="40"/>
      <c r="BZ489" s="5"/>
      <c r="CB489" s="40"/>
      <c r="CC489" s="5"/>
      <c r="CE489" s="40"/>
      <c r="CF489" s="5"/>
      <c r="CH489" s="40"/>
      <c r="CI489" s="5"/>
      <c r="CK489" s="40"/>
      <c r="CL489" s="5"/>
      <c r="CN489" s="40"/>
      <c r="CO489" s="5"/>
      <c r="CQ489" s="40"/>
      <c r="CR489" s="5"/>
    </row>
    <row r="490">
      <c r="AL490" s="40"/>
      <c r="AM490" s="5"/>
      <c r="AO490" s="40"/>
      <c r="AP490" s="5"/>
      <c r="AR490" s="40"/>
      <c r="AS490" s="5"/>
      <c r="AU490" s="40"/>
      <c r="AV490" s="5"/>
      <c r="AX490" s="40"/>
      <c r="AY490" s="5"/>
      <c r="BA490" s="40"/>
      <c r="BB490" s="5"/>
      <c r="BD490" s="40"/>
      <c r="BE490" s="5"/>
      <c r="BG490" s="40"/>
      <c r="BH490" s="5"/>
      <c r="BJ490" s="40"/>
      <c r="BK490" s="5"/>
      <c r="BM490" s="40"/>
      <c r="BN490" s="5"/>
      <c r="BP490" s="40"/>
      <c r="BQ490" s="5"/>
      <c r="BS490" s="40"/>
      <c r="BT490" s="5"/>
      <c r="BV490" s="40"/>
      <c r="BW490" s="5"/>
      <c r="BY490" s="40"/>
      <c r="BZ490" s="5"/>
      <c r="CB490" s="40"/>
      <c r="CC490" s="5"/>
      <c r="CE490" s="40"/>
      <c r="CF490" s="5"/>
      <c r="CH490" s="40"/>
      <c r="CI490" s="5"/>
      <c r="CK490" s="40"/>
      <c r="CL490" s="5"/>
      <c r="CN490" s="40"/>
      <c r="CO490" s="5"/>
      <c r="CQ490" s="40"/>
      <c r="CR490" s="5"/>
    </row>
    <row r="491">
      <c r="AL491" s="40"/>
      <c r="AM491" s="5"/>
      <c r="AO491" s="40"/>
      <c r="AP491" s="5"/>
      <c r="AR491" s="40"/>
      <c r="AS491" s="5"/>
      <c r="AU491" s="40"/>
      <c r="AV491" s="5"/>
      <c r="AX491" s="40"/>
      <c r="AY491" s="5"/>
      <c r="BA491" s="40"/>
      <c r="BB491" s="5"/>
      <c r="BD491" s="40"/>
      <c r="BE491" s="5"/>
      <c r="BG491" s="40"/>
      <c r="BH491" s="5"/>
      <c r="BJ491" s="40"/>
      <c r="BK491" s="5"/>
      <c r="BM491" s="40"/>
      <c r="BN491" s="5"/>
      <c r="BP491" s="40"/>
      <c r="BQ491" s="5"/>
      <c r="BS491" s="40"/>
      <c r="BT491" s="5"/>
      <c r="BV491" s="40"/>
      <c r="BW491" s="5"/>
      <c r="BY491" s="40"/>
      <c r="BZ491" s="5"/>
      <c r="CB491" s="40"/>
      <c r="CC491" s="5"/>
      <c r="CE491" s="40"/>
      <c r="CF491" s="5"/>
      <c r="CH491" s="40"/>
      <c r="CI491" s="5"/>
      <c r="CK491" s="40"/>
      <c r="CL491" s="5"/>
      <c r="CN491" s="40"/>
      <c r="CO491" s="5"/>
      <c r="CQ491" s="40"/>
      <c r="CR491" s="5"/>
    </row>
    <row r="492">
      <c r="AL492" s="40"/>
      <c r="AM492" s="5"/>
      <c r="AO492" s="40"/>
      <c r="AP492" s="5"/>
      <c r="AR492" s="40"/>
      <c r="AS492" s="5"/>
      <c r="AU492" s="40"/>
      <c r="AV492" s="5"/>
      <c r="AX492" s="40"/>
      <c r="AY492" s="5"/>
      <c r="BA492" s="40"/>
      <c r="BB492" s="5"/>
      <c r="BD492" s="40"/>
      <c r="BE492" s="5"/>
      <c r="BG492" s="40"/>
      <c r="BH492" s="5"/>
      <c r="BJ492" s="40"/>
      <c r="BK492" s="5"/>
      <c r="BM492" s="40"/>
      <c r="BN492" s="5"/>
      <c r="BP492" s="40"/>
      <c r="BQ492" s="5"/>
      <c r="BS492" s="40"/>
      <c r="BT492" s="5"/>
      <c r="BV492" s="40"/>
      <c r="BW492" s="5"/>
      <c r="BY492" s="40"/>
      <c r="BZ492" s="5"/>
      <c r="CB492" s="40"/>
      <c r="CC492" s="5"/>
      <c r="CE492" s="40"/>
      <c r="CF492" s="5"/>
      <c r="CH492" s="40"/>
      <c r="CI492" s="5"/>
      <c r="CK492" s="40"/>
      <c r="CL492" s="5"/>
      <c r="CN492" s="40"/>
      <c r="CO492" s="5"/>
      <c r="CQ492" s="40"/>
      <c r="CR492" s="5"/>
    </row>
    <row r="493">
      <c r="AL493" s="40"/>
      <c r="AM493" s="5"/>
      <c r="AO493" s="40"/>
      <c r="AP493" s="5"/>
      <c r="AR493" s="40"/>
      <c r="AS493" s="5"/>
      <c r="AU493" s="40"/>
      <c r="AV493" s="5"/>
      <c r="AX493" s="40"/>
      <c r="AY493" s="5"/>
      <c r="BA493" s="40"/>
      <c r="BB493" s="5"/>
      <c r="BD493" s="40"/>
      <c r="BE493" s="5"/>
      <c r="BG493" s="40"/>
      <c r="BH493" s="5"/>
      <c r="BJ493" s="40"/>
      <c r="BK493" s="5"/>
      <c r="BM493" s="40"/>
      <c r="BN493" s="5"/>
      <c r="BP493" s="40"/>
      <c r="BQ493" s="5"/>
      <c r="BS493" s="40"/>
      <c r="BT493" s="5"/>
      <c r="BV493" s="40"/>
      <c r="BW493" s="5"/>
      <c r="BY493" s="40"/>
      <c r="BZ493" s="5"/>
      <c r="CB493" s="40"/>
      <c r="CC493" s="5"/>
      <c r="CE493" s="40"/>
      <c r="CF493" s="5"/>
      <c r="CH493" s="40"/>
      <c r="CI493" s="5"/>
      <c r="CK493" s="40"/>
      <c r="CL493" s="5"/>
      <c r="CN493" s="40"/>
      <c r="CO493" s="5"/>
      <c r="CQ493" s="40"/>
      <c r="CR493" s="5"/>
    </row>
    <row r="494">
      <c r="AL494" s="40"/>
      <c r="AM494" s="5"/>
      <c r="AO494" s="40"/>
      <c r="AP494" s="5"/>
      <c r="AR494" s="40"/>
      <c r="AS494" s="5"/>
      <c r="AU494" s="40"/>
      <c r="AV494" s="5"/>
      <c r="AX494" s="40"/>
      <c r="AY494" s="5"/>
      <c r="BA494" s="40"/>
      <c r="BB494" s="5"/>
      <c r="BD494" s="40"/>
      <c r="BE494" s="5"/>
      <c r="BG494" s="40"/>
      <c r="BH494" s="5"/>
      <c r="BJ494" s="40"/>
      <c r="BK494" s="5"/>
      <c r="BM494" s="40"/>
      <c r="BN494" s="5"/>
      <c r="BP494" s="40"/>
      <c r="BQ494" s="5"/>
      <c r="BS494" s="40"/>
      <c r="BT494" s="5"/>
      <c r="BV494" s="40"/>
      <c r="BW494" s="5"/>
      <c r="BY494" s="40"/>
      <c r="BZ494" s="5"/>
      <c r="CB494" s="40"/>
      <c r="CC494" s="5"/>
      <c r="CE494" s="40"/>
      <c r="CF494" s="5"/>
      <c r="CH494" s="40"/>
      <c r="CI494" s="5"/>
      <c r="CK494" s="40"/>
      <c r="CL494" s="5"/>
      <c r="CN494" s="40"/>
      <c r="CO494" s="5"/>
      <c r="CQ494" s="40"/>
      <c r="CR494" s="5"/>
    </row>
    <row r="495">
      <c r="AL495" s="40"/>
      <c r="AM495" s="5"/>
      <c r="AO495" s="40"/>
      <c r="AP495" s="5"/>
      <c r="AR495" s="40"/>
      <c r="AS495" s="5"/>
      <c r="AU495" s="40"/>
      <c r="AV495" s="5"/>
      <c r="AX495" s="40"/>
      <c r="AY495" s="5"/>
      <c r="BA495" s="40"/>
      <c r="BB495" s="5"/>
      <c r="BD495" s="40"/>
      <c r="BE495" s="5"/>
      <c r="BG495" s="40"/>
      <c r="BH495" s="5"/>
      <c r="BJ495" s="40"/>
      <c r="BK495" s="5"/>
      <c r="BM495" s="40"/>
      <c r="BN495" s="5"/>
      <c r="BP495" s="40"/>
      <c r="BQ495" s="5"/>
      <c r="BS495" s="40"/>
      <c r="BT495" s="5"/>
      <c r="BV495" s="40"/>
      <c r="BW495" s="5"/>
      <c r="BY495" s="40"/>
      <c r="BZ495" s="5"/>
      <c r="CB495" s="40"/>
      <c r="CC495" s="5"/>
      <c r="CE495" s="40"/>
      <c r="CF495" s="5"/>
      <c r="CH495" s="40"/>
      <c r="CI495" s="5"/>
      <c r="CK495" s="40"/>
      <c r="CL495" s="5"/>
      <c r="CN495" s="40"/>
      <c r="CO495" s="5"/>
      <c r="CQ495" s="40"/>
      <c r="CR495" s="5"/>
    </row>
    <row r="496">
      <c r="AL496" s="40"/>
      <c r="AM496" s="5"/>
      <c r="AO496" s="40"/>
      <c r="AP496" s="5"/>
      <c r="AR496" s="40"/>
      <c r="AS496" s="5"/>
      <c r="AU496" s="40"/>
      <c r="AV496" s="5"/>
      <c r="AX496" s="40"/>
      <c r="AY496" s="5"/>
      <c r="BA496" s="40"/>
      <c r="BB496" s="5"/>
      <c r="BD496" s="40"/>
      <c r="BE496" s="5"/>
      <c r="BG496" s="40"/>
      <c r="BH496" s="5"/>
      <c r="BJ496" s="40"/>
      <c r="BK496" s="5"/>
      <c r="BM496" s="40"/>
      <c r="BN496" s="5"/>
      <c r="BP496" s="40"/>
      <c r="BQ496" s="5"/>
      <c r="BS496" s="40"/>
      <c r="BT496" s="5"/>
      <c r="BV496" s="40"/>
      <c r="BW496" s="5"/>
      <c r="BY496" s="40"/>
      <c r="BZ496" s="5"/>
      <c r="CB496" s="40"/>
      <c r="CC496" s="5"/>
      <c r="CE496" s="40"/>
      <c r="CF496" s="5"/>
      <c r="CH496" s="40"/>
      <c r="CI496" s="5"/>
      <c r="CK496" s="40"/>
      <c r="CL496" s="5"/>
      <c r="CN496" s="40"/>
      <c r="CO496" s="5"/>
      <c r="CQ496" s="40"/>
      <c r="CR496" s="5"/>
    </row>
    <row r="497">
      <c r="AL497" s="40"/>
      <c r="AM497" s="5"/>
      <c r="AO497" s="40"/>
      <c r="AP497" s="5"/>
      <c r="AR497" s="40"/>
      <c r="AS497" s="5"/>
      <c r="AU497" s="40"/>
      <c r="AV497" s="5"/>
      <c r="AX497" s="40"/>
      <c r="AY497" s="5"/>
      <c r="BA497" s="40"/>
      <c r="BB497" s="5"/>
      <c r="BD497" s="40"/>
      <c r="BE497" s="5"/>
      <c r="BG497" s="40"/>
      <c r="BH497" s="5"/>
      <c r="BJ497" s="40"/>
      <c r="BK497" s="5"/>
      <c r="BM497" s="40"/>
      <c r="BN497" s="5"/>
      <c r="BP497" s="40"/>
      <c r="BQ497" s="5"/>
      <c r="BS497" s="40"/>
      <c r="BT497" s="5"/>
      <c r="BV497" s="40"/>
      <c r="BW497" s="5"/>
      <c r="BY497" s="40"/>
      <c r="BZ497" s="5"/>
      <c r="CB497" s="40"/>
      <c r="CC497" s="5"/>
      <c r="CE497" s="40"/>
      <c r="CF497" s="5"/>
      <c r="CH497" s="40"/>
      <c r="CI497" s="5"/>
      <c r="CK497" s="40"/>
      <c r="CL497" s="5"/>
      <c r="CN497" s="40"/>
      <c r="CO497" s="5"/>
      <c r="CQ497" s="40"/>
      <c r="CR497" s="5"/>
    </row>
    <row r="498">
      <c r="AL498" s="40"/>
      <c r="AM498" s="5"/>
      <c r="AO498" s="40"/>
      <c r="AP498" s="5"/>
      <c r="AR498" s="40"/>
      <c r="AS498" s="5"/>
      <c r="AU498" s="40"/>
      <c r="AV498" s="5"/>
      <c r="AX498" s="40"/>
      <c r="AY498" s="5"/>
      <c r="BA498" s="40"/>
      <c r="BB498" s="5"/>
      <c r="BD498" s="40"/>
      <c r="BE498" s="5"/>
      <c r="BG498" s="40"/>
      <c r="BH498" s="5"/>
      <c r="BJ498" s="40"/>
      <c r="BK498" s="5"/>
      <c r="BM498" s="40"/>
      <c r="BN498" s="5"/>
      <c r="BP498" s="40"/>
      <c r="BQ498" s="5"/>
      <c r="BS498" s="40"/>
      <c r="BT498" s="5"/>
      <c r="BV498" s="40"/>
      <c r="BW498" s="5"/>
      <c r="BY498" s="40"/>
      <c r="BZ498" s="5"/>
      <c r="CB498" s="40"/>
      <c r="CC498" s="5"/>
      <c r="CE498" s="40"/>
      <c r="CF498" s="5"/>
      <c r="CH498" s="40"/>
      <c r="CI498" s="5"/>
      <c r="CK498" s="40"/>
      <c r="CL498" s="5"/>
      <c r="CN498" s="40"/>
      <c r="CO498" s="5"/>
      <c r="CQ498" s="40"/>
      <c r="CR498" s="5"/>
    </row>
    <row r="499">
      <c r="AL499" s="40"/>
      <c r="AM499" s="5"/>
      <c r="AO499" s="40"/>
      <c r="AP499" s="5"/>
      <c r="AR499" s="40"/>
      <c r="AS499" s="5"/>
      <c r="AU499" s="40"/>
      <c r="AV499" s="5"/>
      <c r="AX499" s="40"/>
      <c r="AY499" s="5"/>
      <c r="BA499" s="40"/>
      <c r="BB499" s="5"/>
      <c r="BD499" s="40"/>
      <c r="BE499" s="5"/>
      <c r="BG499" s="40"/>
      <c r="BH499" s="5"/>
      <c r="BJ499" s="40"/>
      <c r="BK499" s="5"/>
      <c r="BM499" s="40"/>
      <c r="BN499" s="5"/>
      <c r="BP499" s="40"/>
      <c r="BQ499" s="5"/>
      <c r="BS499" s="40"/>
      <c r="BT499" s="5"/>
      <c r="BV499" s="40"/>
      <c r="BW499" s="5"/>
      <c r="BY499" s="40"/>
      <c r="BZ499" s="5"/>
      <c r="CB499" s="40"/>
      <c r="CC499" s="5"/>
      <c r="CE499" s="40"/>
      <c r="CF499" s="5"/>
      <c r="CH499" s="40"/>
      <c r="CI499" s="5"/>
      <c r="CK499" s="40"/>
      <c r="CL499" s="5"/>
      <c r="CN499" s="40"/>
      <c r="CO499" s="5"/>
      <c r="CQ499" s="40"/>
      <c r="CR499" s="5"/>
    </row>
    <row r="500">
      <c r="AL500" s="40"/>
      <c r="AM500" s="5"/>
      <c r="AO500" s="40"/>
      <c r="AP500" s="5"/>
      <c r="AR500" s="40"/>
      <c r="AS500" s="5"/>
      <c r="AU500" s="40"/>
      <c r="AV500" s="5"/>
      <c r="AX500" s="40"/>
      <c r="AY500" s="5"/>
      <c r="BA500" s="40"/>
      <c r="BB500" s="5"/>
      <c r="BD500" s="40"/>
      <c r="BE500" s="5"/>
      <c r="BG500" s="40"/>
      <c r="BH500" s="5"/>
      <c r="BJ500" s="40"/>
      <c r="BK500" s="5"/>
      <c r="BM500" s="40"/>
      <c r="BN500" s="5"/>
      <c r="BP500" s="40"/>
      <c r="BQ500" s="5"/>
      <c r="BS500" s="40"/>
      <c r="BT500" s="5"/>
      <c r="BV500" s="40"/>
      <c r="BW500" s="5"/>
      <c r="BY500" s="40"/>
      <c r="BZ500" s="5"/>
      <c r="CB500" s="40"/>
      <c r="CC500" s="5"/>
      <c r="CE500" s="40"/>
      <c r="CF500" s="5"/>
      <c r="CH500" s="40"/>
      <c r="CI500" s="5"/>
      <c r="CK500" s="40"/>
      <c r="CL500" s="5"/>
      <c r="CN500" s="40"/>
      <c r="CO500" s="5"/>
      <c r="CQ500" s="40"/>
      <c r="CR500" s="5"/>
    </row>
    <row r="501">
      <c r="AL501" s="40"/>
      <c r="AM501" s="5"/>
      <c r="AO501" s="40"/>
      <c r="AP501" s="5"/>
      <c r="AR501" s="40"/>
      <c r="AS501" s="5"/>
      <c r="AU501" s="40"/>
      <c r="AV501" s="5"/>
      <c r="AX501" s="40"/>
      <c r="AY501" s="5"/>
      <c r="BA501" s="40"/>
      <c r="BB501" s="5"/>
      <c r="BD501" s="40"/>
      <c r="BE501" s="5"/>
      <c r="BG501" s="40"/>
      <c r="BH501" s="5"/>
      <c r="BJ501" s="40"/>
      <c r="BK501" s="5"/>
      <c r="BM501" s="40"/>
      <c r="BN501" s="5"/>
      <c r="BP501" s="40"/>
      <c r="BQ501" s="5"/>
      <c r="BS501" s="40"/>
      <c r="BT501" s="5"/>
      <c r="BV501" s="40"/>
      <c r="BW501" s="5"/>
      <c r="BY501" s="40"/>
      <c r="BZ501" s="5"/>
      <c r="CB501" s="40"/>
      <c r="CC501" s="5"/>
      <c r="CE501" s="40"/>
      <c r="CF501" s="5"/>
      <c r="CH501" s="40"/>
      <c r="CI501" s="5"/>
      <c r="CK501" s="40"/>
      <c r="CL501" s="5"/>
      <c r="CN501" s="40"/>
      <c r="CO501" s="5"/>
      <c r="CQ501" s="40"/>
      <c r="CR501" s="5"/>
    </row>
    <row r="502">
      <c r="AL502" s="40"/>
      <c r="AM502" s="5"/>
      <c r="AO502" s="40"/>
      <c r="AP502" s="5"/>
      <c r="AR502" s="40"/>
      <c r="AS502" s="5"/>
      <c r="AU502" s="40"/>
      <c r="AV502" s="5"/>
      <c r="AX502" s="40"/>
      <c r="AY502" s="5"/>
      <c r="BA502" s="40"/>
      <c r="BB502" s="5"/>
      <c r="BD502" s="40"/>
      <c r="BE502" s="5"/>
      <c r="BG502" s="40"/>
      <c r="BH502" s="5"/>
      <c r="BJ502" s="40"/>
      <c r="BK502" s="5"/>
      <c r="BM502" s="40"/>
      <c r="BN502" s="5"/>
      <c r="BP502" s="40"/>
      <c r="BQ502" s="5"/>
      <c r="BS502" s="40"/>
      <c r="BT502" s="5"/>
      <c r="BV502" s="40"/>
      <c r="BW502" s="5"/>
      <c r="BY502" s="40"/>
      <c r="BZ502" s="5"/>
      <c r="CB502" s="40"/>
      <c r="CC502" s="5"/>
      <c r="CE502" s="40"/>
      <c r="CF502" s="5"/>
      <c r="CH502" s="40"/>
      <c r="CI502" s="5"/>
      <c r="CK502" s="40"/>
      <c r="CL502" s="5"/>
      <c r="CN502" s="40"/>
      <c r="CO502" s="5"/>
      <c r="CQ502" s="40"/>
      <c r="CR502" s="5"/>
    </row>
    <row r="503">
      <c r="AL503" s="40"/>
      <c r="AM503" s="5"/>
      <c r="AO503" s="40"/>
      <c r="AP503" s="5"/>
      <c r="AR503" s="40"/>
      <c r="AS503" s="5"/>
      <c r="AU503" s="40"/>
      <c r="AV503" s="5"/>
      <c r="AX503" s="40"/>
      <c r="AY503" s="5"/>
      <c r="BA503" s="40"/>
      <c r="BB503" s="5"/>
      <c r="BD503" s="40"/>
      <c r="BE503" s="5"/>
      <c r="BG503" s="40"/>
      <c r="BH503" s="5"/>
      <c r="BJ503" s="40"/>
      <c r="BK503" s="5"/>
      <c r="BM503" s="40"/>
      <c r="BN503" s="5"/>
      <c r="BP503" s="40"/>
      <c r="BQ503" s="5"/>
      <c r="BS503" s="40"/>
      <c r="BT503" s="5"/>
      <c r="BV503" s="40"/>
      <c r="BW503" s="5"/>
      <c r="BY503" s="40"/>
      <c r="BZ503" s="5"/>
      <c r="CB503" s="40"/>
      <c r="CC503" s="5"/>
      <c r="CE503" s="40"/>
      <c r="CF503" s="5"/>
      <c r="CH503" s="40"/>
      <c r="CI503" s="5"/>
      <c r="CK503" s="40"/>
      <c r="CL503" s="5"/>
      <c r="CN503" s="40"/>
      <c r="CO503" s="5"/>
      <c r="CQ503" s="40"/>
      <c r="CR503" s="5"/>
    </row>
    <row r="504">
      <c r="AL504" s="40"/>
      <c r="AM504" s="5"/>
      <c r="AO504" s="40"/>
      <c r="AP504" s="5"/>
      <c r="AR504" s="40"/>
      <c r="AS504" s="5"/>
      <c r="AU504" s="40"/>
      <c r="AV504" s="5"/>
      <c r="AX504" s="40"/>
      <c r="AY504" s="5"/>
      <c r="BA504" s="40"/>
      <c r="BB504" s="5"/>
      <c r="BD504" s="40"/>
      <c r="BE504" s="5"/>
      <c r="BG504" s="40"/>
      <c r="BH504" s="5"/>
      <c r="BJ504" s="40"/>
      <c r="BK504" s="5"/>
      <c r="BM504" s="40"/>
      <c r="BN504" s="5"/>
      <c r="BP504" s="40"/>
      <c r="BQ504" s="5"/>
      <c r="BS504" s="40"/>
      <c r="BT504" s="5"/>
      <c r="BV504" s="40"/>
      <c r="BW504" s="5"/>
      <c r="BY504" s="40"/>
      <c r="BZ504" s="5"/>
      <c r="CB504" s="40"/>
      <c r="CC504" s="5"/>
      <c r="CE504" s="40"/>
      <c r="CF504" s="5"/>
      <c r="CH504" s="40"/>
      <c r="CI504" s="5"/>
      <c r="CK504" s="40"/>
      <c r="CL504" s="5"/>
      <c r="CN504" s="40"/>
      <c r="CO504" s="5"/>
      <c r="CQ504" s="40"/>
      <c r="CR504" s="5"/>
    </row>
    <row r="505">
      <c r="AL505" s="40"/>
      <c r="AM505" s="5"/>
      <c r="AO505" s="40"/>
      <c r="AP505" s="5"/>
      <c r="AR505" s="40"/>
      <c r="AS505" s="5"/>
      <c r="AU505" s="40"/>
      <c r="AV505" s="5"/>
      <c r="AX505" s="40"/>
      <c r="AY505" s="5"/>
      <c r="BA505" s="40"/>
      <c r="BB505" s="5"/>
      <c r="BD505" s="40"/>
      <c r="BE505" s="5"/>
      <c r="BG505" s="40"/>
      <c r="BH505" s="5"/>
      <c r="BJ505" s="40"/>
      <c r="BK505" s="5"/>
      <c r="BM505" s="40"/>
      <c r="BN505" s="5"/>
      <c r="BP505" s="40"/>
      <c r="BQ505" s="5"/>
      <c r="BS505" s="40"/>
      <c r="BT505" s="5"/>
      <c r="BV505" s="40"/>
      <c r="BW505" s="5"/>
      <c r="BY505" s="40"/>
      <c r="BZ505" s="5"/>
      <c r="CB505" s="40"/>
      <c r="CC505" s="5"/>
      <c r="CE505" s="40"/>
      <c r="CF505" s="5"/>
      <c r="CH505" s="40"/>
      <c r="CI505" s="5"/>
      <c r="CK505" s="40"/>
      <c r="CL505" s="5"/>
      <c r="CN505" s="40"/>
      <c r="CO505" s="5"/>
      <c r="CQ505" s="40"/>
      <c r="CR505" s="5"/>
    </row>
    <row r="506">
      <c r="AL506" s="40"/>
      <c r="AM506" s="5"/>
      <c r="AO506" s="40"/>
      <c r="AP506" s="5"/>
      <c r="AR506" s="40"/>
      <c r="AS506" s="5"/>
      <c r="AU506" s="40"/>
      <c r="AV506" s="5"/>
      <c r="AX506" s="40"/>
      <c r="AY506" s="5"/>
      <c r="BA506" s="40"/>
      <c r="BB506" s="5"/>
      <c r="BD506" s="40"/>
      <c r="BE506" s="5"/>
      <c r="BG506" s="40"/>
      <c r="BH506" s="5"/>
      <c r="BJ506" s="40"/>
      <c r="BK506" s="5"/>
      <c r="BM506" s="40"/>
      <c r="BN506" s="5"/>
      <c r="BP506" s="40"/>
      <c r="BQ506" s="5"/>
      <c r="BS506" s="40"/>
      <c r="BT506" s="5"/>
      <c r="BV506" s="40"/>
      <c r="BW506" s="5"/>
      <c r="BY506" s="40"/>
      <c r="BZ506" s="5"/>
      <c r="CB506" s="40"/>
      <c r="CC506" s="5"/>
      <c r="CE506" s="40"/>
      <c r="CF506" s="5"/>
      <c r="CH506" s="40"/>
      <c r="CI506" s="5"/>
      <c r="CK506" s="40"/>
      <c r="CL506" s="5"/>
      <c r="CN506" s="40"/>
      <c r="CO506" s="5"/>
      <c r="CQ506" s="40"/>
      <c r="CR506" s="5"/>
    </row>
    <row r="507">
      <c r="AL507" s="40"/>
      <c r="AM507" s="5"/>
      <c r="AO507" s="40"/>
      <c r="AP507" s="5"/>
      <c r="AR507" s="40"/>
      <c r="AS507" s="5"/>
      <c r="AU507" s="40"/>
      <c r="AV507" s="5"/>
      <c r="AX507" s="40"/>
      <c r="AY507" s="5"/>
      <c r="BA507" s="40"/>
      <c r="BB507" s="5"/>
      <c r="BD507" s="40"/>
      <c r="BE507" s="5"/>
      <c r="BG507" s="40"/>
      <c r="BH507" s="5"/>
      <c r="BJ507" s="40"/>
      <c r="BK507" s="5"/>
      <c r="BM507" s="40"/>
      <c r="BN507" s="5"/>
      <c r="BP507" s="40"/>
      <c r="BQ507" s="5"/>
      <c r="BS507" s="40"/>
      <c r="BT507" s="5"/>
      <c r="BV507" s="40"/>
      <c r="BW507" s="5"/>
      <c r="BY507" s="40"/>
      <c r="BZ507" s="5"/>
      <c r="CB507" s="40"/>
      <c r="CC507" s="5"/>
      <c r="CE507" s="40"/>
      <c r="CF507" s="5"/>
      <c r="CH507" s="40"/>
      <c r="CI507" s="5"/>
      <c r="CK507" s="40"/>
      <c r="CL507" s="5"/>
      <c r="CN507" s="40"/>
      <c r="CO507" s="5"/>
      <c r="CQ507" s="40"/>
      <c r="CR507" s="5"/>
    </row>
    <row r="508">
      <c r="AL508" s="40"/>
      <c r="AM508" s="5"/>
      <c r="AO508" s="40"/>
      <c r="AP508" s="5"/>
      <c r="AR508" s="40"/>
      <c r="AS508" s="5"/>
      <c r="AU508" s="40"/>
      <c r="AV508" s="5"/>
      <c r="AX508" s="40"/>
      <c r="AY508" s="5"/>
      <c r="BA508" s="40"/>
      <c r="BB508" s="5"/>
      <c r="BD508" s="40"/>
      <c r="BE508" s="5"/>
      <c r="BG508" s="40"/>
      <c r="BH508" s="5"/>
      <c r="BJ508" s="40"/>
      <c r="BK508" s="5"/>
      <c r="BM508" s="40"/>
      <c r="BN508" s="5"/>
      <c r="BP508" s="40"/>
      <c r="BQ508" s="5"/>
      <c r="BS508" s="40"/>
      <c r="BT508" s="5"/>
      <c r="BV508" s="40"/>
      <c r="BW508" s="5"/>
      <c r="BY508" s="40"/>
      <c r="BZ508" s="5"/>
      <c r="CB508" s="40"/>
      <c r="CC508" s="5"/>
      <c r="CE508" s="40"/>
      <c r="CF508" s="5"/>
      <c r="CH508" s="40"/>
      <c r="CI508" s="5"/>
      <c r="CK508" s="40"/>
      <c r="CL508" s="5"/>
      <c r="CN508" s="40"/>
      <c r="CO508" s="5"/>
      <c r="CQ508" s="40"/>
      <c r="CR508" s="5"/>
    </row>
    <row r="509">
      <c r="AL509" s="40"/>
      <c r="AM509" s="5"/>
      <c r="AO509" s="40"/>
      <c r="AP509" s="5"/>
      <c r="AR509" s="40"/>
      <c r="AS509" s="5"/>
      <c r="AU509" s="40"/>
      <c r="AV509" s="5"/>
      <c r="AX509" s="40"/>
      <c r="AY509" s="5"/>
      <c r="BA509" s="40"/>
      <c r="BB509" s="5"/>
      <c r="BD509" s="40"/>
      <c r="BE509" s="5"/>
      <c r="BG509" s="40"/>
      <c r="BH509" s="5"/>
      <c r="BJ509" s="40"/>
      <c r="BK509" s="5"/>
      <c r="BM509" s="40"/>
      <c r="BN509" s="5"/>
      <c r="BP509" s="40"/>
      <c r="BQ509" s="5"/>
      <c r="BS509" s="40"/>
      <c r="BT509" s="5"/>
      <c r="BV509" s="40"/>
      <c r="BW509" s="5"/>
      <c r="BY509" s="40"/>
      <c r="BZ509" s="5"/>
      <c r="CB509" s="40"/>
      <c r="CC509" s="5"/>
      <c r="CE509" s="40"/>
      <c r="CF509" s="5"/>
      <c r="CH509" s="40"/>
      <c r="CI509" s="5"/>
      <c r="CK509" s="40"/>
      <c r="CL509" s="5"/>
      <c r="CN509" s="40"/>
      <c r="CO509" s="5"/>
      <c r="CQ509" s="40"/>
      <c r="CR509" s="5"/>
    </row>
    <row r="510">
      <c r="AL510" s="40"/>
      <c r="AM510" s="5"/>
      <c r="AO510" s="40"/>
      <c r="AP510" s="5"/>
      <c r="AR510" s="40"/>
      <c r="AS510" s="5"/>
      <c r="AU510" s="40"/>
      <c r="AV510" s="5"/>
      <c r="AX510" s="40"/>
      <c r="AY510" s="5"/>
      <c r="BA510" s="40"/>
      <c r="BB510" s="5"/>
      <c r="BD510" s="40"/>
      <c r="BE510" s="5"/>
      <c r="BG510" s="40"/>
      <c r="BH510" s="5"/>
      <c r="BJ510" s="40"/>
      <c r="BK510" s="5"/>
      <c r="BM510" s="40"/>
      <c r="BN510" s="5"/>
      <c r="BP510" s="40"/>
      <c r="BQ510" s="5"/>
      <c r="BS510" s="40"/>
      <c r="BT510" s="5"/>
      <c r="BV510" s="40"/>
      <c r="BW510" s="5"/>
      <c r="BY510" s="40"/>
      <c r="BZ510" s="5"/>
      <c r="CB510" s="40"/>
      <c r="CC510" s="5"/>
      <c r="CE510" s="40"/>
      <c r="CF510" s="5"/>
      <c r="CH510" s="40"/>
      <c r="CI510" s="5"/>
      <c r="CK510" s="40"/>
      <c r="CL510" s="5"/>
      <c r="CN510" s="40"/>
      <c r="CO510" s="5"/>
      <c r="CQ510" s="40"/>
      <c r="CR510" s="5"/>
    </row>
    <row r="511">
      <c r="AL511" s="40"/>
      <c r="AM511" s="5"/>
      <c r="AO511" s="40"/>
      <c r="AP511" s="5"/>
      <c r="AR511" s="40"/>
      <c r="AS511" s="5"/>
      <c r="AU511" s="40"/>
      <c r="AV511" s="5"/>
      <c r="AX511" s="40"/>
      <c r="AY511" s="5"/>
      <c r="BA511" s="40"/>
      <c r="BB511" s="5"/>
      <c r="BD511" s="40"/>
      <c r="BE511" s="5"/>
      <c r="BG511" s="40"/>
      <c r="BH511" s="5"/>
      <c r="BJ511" s="40"/>
      <c r="BK511" s="5"/>
      <c r="BM511" s="40"/>
      <c r="BN511" s="5"/>
      <c r="BP511" s="40"/>
      <c r="BQ511" s="5"/>
      <c r="BS511" s="40"/>
      <c r="BT511" s="5"/>
      <c r="BV511" s="40"/>
      <c r="BW511" s="5"/>
      <c r="BY511" s="40"/>
      <c r="BZ511" s="5"/>
      <c r="CB511" s="40"/>
      <c r="CC511" s="5"/>
      <c r="CE511" s="40"/>
      <c r="CF511" s="5"/>
      <c r="CH511" s="40"/>
      <c r="CI511" s="5"/>
      <c r="CK511" s="40"/>
      <c r="CL511" s="5"/>
      <c r="CN511" s="40"/>
      <c r="CO511" s="5"/>
      <c r="CQ511" s="40"/>
      <c r="CR511" s="5"/>
    </row>
    <row r="512">
      <c r="AL512" s="40"/>
      <c r="AM512" s="5"/>
      <c r="AO512" s="40"/>
      <c r="AP512" s="5"/>
      <c r="AR512" s="40"/>
      <c r="AS512" s="5"/>
      <c r="AU512" s="40"/>
      <c r="AV512" s="5"/>
      <c r="AX512" s="40"/>
      <c r="AY512" s="5"/>
      <c r="BA512" s="40"/>
      <c r="BB512" s="5"/>
      <c r="BD512" s="40"/>
      <c r="BE512" s="5"/>
      <c r="BG512" s="40"/>
      <c r="BH512" s="5"/>
      <c r="BJ512" s="40"/>
      <c r="BK512" s="5"/>
      <c r="BM512" s="40"/>
      <c r="BN512" s="5"/>
      <c r="BP512" s="40"/>
      <c r="BQ512" s="5"/>
      <c r="BS512" s="40"/>
      <c r="BT512" s="5"/>
      <c r="BV512" s="40"/>
      <c r="BW512" s="5"/>
      <c r="BY512" s="40"/>
      <c r="BZ512" s="5"/>
      <c r="CB512" s="40"/>
      <c r="CC512" s="5"/>
      <c r="CE512" s="40"/>
      <c r="CF512" s="5"/>
      <c r="CH512" s="40"/>
      <c r="CI512" s="5"/>
      <c r="CK512" s="40"/>
      <c r="CL512" s="5"/>
      <c r="CN512" s="40"/>
      <c r="CO512" s="5"/>
      <c r="CQ512" s="40"/>
      <c r="CR512" s="5"/>
    </row>
    <row r="513">
      <c r="AL513" s="40"/>
      <c r="AM513" s="5"/>
      <c r="AO513" s="40"/>
      <c r="AP513" s="5"/>
      <c r="AR513" s="40"/>
      <c r="AS513" s="5"/>
      <c r="AU513" s="40"/>
      <c r="AV513" s="5"/>
      <c r="AX513" s="40"/>
      <c r="AY513" s="5"/>
      <c r="BA513" s="40"/>
      <c r="BB513" s="5"/>
      <c r="BD513" s="40"/>
      <c r="BE513" s="5"/>
      <c r="BG513" s="40"/>
      <c r="BH513" s="5"/>
      <c r="BJ513" s="40"/>
      <c r="BK513" s="5"/>
      <c r="BM513" s="40"/>
      <c r="BN513" s="5"/>
      <c r="BP513" s="40"/>
      <c r="BQ513" s="5"/>
      <c r="BS513" s="40"/>
      <c r="BT513" s="5"/>
      <c r="BV513" s="40"/>
      <c r="BW513" s="5"/>
      <c r="BY513" s="40"/>
      <c r="BZ513" s="5"/>
      <c r="CB513" s="40"/>
      <c r="CC513" s="5"/>
      <c r="CE513" s="40"/>
      <c r="CF513" s="5"/>
      <c r="CH513" s="40"/>
      <c r="CI513" s="5"/>
      <c r="CK513" s="40"/>
      <c r="CL513" s="5"/>
      <c r="CN513" s="40"/>
      <c r="CO513" s="5"/>
      <c r="CQ513" s="40"/>
      <c r="CR513" s="5"/>
    </row>
    <row r="514">
      <c r="AL514" s="40"/>
      <c r="AM514" s="5"/>
      <c r="AO514" s="40"/>
      <c r="AP514" s="5"/>
      <c r="AR514" s="40"/>
      <c r="AS514" s="5"/>
      <c r="AU514" s="40"/>
      <c r="AV514" s="5"/>
      <c r="AX514" s="40"/>
      <c r="AY514" s="5"/>
      <c r="BA514" s="40"/>
      <c r="BB514" s="5"/>
      <c r="BD514" s="40"/>
      <c r="BE514" s="5"/>
      <c r="BG514" s="40"/>
      <c r="BH514" s="5"/>
      <c r="BJ514" s="40"/>
      <c r="BK514" s="5"/>
      <c r="BM514" s="40"/>
      <c r="BN514" s="5"/>
      <c r="BP514" s="40"/>
      <c r="BQ514" s="5"/>
      <c r="BS514" s="40"/>
      <c r="BT514" s="5"/>
      <c r="BV514" s="40"/>
      <c r="BW514" s="5"/>
      <c r="BY514" s="40"/>
      <c r="BZ514" s="5"/>
      <c r="CB514" s="40"/>
      <c r="CC514" s="5"/>
      <c r="CE514" s="40"/>
      <c r="CF514" s="5"/>
      <c r="CH514" s="40"/>
      <c r="CI514" s="5"/>
      <c r="CK514" s="40"/>
      <c r="CL514" s="5"/>
      <c r="CN514" s="40"/>
      <c r="CO514" s="5"/>
      <c r="CQ514" s="40"/>
      <c r="CR514" s="5"/>
    </row>
    <row r="515">
      <c r="AL515" s="40"/>
      <c r="AM515" s="5"/>
      <c r="AO515" s="40"/>
      <c r="AP515" s="5"/>
      <c r="AR515" s="40"/>
      <c r="AS515" s="5"/>
      <c r="AU515" s="40"/>
      <c r="AV515" s="5"/>
      <c r="AX515" s="40"/>
      <c r="AY515" s="5"/>
      <c r="BA515" s="40"/>
      <c r="BB515" s="5"/>
      <c r="BD515" s="40"/>
      <c r="BE515" s="5"/>
      <c r="BG515" s="40"/>
      <c r="BH515" s="5"/>
      <c r="BJ515" s="40"/>
      <c r="BK515" s="5"/>
      <c r="BM515" s="40"/>
      <c r="BN515" s="5"/>
      <c r="BP515" s="40"/>
      <c r="BQ515" s="5"/>
      <c r="BS515" s="40"/>
      <c r="BT515" s="5"/>
      <c r="BV515" s="40"/>
      <c r="BW515" s="5"/>
      <c r="BY515" s="40"/>
      <c r="BZ515" s="5"/>
      <c r="CB515" s="40"/>
      <c r="CC515" s="5"/>
      <c r="CE515" s="40"/>
      <c r="CF515" s="5"/>
      <c r="CH515" s="40"/>
      <c r="CI515" s="5"/>
      <c r="CK515" s="40"/>
      <c r="CL515" s="5"/>
      <c r="CN515" s="40"/>
      <c r="CO515" s="5"/>
      <c r="CQ515" s="40"/>
      <c r="CR515" s="5"/>
    </row>
    <row r="516">
      <c r="AL516" s="40"/>
      <c r="AM516" s="5"/>
      <c r="AO516" s="40"/>
      <c r="AP516" s="5"/>
      <c r="AR516" s="40"/>
      <c r="AS516" s="5"/>
      <c r="AU516" s="40"/>
      <c r="AV516" s="5"/>
      <c r="AX516" s="40"/>
      <c r="AY516" s="5"/>
      <c r="BA516" s="40"/>
      <c r="BB516" s="5"/>
      <c r="BD516" s="40"/>
      <c r="BE516" s="5"/>
      <c r="BG516" s="40"/>
      <c r="BH516" s="5"/>
      <c r="BJ516" s="40"/>
      <c r="BK516" s="5"/>
      <c r="BM516" s="40"/>
      <c r="BN516" s="5"/>
      <c r="BP516" s="40"/>
      <c r="BQ516" s="5"/>
      <c r="BS516" s="40"/>
      <c r="BT516" s="5"/>
      <c r="BV516" s="40"/>
      <c r="BW516" s="5"/>
      <c r="BY516" s="40"/>
      <c r="BZ516" s="5"/>
      <c r="CB516" s="40"/>
      <c r="CC516" s="5"/>
      <c r="CE516" s="40"/>
      <c r="CF516" s="5"/>
      <c r="CH516" s="40"/>
      <c r="CI516" s="5"/>
      <c r="CK516" s="40"/>
      <c r="CL516" s="5"/>
      <c r="CN516" s="40"/>
      <c r="CO516" s="5"/>
      <c r="CQ516" s="40"/>
      <c r="CR516" s="5"/>
    </row>
    <row r="517">
      <c r="AL517" s="40"/>
      <c r="AM517" s="5"/>
      <c r="AO517" s="40"/>
      <c r="AP517" s="5"/>
      <c r="AR517" s="40"/>
      <c r="AS517" s="5"/>
      <c r="AU517" s="40"/>
      <c r="AV517" s="5"/>
      <c r="AX517" s="40"/>
      <c r="AY517" s="5"/>
      <c r="BA517" s="40"/>
      <c r="BB517" s="5"/>
      <c r="BD517" s="40"/>
      <c r="BE517" s="5"/>
      <c r="BG517" s="40"/>
      <c r="BH517" s="5"/>
      <c r="BJ517" s="40"/>
      <c r="BK517" s="5"/>
      <c r="BM517" s="40"/>
      <c r="BN517" s="5"/>
      <c r="BP517" s="40"/>
      <c r="BQ517" s="5"/>
      <c r="BS517" s="40"/>
      <c r="BT517" s="5"/>
      <c r="BV517" s="40"/>
      <c r="BW517" s="5"/>
      <c r="BY517" s="40"/>
      <c r="BZ517" s="5"/>
      <c r="CB517" s="40"/>
      <c r="CC517" s="5"/>
      <c r="CE517" s="40"/>
      <c r="CF517" s="5"/>
      <c r="CH517" s="40"/>
      <c r="CI517" s="5"/>
      <c r="CK517" s="40"/>
      <c r="CL517" s="5"/>
      <c r="CN517" s="40"/>
      <c r="CO517" s="5"/>
      <c r="CQ517" s="40"/>
      <c r="CR517" s="5"/>
    </row>
    <row r="518">
      <c r="AL518" s="40"/>
      <c r="AM518" s="5"/>
      <c r="AO518" s="40"/>
      <c r="AP518" s="5"/>
      <c r="AR518" s="40"/>
      <c r="AS518" s="5"/>
      <c r="AU518" s="40"/>
      <c r="AV518" s="5"/>
      <c r="AX518" s="40"/>
      <c r="AY518" s="5"/>
      <c r="BA518" s="40"/>
      <c r="BB518" s="5"/>
      <c r="BD518" s="40"/>
      <c r="BE518" s="5"/>
      <c r="BG518" s="40"/>
      <c r="BH518" s="5"/>
      <c r="BJ518" s="40"/>
      <c r="BK518" s="5"/>
      <c r="BM518" s="40"/>
      <c r="BN518" s="5"/>
      <c r="BP518" s="40"/>
      <c r="BQ518" s="5"/>
      <c r="BS518" s="40"/>
      <c r="BT518" s="5"/>
      <c r="BV518" s="40"/>
      <c r="BW518" s="5"/>
      <c r="BY518" s="40"/>
      <c r="BZ518" s="5"/>
      <c r="CB518" s="40"/>
      <c r="CC518" s="5"/>
      <c r="CE518" s="40"/>
      <c r="CF518" s="5"/>
      <c r="CH518" s="40"/>
      <c r="CI518" s="5"/>
      <c r="CK518" s="40"/>
      <c r="CL518" s="5"/>
      <c r="CN518" s="40"/>
      <c r="CO518" s="5"/>
      <c r="CQ518" s="40"/>
      <c r="CR518" s="5"/>
    </row>
    <row r="519">
      <c r="AL519" s="40"/>
      <c r="AM519" s="5"/>
      <c r="AO519" s="40"/>
      <c r="AP519" s="5"/>
      <c r="AR519" s="40"/>
      <c r="AS519" s="5"/>
      <c r="AU519" s="40"/>
      <c r="AV519" s="5"/>
      <c r="AX519" s="40"/>
      <c r="AY519" s="5"/>
      <c r="BA519" s="40"/>
      <c r="BB519" s="5"/>
      <c r="BD519" s="40"/>
      <c r="BE519" s="5"/>
      <c r="BG519" s="40"/>
      <c r="BH519" s="5"/>
      <c r="BJ519" s="40"/>
      <c r="BK519" s="5"/>
      <c r="BM519" s="40"/>
      <c r="BN519" s="5"/>
      <c r="BP519" s="40"/>
      <c r="BQ519" s="5"/>
      <c r="BS519" s="40"/>
      <c r="BT519" s="5"/>
      <c r="BV519" s="40"/>
      <c r="BW519" s="5"/>
      <c r="BY519" s="40"/>
      <c r="BZ519" s="5"/>
      <c r="CB519" s="40"/>
      <c r="CC519" s="5"/>
      <c r="CE519" s="40"/>
      <c r="CF519" s="5"/>
      <c r="CH519" s="40"/>
      <c r="CI519" s="5"/>
      <c r="CK519" s="40"/>
      <c r="CL519" s="5"/>
      <c r="CN519" s="40"/>
      <c r="CO519" s="5"/>
      <c r="CQ519" s="40"/>
      <c r="CR519" s="5"/>
    </row>
    <row r="520">
      <c r="AL520" s="40"/>
      <c r="AM520" s="5"/>
      <c r="AO520" s="40"/>
      <c r="AP520" s="5"/>
      <c r="AR520" s="40"/>
      <c r="AS520" s="5"/>
      <c r="AU520" s="40"/>
      <c r="AV520" s="5"/>
      <c r="AX520" s="40"/>
      <c r="AY520" s="5"/>
      <c r="BA520" s="40"/>
      <c r="BB520" s="5"/>
      <c r="BD520" s="40"/>
      <c r="BE520" s="5"/>
      <c r="BG520" s="40"/>
      <c r="BH520" s="5"/>
      <c r="BJ520" s="40"/>
      <c r="BK520" s="5"/>
      <c r="BM520" s="40"/>
      <c r="BN520" s="5"/>
      <c r="BP520" s="40"/>
      <c r="BQ520" s="5"/>
      <c r="BS520" s="40"/>
      <c r="BT520" s="5"/>
      <c r="BV520" s="40"/>
      <c r="BW520" s="5"/>
      <c r="BY520" s="40"/>
      <c r="BZ520" s="5"/>
      <c r="CB520" s="40"/>
      <c r="CC520" s="5"/>
      <c r="CE520" s="40"/>
      <c r="CF520" s="5"/>
      <c r="CH520" s="40"/>
      <c r="CI520" s="5"/>
      <c r="CK520" s="40"/>
      <c r="CL520" s="5"/>
      <c r="CN520" s="40"/>
      <c r="CO520" s="5"/>
      <c r="CQ520" s="40"/>
      <c r="CR520" s="5"/>
    </row>
    <row r="521">
      <c r="AL521" s="40"/>
      <c r="AM521" s="5"/>
      <c r="AO521" s="40"/>
      <c r="AP521" s="5"/>
      <c r="AR521" s="40"/>
      <c r="AS521" s="5"/>
      <c r="AU521" s="40"/>
      <c r="AV521" s="5"/>
      <c r="AX521" s="40"/>
      <c r="AY521" s="5"/>
      <c r="BA521" s="40"/>
      <c r="BB521" s="5"/>
      <c r="BD521" s="40"/>
      <c r="BE521" s="5"/>
      <c r="BG521" s="40"/>
      <c r="BH521" s="5"/>
      <c r="BJ521" s="40"/>
      <c r="BK521" s="5"/>
      <c r="BM521" s="40"/>
      <c r="BN521" s="5"/>
      <c r="BP521" s="40"/>
      <c r="BQ521" s="5"/>
      <c r="BS521" s="40"/>
      <c r="BT521" s="5"/>
      <c r="BV521" s="40"/>
      <c r="BW521" s="5"/>
      <c r="BY521" s="40"/>
      <c r="BZ521" s="5"/>
      <c r="CB521" s="40"/>
      <c r="CC521" s="5"/>
      <c r="CE521" s="40"/>
      <c r="CF521" s="5"/>
      <c r="CH521" s="40"/>
      <c r="CI521" s="5"/>
      <c r="CK521" s="40"/>
      <c r="CL521" s="5"/>
      <c r="CN521" s="40"/>
      <c r="CO521" s="5"/>
      <c r="CQ521" s="40"/>
      <c r="CR521" s="5"/>
    </row>
    <row r="522">
      <c r="AL522" s="40"/>
      <c r="AM522" s="5"/>
      <c r="AO522" s="40"/>
      <c r="AP522" s="5"/>
      <c r="AR522" s="40"/>
      <c r="AS522" s="5"/>
      <c r="AU522" s="40"/>
      <c r="AV522" s="5"/>
      <c r="AX522" s="40"/>
      <c r="AY522" s="5"/>
      <c r="BA522" s="40"/>
      <c r="BB522" s="5"/>
      <c r="BD522" s="40"/>
      <c r="BE522" s="5"/>
      <c r="BG522" s="40"/>
      <c r="BH522" s="5"/>
      <c r="BJ522" s="40"/>
      <c r="BK522" s="5"/>
      <c r="BM522" s="40"/>
      <c r="BN522" s="5"/>
      <c r="BP522" s="40"/>
      <c r="BQ522" s="5"/>
      <c r="BS522" s="40"/>
      <c r="BT522" s="5"/>
      <c r="BV522" s="40"/>
      <c r="BW522" s="5"/>
      <c r="BY522" s="40"/>
      <c r="BZ522" s="5"/>
      <c r="CB522" s="40"/>
      <c r="CC522" s="5"/>
      <c r="CE522" s="40"/>
      <c r="CF522" s="5"/>
      <c r="CH522" s="40"/>
      <c r="CI522" s="5"/>
      <c r="CK522" s="40"/>
      <c r="CL522" s="5"/>
      <c r="CN522" s="40"/>
      <c r="CO522" s="5"/>
      <c r="CQ522" s="40"/>
      <c r="CR522" s="5"/>
    </row>
    <row r="523">
      <c r="AL523" s="40"/>
      <c r="AM523" s="5"/>
      <c r="AO523" s="40"/>
      <c r="AP523" s="5"/>
      <c r="AR523" s="40"/>
      <c r="AS523" s="5"/>
      <c r="AU523" s="40"/>
      <c r="AV523" s="5"/>
      <c r="AX523" s="40"/>
      <c r="AY523" s="5"/>
      <c r="BA523" s="40"/>
      <c r="BB523" s="5"/>
      <c r="BD523" s="40"/>
      <c r="BE523" s="5"/>
      <c r="BG523" s="40"/>
      <c r="BH523" s="5"/>
      <c r="BJ523" s="40"/>
      <c r="BK523" s="5"/>
      <c r="BM523" s="40"/>
      <c r="BN523" s="5"/>
      <c r="BP523" s="40"/>
      <c r="BQ523" s="5"/>
      <c r="BS523" s="40"/>
      <c r="BT523" s="5"/>
      <c r="BV523" s="40"/>
      <c r="BW523" s="5"/>
      <c r="BY523" s="40"/>
      <c r="BZ523" s="5"/>
      <c r="CB523" s="40"/>
      <c r="CC523" s="5"/>
      <c r="CE523" s="40"/>
      <c r="CF523" s="5"/>
      <c r="CH523" s="40"/>
      <c r="CI523" s="5"/>
      <c r="CK523" s="40"/>
      <c r="CL523" s="5"/>
      <c r="CN523" s="40"/>
      <c r="CO523" s="5"/>
      <c r="CQ523" s="40"/>
      <c r="CR523" s="5"/>
    </row>
    <row r="524">
      <c r="AL524" s="40"/>
      <c r="AM524" s="5"/>
      <c r="AO524" s="40"/>
      <c r="AP524" s="5"/>
      <c r="AR524" s="40"/>
      <c r="AS524" s="5"/>
      <c r="AU524" s="40"/>
      <c r="AV524" s="5"/>
      <c r="AX524" s="40"/>
      <c r="AY524" s="5"/>
      <c r="BA524" s="40"/>
      <c r="BB524" s="5"/>
      <c r="BD524" s="40"/>
      <c r="BE524" s="5"/>
      <c r="BG524" s="40"/>
      <c r="BH524" s="5"/>
      <c r="BJ524" s="40"/>
      <c r="BK524" s="5"/>
      <c r="BM524" s="40"/>
      <c r="BN524" s="5"/>
      <c r="BP524" s="40"/>
      <c r="BQ524" s="5"/>
      <c r="BS524" s="40"/>
      <c r="BT524" s="5"/>
      <c r="BV524" s="40"/>
      <c r="BW524" s="5"/>
      <c r="BY524" s="40"/>
      <c r="BZ524" s="5"/>
      <c r="CB524" s="40"/>
      <c r="CC524" s="5"/>
      <c r="CE524" s="40"/>
      <c r="CF524" s="5"/>
      <c r="CH524" s="40"/>
      <c r="CI524" s="5"/>
      <c r="CK524" s="40"/>
      <c r="CL524" s="5"/>
      <c r="CN524" s="40"/>
      <c r="CO524" s="5"/>
      <c r="CQ524" s="40"/>
      <c r="CR524" s="5"/>
    </row>
    <row r="525">
      <c r="AL525" s="40"/>
      <c r="AM525" s="5"/>
      <c r="AO525" s="40"/>
      <c r="AP525" s="5"/>
      <c r="AR525" s="40"/>
      <c r="AS525" s="5"/>
      <c r="AU525" s="40"/>
      <c r="AV525" s="5"/>
      <c r="AX525" s="40"/>
      <c r="AY525" s="5"/>
      <c r="BA525" s="40"/>
      <c r="BB525" s="5"/>
      <c r="BD525" s="40"/>
      <c r="BE525" s="5"/>
      <c r="BG525" s="40"/>
      <c r="BH525" s="5"/>
      <c r="BJ525" s="40"/>
      <c r="BK525" s="5"/>
      <c r="BM525" s="40"/>
      <c r="BN525" s="5"/>
      <c r="BP525" s="40"/>
      <c r="BQ525" s="5"/>
      <c r="BS525" s="40"/>
      <c r="BT525" s="5"/>
      <c r="BV525" s="40"/>
      <c r="BW525" s="5"/>
      <c r="BY525" s="40"/>
      <c r="BZ525" s="5"/>
      <c r="CB525" s="40"/>
      <c r="CC525" s="5"/>
      <c r="CE525" s="40"/>
      <c r="CF525" s="5"/>
      <c r="CH525" s="40"/>
      <c r="CI525" s="5"/>
      <c r="CK525" s="40"/>
      <c r="CL525" s="5"/>
      <c r="CN525" s="40"/>
      <c r="CO525" s="5"/>
      <c r="CQ525" s="40"/>
      <c r="CR525" s="5"/>
    </row>
    <row r="526">
      <c r="AL526" s="40"/>
      <c r="AM526" s="5"/>
      <c r="AO526" s="40"/>
      <c r="AP526" s="5"/>
      <c r="AR526" s="40"/>
      <c r="AS526" s="5"/>
      <c r="AU526" s="40"/>
      <c r="AV526" s="5"/>
      <c r="AX526" s="40"/>
      <c r="AY526" s="5"/>
      <c r="BA526" s="40"/>
      <c r="BB526" s="5"/>
      <c r="BD526" s="40"/>
      <c r="BE526" s="5"/>
      <c r="BG526" s="40"/>
      <c r="BH526" s="5"/>
      <c r="BJ526" s="40"/>
      <c r="BK526" s="5"/>
      <c r="BM526" s="40"/>
      <c r="BN526" s="5"/>
      <c r="BP526" s="40"/>
      <c r="BQ526" s="5"/>
      <c r="BS526" s="40"/>
      <c r="BT526" s="5"/>
      <c r="BV526" s="40"/>
      <c r="BW526" s="5"/>
      <c r="BY526" s="40"/>
      <c r="BZ526" s="5"/>
      <c r="CB526" s="40"/>
      <c r="CC526" s="5"/>
      <c r="CE526" s="40"/>
      <c r="CF526" s="5"/>
      <c r="CH526" s="40"/>
      <c r="CI526" s="5"/>
      <c r="CK526" s="40"/>
      <c r="CL526" s="5"/>
      <c r="CN526" s="40"/>
      <c r="CO526" s="5"/>
      <c r="CQ526" s="40"/>
      <c r="CR526" s="5"/>
    </row>
    <row r="527">
      <c r="AL527" s="40"/>
      <c r="AM527" s="5"/>
      <c r="AO527" s="40"/>
      <c r="AP527" s="5"/>
      <c r="AR527" s="40"/>
      <c r="AS527" s="5"/>
      <c r="AU527" s="40"/>
      <c r="AV527" s="5"/>
      <c r="AX527" s="40"/>
      <c r="AY527" s="5"/>
      <c r="BA527" s="40"/>
      <c r="BB527" s="5"/>
      <c r="BD527" s="40"/>
      <c r="BE527" s="5"/>
      <c r="BG527" s="40"/>
      <c r="BH527" s="5"/>
      <c r="BJ527" s="40"/>
      <c r="BK527" s="5"/>
      <c r="BM527" s="40"/>
      <c r="BN527" s="5"/>
      <c r="BP527" s="40"/>
      <c r="BQ527" s="5"/>
      <c r="BS527" s="40"/>
      <c r="BT527" s="5"/>
      <c r="BV527" s="40"/>
      <c r="BW527" s="5"/>
      <c r="BY527" s="40"/>
      <c r="BZ527" s="5"/>
      <c r="CB527" s="40"/>
      <c r="CC527" s="5"/>
      <c r="CE527" s="40"/>
      <c r="CF527" s="5"/>
      <c r="CH527" s="40"/>
      <c r="CI527" s="5"/>
      <c r="CK527" s="40"/>
      <c r="CL527" s="5"/>
      <c r="CN527" s="40"/>
      <c r="CO527" s="5"/>
      <c r="CQ527" s="40"/>
      <c r="CR527" s="5"/>
    </row>
    <row r="528">
      <c r="AL528" s="40"/>
      <c r="AM528" s="5"/>
      <c r="AO528" s="40"/>
      <c r="AP528" s="5"/>
      <c r="AR528" s="40"/>
      <c r="AS528" s="5"/>
      <c r="AU528" s="40"/>
      <c r="AV528" s="5"/>
      <c r="AX528" s="40"/>
      <c r="AY528" s="5"/>
      <c r="BA528" s="40"/>
      <c r="BB528" s="5"/>
      <c r="BD528" s="40"/>
      <c r="BE528" s="5"/>
      <c r="BG528" s="40"/>
      <c r="BH528" s="5"/>
      <c r="BJ528" s="40"/>
      <c r="BK528" s="5"/>
      <c r="BM528" s="40"/>
      <c r="BN528" s="5"/>
      <c r="BP528" s="40"/>
      <c r="BQ528" s="5"/>
      <c r="BS528" s="40"/>
      <c r="BT528" s="5"/>
      <c r="BV528" s="40"/>
      <c r="BW528" s="5"/>
      <c r="BY528" s="40"/>
      <c r="BZ528" s="5"/>
      <c r="CB528" s="40"/>
      <c r="CC528" s="5"/>
      <c r="CE528" s="40"/>
      <c r="CF528" s="5"/>
      <c r="CH528" s="40"/>
      <c r="CI528" s="5"/>
      <c r="CK528" s="40"/>
      <c r="CL528" s="5"/>
      <c r="CN528" s="40"/>
      <c r="CO528" s="5"/>
      <c r="CQ528" s="40"/>
      <c r="CR528" s="5"/>
    </row>
    <row r="529">
      <c r="AL529" s="40"/>
      <c r="AM529" s="5"/>
      <c r="AO529" s="40"/>
      <c r="AP529" s="5"/>
      <c r="AR529" s="40"/>
      <c r="AS529" s="5"/>
      <c r="AU529" s="40"/>
      <c r="AV529" s="5"/>
      <c r="AX529" s="40"/>
      <c r="AY529" s="5"/>
      <c r="BA529" s="40"/>
      <c r="BB529" s="5"/>
      <c r="BD529" s="40"/>
      <c r="BE529" s="5"/>
      <c r="BG529" s="40"/>
      <c r="BH529" s="5"/>
      <c r="BJ529" s="40"/>
      <c r="BK529" s="5"/>
      <c r="BM529" s="40"/>
      <c r="BN529" s="5"/>
      <c r="BP529" s="40"/>
      <c r="BQ529" s="5"/>
      <c r="BS529" s="40"/>
      <c r="BT529" s="5"/>
      <c r="BV529" s="40"/>
      <c r="BW529" s="5"/>
      <c r="BY529" s="40"/>
      <c r="BZ529" s="5"/>
      <c r="CB529" s="40"/>
      <c r="CC529" s="5"/>
      <c r="CE529" s="40"/>
      <c r="CF529" s="5"/>
      <c r="CH529" s="40"/>
      <c r="CI529" s="5"/>
      <c r="CK529" s="40"/>
      <c r="CL529" s="5"/>
      <c r="CN529" s="40"/>
      <c r="CO529" s="5"/>
      <c r="CQ529" s="40"/>
      <c r="CR529" s="5"/>
    </row>
    <row r="530">
      <c r="AL530" s="40"/>
      <c r="AM530" s="5"/>
      <c r="AO530" s="40"/>
      <c r="AP530" s="5"/>
      <c r="AR530" s="40"/>
      <c r="AS530" s="5"/>
      <c r="AU530" s="40"/>
      <c r="AV530" s="5"/>
      <c r="AX530" s="40"/>
      <c r="AY530" s="5"/>
      <c r="BA530" s="40"/>
      <c r="BB530" s="5"/>
      <c r="BD530" s="40"/>
      <c r="BE530" s="5"/>
      <c r="BG530" s="40"/>
      <c r="BH530" s="5"/>
      <c r="BJ530" s="40"/>
      <c r="BK530" s="5"/>
      <c r="BM530" s="40"/>
      <c r="BN530" s="5"/>
      <c r="BP530" s="40"/>
      <c r="BQ530" s="5"/>
      <c r="BS530" s="40"/>
      <c r="BT530" s="5"/>
      <c r="BV530" s="40"/>
      <c r="BW530" s="5"/>
      <c r="BY530" s="40"/>
      <c r="BZ530" s="5"/>
      <c r="CB530" s="40"/>
      <c r="CC530" s="5"/>
      <c r="CE530" s="40"/>
      <c r="CF530" s="5"/>
      <c r="CH530" s="40"/>
      <c r="CI530" s="5"/>
      <c r="CK530" s="40"/>
      <c r="CL530" s="5"/>
      <c r="CN530" s="40"/>
      <c r="CO530" s="5"/>
      <c r="CQ530" s="40"/>
      <c r="CR530" s="5"/>
    </row>
    <row r="531">
      <c r="AL531" s="40"/>
      <c r="AM531" s="5"/>
      <c r="AO531" s="40"/>
      <c r="AP531" s="5"/>
      <c r="AR531" s="40"/>
      <c r="AS531" s="5"/>
      <c r="AU531" s="40"/>
      <c r="AV531" s="5"/>
      <c r="AX531" s="40"/>
      <c r="AY531" s="5"/>
      <c r="BA531" s="40"/>
      <c r="BB531" s="5"/>
      <c r="BD531" s="40"/>
      <c r="BE531" s="5"/>
      <c r="BG531" s="40"/>
      <c r="BH531" s="5"/>
      <c r="BJ531" s="40"/>
      <c r="BK531" s="5"/>
      <c r="BM531" s="40"/>
      <c r="BN531" s="5"/>
      <c r="BP531" s="40"/>
      <c r="BQ531" s="5"/>
      <c r="BS531" s="40"/>
      <c r="BT531" s="5"/>
      <c r="BV531" s="40"/>
      <c r="BW531" s="5"/>
      <c r="BY531" s="40"/>
      <c r="BZ531" s="5"/>
      <c r="CB531" s="40"/>
      <c r="CC531" s="5"/>
      <c r="CE531" s="40"/>
      <c r="CF531" s="5"/>
      <c r="CH531" s="40"/>
      <c r="CI531" s="5"/>
      <c r="CK531" s="40"/>
      <c r="CL531" s="5"/>
      <c r="CN531" s="40"/>
      <c r="CO531" s="5"/>
      <c r="CQ531" s="40"/>
      <c r="CR531" s="5"/>
    </row>
    <row r="532">
      <c r="AL532" s="40"/>
      <c r="AM532" s="5"/>
      <c r="AO532" s="40"/>
      <c r="AP532" s="5"/>
      <c r="AR532" s="40"/>
      <c r="AS532" s="5"/>
      <c r="AU532" s="40"/>
      <c r="AV532" s="5"/>
      <c r="AX532" s="40"/>
      <c r="AY532" s="5"/>
      <c r="BA532" s="40"/>
      <c r="BB532" s="5"/>
      <c r="BD532" s="40"/>
      <c r="BE532" s="5"/>
      <c r="BG532" s="40"/>
      <c r="BH532" s="5"/>
      <c r="BJ532" s="40"/>
      <c r="BK532" s="5"/>
      <c r="BM532" s="40"/>
      <c r="BN532" s="5"/>
      <c r="BP532" s="40"/>
      <c r="BQ532" s="5"/>
      <c r="BS532" s="40"/>
      <c r="BT532" s="5"/>
      <c r="BV532" s="40"/>
      <c r="BW532" s="5"/>
      <c r="BY532" s="40"/>
      <c r="BZ532" s="5"/>
      <c r="CB532" s="40"/>
      <c r="CC532" s="5"/>
      <c r="CE532" s="40"/>
      <c r="CF532" s="5"/>
      <c r="CH532" s="40"/>
      <c r="CI532" s="5"/>
      <c r="CK532" s="40"/>
      <c r="CL532" s="5"/>
      <c r="CN532" s="40"/>
      <c r="CO532" s="5"/>
      <c r="CQ532" s="40"/>
      <c r="CR532" s="5"/>
    </row>
    <row r="533">
      <c r="AL533" s="40"/>
      <c r="AM533" s="5"/>
      <c r="AO533" s="40"/>
      <c r="AP533" s="5"/>
      <c r="AR533" s="40"/>
      <c r="AS533" s="5"/>
      <c r="AU533" s="40"/>
      <c r="AV533" s="5"/>
      <c r="AX533" s="40"/>
      <c r="AY533" s="5"/>
      <c r="BA533" s="40"/>
      <c r="BB533" s="5"/>
      <c r="BD533" s="40"/>
      <c r="BE533" s="5"/>
      <c r="BG533" s="40"/>
      <c r="BH533" s="5"/>
      <c r="BJ533" s="40"/>
      <c r="BK533" s="5"/>
      <c r="BM533" s="40"/>
      <c r="BN533" s="5"/>
      <c r="BP533" s="40"/>
      <c r="BQ533" s="5"/>
      <c r="BS533" s="40"/>
      <c r="BT533" s="5"/>
      <c r="BV533" s="40"/>
      <c r="BW533" s="5"/>
      <c r="BY533" s="40"/>
      <c r="BZ533" s="5"/>
      <c r="CB533" s="40"/>
      <c r="CC533" s="5"/>
      <c r="CE533" s="40"/>
      <c r="CF533" s="5"/>
      <c r="CH533" s="40"/>
      <c r="CI533" s="5"/>
      <c r="CK533" s="40"/>
      <c r="CL533" s="5"/>
      <c r="CN533" s="40"/>
      <c r="CO533" s="5"/>
      <c r="CQ533" s="40"/>
      <c r="CR533" s="5"/>
    </row>
    <row r="534">
      <c r="AL534" s="40"/>
      <c r="AM534" s="5"/>
      <c r="AO534" s="40"/>
      <c r="AP534" s="5"/>
      <c r="AR534" s="40"/>
      <c r="AS534" s="5"/>
      <c r="AU534" s="40"/>
      <c r="AV534" s="5"/>
      <c r="AX534" s="40"/>
      <c r="AY534" s="5"/>
      <c r="BA534" s="40"/>
      <c r="BB534" s="5"/>
      <c r="BD534" s="40"/>
      <c r="BE534" s="5"/>
      <c r="BG534" s="40"/>
      <c r="BH534" s="5"/>
      <c r="BJ534" s="40"/>
      <c r="BK534" s="5"/>
      <c r="BM534" s="40"/>
      <c r="BN534" s="5"/>
      <c r="BP534" s="40"/>
      <c r="BQ534" s="5"/>
      <c r="BS534" s="40"/>
      <c r="BT534" s="5"/>
      <c r="BV534" s="40"/>
      <c r="BW534" s="5"/>
      <c r="BY534" s="40"/>
      <c r="BZ534" s="5"/>
      <c r="CB534" s="40"/>
      <c r="CC534" s="5"/>
      <c r="CE534" s="40"/>
      <c r="CF534" s="5"/>
      <c r="CH534" s="40"/>
      <c r="CI534" s="5"/>
      <c r="CK534" s="40"/>
      <c r="CL534" s="5"/>
      <c r="CN534" s="40"/>
      <c r="CO534" s="5"/>
      <c r="CQ534" s="40"/>
      <c r="CR534" s="5"/>
    </row>
    <row r="535">
      <c r="AL535" s="40"/>
      <c r="AM535" s="5"/>
      <c r="AO535" s="40"/>
      <c r="AP535" s="5"/>
      <c r="AR535" s="40"/>
      <c r="AS535" s="5"/>
      <c r="AU535" s="40"/>
      <c r="AV535" s="5"/>
      <c r="AX535" s="40"/>
      <c r="AY535" s="5"/>
      <c r="BA535" s="40"/>
      <c r="BB535" s="5"/>
      <c r="BD535" s="40"/>
      <c r="BE535" s="5"/>
      <c r="BG535" s="40"/>
      <c r="BH535" s="5"/>
      <c r="BJ535" s="40"/>
      <c r="BK535" s="5"/>
      <c r="BM535" s="40"/>
      <c r="BN535" s="5"/>
      <c r="BP535" s="40"/>
      <c r="BQ535" s="5"/>
      <c r="BS535" s="40"/>
      <c r="BT535" s="5"/>
      <c r="BV535" s="40"/>
      <c r="BW535" s="5"/>
      <c r="BY535" s="40"/>
      <c r="BZ535" s="5"/>
      <c r="CB535" s="40"/>
      <c r="CC535" s="5"/>
      <c r="CE535" s="40"/>
      <c r="CF535" s="5"/>
      <c r="CH535" s="40"/>
      <c r="CI535" s="5"/>
      <c r="CK535" s="40"/>
      <c r="CL535" s="5"/>
      <c r="CN535" s="40"/>
      <c r="CO535" s="5"/>
      <c r="CQ535" s="40"/>
      <c r="CR535" s="5"/>
    </row>
    <row r="536">
      <c r="AL536" s="40"/>
      <c r="AM536" s="5"/>
      <c r="AO536" s="40"/>
      <c r="AP536" s="5"/>
      <c r="AR536" s="40"/>
      <c r="AS536" s="5"/>
      <c r="AU536" s="40"/>
      <c r="AV536" s="5"/>
      <c r="AX536" s="40"/>
      <c r="AY536" s="5"/>
      <c r="BA536" s="40"/>
      <c r="BB536" s="5"/>
      <c r="BD536" s="40"/>
      <c r="BE536" s="5"/>
      <c r="BG536" s="40"/>
      <c r="BH536" s="5"/>
      <c r="BJ536" s="40"/>
      <c r="BK536" s="5"/>
      <c r="BM536" s="40"/>
      <c r="BN536" s="5"/>
      <c r="BP536" s="40"/>
      <c r="BQ536" s="5"/>
      <c r="BS536" s="40"/>
      <c r="BT536" s="5"/>
      <c r="BV536" s="40"/>
      <c r="BW536" s="5"/>
      <c r="BY536" s="40"/>
      <c r="BZ536" s="5"/>
      <c r="CB536" s="40"/>
      <c r="CC536" s="5"/>
      <c r="CE536" s="40"/>
      <c r="CF536" s="5"/>
      <c r="CH536" s="40"/>
      <c r="CI536" s="5"/>
      <c r="CK536" s="40"/>
      <c r="CL536" s="5"/>
      <c r="CN536" s="40"/>
      <c r="CO536" s="5"/>
      <c r="CQ536" s="40"/>
      <c r="CR536" s="5"/>
    </row>
    <row r="537">
      <c r="AL537" s="40"/>
      <c r="AM537" s="5"/>
      <c r="AO537" s="40"/>
      <c r="AP537" s="5"/>
      <c r="AR537" s="40"/>
      <c r="AS537" s="5"/>
      <c r="AU537" s="40"/>
      <c r="AV537" s="5"/>
      <c r="AX537" s="40"/>
      <c r="AY537" s="5"/>
      <c r="BA537" s="40"/>
      <c r="BB537" s="5"/>
      <c r="BD537" s="40"/>
      <c r="BE537" s="5"/>
      <c r="BG537" s="40"/>
      <c r="BH537" s="5"/>
      <c r="BJ537" s="40"/>
      <c r="BK537" s="5"/>
      <c r="BM537" s="40"/>
      <c r="BN537" s="5"/>
      <c r="BP537" s="40"/>
      <c r="BQ537" s="5"/>
      <c r="BS537" s="40"/>
      <c r="BT537" s="5"/>
      <c r="BV537" s="40"/>
      <c r="BW537" s="5"/>
      <c r="BY537" s="40"/>
      <c r="BZ537" s="5"/>
      <c r="CB537" s="40"/>
      <c r="CC537" s="5"/>
      <c r="CE537" s="40"/>
      <c r="CF537" s="5"/>
      <c r="CH537" s="40"/>
      <c r="CI537" s="5"/>
      <c r="CK537" s="40"/>
      <c r="CL537" s="5"/>
      <c r="CN537" s="40"/>
      <c r="CO537" s="5"/>
      <c r="CQ537" s="40"/>
      <c r="CR537" s="5"/>
    </row>
    <row r="538">
      <c r="AL538" s="40"/>
      <c r="AM538" s="5"/>
      <c r="AO538" s="40"/>
      <c r="AP538" s="5"/>
      <c r="AR538" s="40"/>
      <c r="AS538" s="5"/>
      <c r="AU538" s="40"/>
      <c r="AV538" s="5"/>
      <c r="AX538" s="40"/>
      <c r="AY538" s="5"/>
      <c r="BA538" s="40"/>
      <c r="BB538" s="5"/>
      <c r="BD538" s="40"/>
      <c r="BE538" s="5"/>
      <c r="BG538" s="40"/>
      <c r="BH538" s="5"/>
      <c r="BJ538" s="40"/>
      <c r="BK538" s="5"/>
      <c r="BM538" s="40"/>
      <c r="BN538" s="5"/>
      <c r="BP538" s="40"/>
      <c r="BQ538" s="5"/>
      <c r="BS538" s="40"/>
      <c r="BT538" s="5"/>
      <c r="BV538" s="40"/>
      <c r="BW538" s="5"/>
      <c r="BY538" s="40"/>
      <c r="BZ538" s="5"/>
      <c r="CB538" s="40"/>
      <c r="CC538" s="5"/>
      <c r="CE538" s="40"/>
      <c r="CF538" s="5"/>
      <c r="CH538" s="40"/>
      <c r="CI538" s="5"/>
      <c r="CK538" s="40"/>
      <c r="CL538" s="5"/>
      <c r="CN538" s="40"/>
      <c r="CO538" s="5"/>
      <c r="CQ538" s="40"/>
      <c r="CR538" s="5"/>
    </row>
    <row r="539">
      <c r="AL539" s="40"/>
      <c r="AM539" s="5"/>
      <c r="AO539" s="40"/>
      <c r="AP539" s="5"/>
      <c r="AR539" s="40"/>
      <c r="AS539" s="5"/>
      <c r="AU539" s="40"/>
      <c r="AV539" s="5"/>
      <c r="AX539" s="40"/>
      <c r="AY539" s="5"/>
      <c r="BA539" s="40"/>
      <c r="BB539" s="5"/>
      <c r="BD539" s="40"/>
      <c r="BE539" s="5"/>
      <c r="BG539" s="40"/>
      <c r="BH539" s="5"/>
      <c r="BJ539" s="40"/>
      <c r="BK539" s="5"/>
      <c r="BM539" s="40"/>
      <c r="BN539" s="5"/>
      <c r="BP539" s="40"/>
      <c r="BQ539" s="5"/>
      <c r="BS539" s="40"/>
      <c r="BT539" s="5"/>
      <c r="BV539" s="40"/>
      <c r="BW539" s="5"/>
      <c r="BY539" s="40"/>
      <c r="BZ539" s="5"/>
      <c r="CB539" s="40"/>
      <c r="CC539" s="5"/>
      <c r="CE539" s="40"/>
      <c r="CF539" s="5"/>
      <c r="CH539" s="40"/>
      <c r="CI539" s="5"/>
      <c r="CK539" s="40"/>
      <c r="CL539" s="5"/>
      <c r="CN539" s="40"/>
      <c r="CO539" s="5"/>
      <c r="CQ539" s="40"/>
      <c r="CR539" s="5"/>
    </row>
    <row r="540">
      <c r="AL540" s="40"/>
      <c r="AM540" s="5"/>
      <c r="AO540" s="40"/>
      <c r="AP540" s="5"/>
      <c r="AR540" s="40"/>
      <c r="AS540" s="5"/>
      <c r="AU540" s="40"/>
      <c r="AV540" s="5"/>
      <c r="AX540" s="40"/>
      <c r="AY540" s="5"/>
      <c r="BA540" s="40"/>
      <c r="BB540" s="5"/>
      <c r="BD540" s="40"/>
      <c r="BE540" s="5"/>
      <c r="BG540" s="40"/>
      <c r="BH540" s="5"/>
      <c r="BJ540" s="40"/>
      <c r="BK540" s="5"/>
      <c r="BM540" s="40"/>
      <c r="BN540" s="5"/>
      <c r="BP540" s="40"/>
      <c r="BQ540" s="5"/>
      <c r="BS540" s="40"/>
      <c r="BT540" s="5"/>
      <c r="BV540" s="40"/>
      <c r="BW540" s="5"/>
      <c r="BY540" s="40"/>
      <c r="BZ540" s="5"/>
      <c r="CB540" s="40"/>
      <c r="CC540" s="5"/>
      <c r="CE540" s="40"/>
      <c r="CF540" s="5"/>
      <c r="CH540" s="40"/>
      <c r="CI540" s="5"/>
      <c r="CK540" s="40"/>
      <c r="CL540" s="5"/>
      <c r="CN540" s="40"/>
      <c r="CO540" s="5"/>
      <c r="CQ540" s="40"/>
      <c r="CR540" s="5"/>
    </row>
    <row r="541">
      <c r="AL541" s="40"/>
      <c r="AM541" s="5"/>
      <c r="AO541" s="40"/>
      <c r="AP541" s="5"/>
      <c r="AR541" s="40"/>
      <c r="AS541" s="5"/>
      <c r="AU541" s="40"/>
      <c r="AV541" s="5"/>
      <c r="AX541" s="40"/>
      <c r="AY541" s="5"/>
      <c r="BA541" s="40"/>
      <c r="BB541" s="5"/>
      <c r="BD541" s="40"/>
      <c r="BE541" s="5"/>
      <c r="BG541" s="40"/>
      <c r="BH541" s="5"/>
      <c r="BJ541" s="40"/>
      <c r="BK541" s="5"/>
      <c r="BM541" s="40"/>
      <c r="BN541" s="5"/>
      <c r="BP541" s="40"/>
      <c r="BQ541" s="5"/>
      <c r="BS541" s="40"/>
      <c r="BT541" s="5"/>
      <c r="BV541" s="40"/>
      <c r="BW541" s="5"/>
      <c r="BY541" s="40"/>
      <c r="BZ541" s="5"/>
      <c r="CB541" s="40"/>
      <c r="CC541" s="5"/>
      <c r="CE541" s="40"/>
      <c r="CF541" s="5"/>
      <c r="CH541" s="40"/>
      <c r="CI541" s="5"/>
      <c r="CK541" s="40"/>
      <c r="CL541" s="5"/>
      <c r="CN541" s="40"/>
      <c r="CO541" s="5"/>
      <c r="CQ541" s="40"/>
      <c r="CR541" s="5"/>
    </row>
    <row r="542">
      <c r="AL542" s="40"/>
      <c r="AM542" s="5"/>
      <c r="AO542" s="40"/>
      <c r="AP542" s="5"/>
      <c r="AR542" s="40"/>
      <c r="AS542" s="5"/>
      <c r="AU542" s="40"/>
      <c r="AV542" s="5"/>
      <c r="AX542" s="40"/>
      <c r="AY542" s="5"/>
      <c r="BA542" s="40"/>
      <c r="BB542" s="5"/>
      <c r="BD542" s="40"/>
      <c r="BE542" s="5"/>
      <c r="BG542" s="40"/>
      <c r="BH542" s="5"/>
      <c r="BJ542" s="40"/>
      <c r="BK542" s="5"/>
      <c r="BM542" s="40"/>
      <c r="BN542" s="5"/>
      <c r="BP542" s="40"/>
      <c r="BQ542" s="5"/>
      <c r="BS542" s="40"/>
      <c r="BT542" s="5"/>
      <c r="BV542" s="40"/>
      <c r="BW542" s="5"/>
      <c r="BY542" s="40"/>
      <c r="BZ542" s="5"/>
      <c r="CB542" s="40"/>
      <c r="CC542" s="5"/>
      <c r="CE542" s="40"/>
      <c r="CF542" s="5"/>
      <c r="CH542" s="40"/>
      <c r="CI542" s="5"/>
      <c r="CK542" s="40"/>
      <c r="CL542" s="5"/>
      <c r="CN542" s="40"/>
      <c r="CO542" s="5"/>
      <c r="CQ542" s="40"/>
      <c r="CR542" s="5"/>
    </row>
    <row r="543">
      <c r="AL543" s="40"/>
      <c r="AM543" s="5"/>
      <c r="AO543" s="40"/>
      <c r="AP543" s="5"/>
      <c r="AR543" s="40"/>
      <c r="AS543" s="5"/>
      <c r="AU543" s="40"/>
      <c r="AV543" s="5"/>
      <c r="AX543" s="40"/>
      <c r="AY543" s="5"/>
      <c r="BA543" s="40"/>
      <c r="BB543" s="5"/>
      <c r="BD543" s="40"/>
      <c r="BE543" s="5"/>
      <c r="BG543" s="40"/>
      <c r="BH543" s="5"/>
      <c r="BJ543" s="40"/>
      <c r="BK543" s="5"/>
      <c r="BM543" s="40"/>
      <c r="BN543" s="5"/>
      <c r="BP543" s="40"/>
      <c r="BQ543" s="5"/>
      <c r="BS543" s="40"/>
      <c r="BT543" s="5"/>
      <c r="BV543" s="40"/>
      <c r="BW543" s="5"/>
      <c r="BY543" s="40"/>
      <c r="BZ543" s="5"/>
      <c r="CB543" s="40"/>
      <c r="CC543" s="5"/>
      <c r="CE543" s="40"/>
      <c r="CF543" s="5"/>
      <c r="CH543" s="40"/>
      <c r="CI543" s="5"/>
      <c r="CK543" s="40"/>
      <c r="CL543" s="5"/>
      <c r="CN543" s="40"/>
      <c r="CO543" s="5"/>
      <c r="CQ543" s="40"/>
      <c r="CR543" s="5"/>
    </row>
    <row r="544">
      <c r="AL544" s="40"/>
      <c r="AM544" s="5"/>
      <c r="AO544" s="40"/>
      <c r="AP544" s="5"/>
      <c r="AR544" s="40"/>
      <c r="AS544" s="5"/>
      <c r="AU544" s="40"/>
      <c r="AV544" s="5"/>
      <c r="AX544" s="40"/>
      <c r="AY544" s="5"/>
      <c r="BA544" s="40"/>
      <c r="BB544" s="5"/>
      <c r="BD544" s="40"/>
      <c r="BE544" s="5"/>
      <c r="BG544" s="40"/>
      <c r="BH544" s="5"/>
      <c r="BJ544" s="40"/>
      <c r="BK544" s="5"/>
      <c r="BM544" s="40"/>
      <c r="BN544" s="5"/>
      <c r="BP544" s="40"/>
      <c r="BQ544" s="5"/>
      <c r="BS544" s="40"/>
      <c r="BT544" s="5"/>
      <c r="BV544" s="40"/>
      <c r="BW544" s="5"/>
      <c r="BY544" s="40"/>
      <c r="BZ544" s="5"/>
      <c r="CB544" s="40"/>
      <c r="CC544" s="5"/>
      <c r="CE544" s="40"/>
      <c r="CF544" s="5"/>
      <c r="CH544" s="40"/>
      <c r="CI544" s="5"/>
      <c r="CK544" s="40"/>
      <c r="CL544" s="5"/>
      <c r="CN544" s="40"/>
      <c r="CO544" s="5"/>
      <c r="CQ544" s="40"/>
      <c r="CR544" s="5"/>
    </row>
    <row r="545">
      <c r="AL545" s="40"/>
      <c r="AM545" s="5"/>
      <c r="AO545" s="40"/>
      <c r="AP545" s="5"/>
      <c r="AR545" s="40"/>
      <c r="AS545" s="5"/>
      <c r="AU545" s="40"/>
      <c r="AV545" s="5"/>
      <c r="AX545" s="40"/>
      <c r="AY545" s="5"/>
      <c r="BA545" s="40"/>
      <c r="BB545" s="5"/>
      <c r="BD545" s="40"/>
      <c r="BE545" s="5"/>
      <c r="BG545" s="40"/>
      <c r="BH545" s="5"/>
      <c r="BJ545" s="40"/>
      <c r="BK545" s="5"/>
      <c r="BM545" s="40"/>
      <c r="BN545" s="5"/>
      <c r="BP545" s="40"/>
      <c r="BQ545" s="5"/>
      <c r="BS545" s="40"/>
      <c r="BT545" s="5"/>
      <c r="BV545" s="40"/>
      <c r="BW545" s="5"/>
      <c r="BY545" s="40"/>
      <c r="BZ545" s="5"/>
      <c r="CB545" s="40"/>
      <c r="CC545" s="5"/>
      <c r="CE545" s="40"/>
      <c r="CF545" s="5"/>
      <c r="CH545" s="40"/>
      <c r="CI545" s="5"/>
      <c r="CK545" s="40"/>
      <c r="CL545" s="5"/>
      <c r="CN545" s="40"/>
      <c r="CO545" s="5"/>
      <c r="CQ545" s="40"/>
      <c r="CR545" s="5"/>
    </row>
    <row r="546">
      <c r="AL546" s="40"/>
      <c r="AM546" s="5"/>
      <c r="AO546" s="40"/>
      <c r="AP546" s="5"/>
      <c r="AR546" s="40"/>
      <c r="AS546" s="5"/>
      <c r="AU546" s="40"/>
      <c r="AV546" s="5"/>
      <c r="AX546" s="40"/>
      <c r="AY546" s="5"/>
      <c r="BA546" s="40"/>
      <c r="BB546" s="5"/>
      <c r="BD546" s="40"/>
      <c r="BE546" s="5"/>
      <c r="BG546" s="40"/>
      <c r="BH546" s="5"/>
      <c r="BJ546" s="40"/>
      <c r="BK546" s="5"/>
      <c r="BM546" s="40"/>
      <c r="BN546" s="5"/>
      <c r="BP546" s="40"/>
      <c r="BQ546" s="5"/>
      <c r="BS546" s="40"/>
      <c r="BT546" s="5"/>
      <c r="BV546" s="40"/>
      <c r="BW546" s="5"/>
      <c r="BY546" s="40"/>
      <c r="BZ546" s="5"/>
      <c r="CB546" s="40"/>
      <c r="CC546" s="5"/>
      <c r="CE546" s="40"/>
      <c r="CF546" s="5"/>
      <c r="CH546" s="40"/>
      <c r="CI546" s="5"/>
      <c r="CK546" s="40"/>
      <c r="CL546" s="5"/>
      <c r="CN546" s="40"/>
      <c r="CO546" s="5"/>
      <c r="CQ546" s="40"/>
      <c r="CR546" s="5"/>
    </row>
    <row r="547">
      <c r="AL547" s="40"/>
      <c r="AM547" s="5"/>
      <c r="AO547" s="40"/>
      <c r="AP547" s="5"/>
      <c r="AR547" s="40"/>
      <c r="AS547" s="5"/>
      <c r="AU547" s="40"/>
      <c r="AV547" s="5"/>
      <c r="AX547" s="40"/>
      <c r="AY547" s="5"/>
      <c r="BA547" s="40"/>
      <c r="BB547" s="5"/>
      <c r="BD547" s="40"/>
      <c r="BE547" s="5"/>
      <c r="BG547" s="40"/>
      <c r="BH547" s="5"/>
      <c r="BJ547" s="40"/>
      <c r="BK547" s="5"/>
      <c r="BM547" s="40"/>
      <c r="BN547" s="5"/>
      <c r="BP547" s="40"/>
      <c r="BQ547" s="5"/>
      <c r="BS547" s="40"/>
      <c r="BT547" s="5"/>
      <c r="BV547" s="40"/>
      <c r="BW547" s="5"/>
      <c r="BY547" s="40"/>
      <c r="BZ547" s="5"/>
      <c r="CB547" s="40"/>
      <c r="CC547" s="5"/>
      <c r="CE547" s="40"/>
      <c r="CF547" s="5"/>
      <c r="CH547" s="40"/>
      <c r="CI547" s="5"/>
      <c r="CK547" s="40"/>
      <c r="CL547" s="5"/>
      <c r="CN547" s="40"/>
      <c r="CO547" s="5"/>
      <c r="CQ547" s="40"/>
      <c r="CR547" s="5"/>
    </row>
    <row r="548">
      <c r="AL548" s="40"/>
      <c r="AM548" s="5"/>
      <c r="AO548" s="40"/>
      <c r="AP548" s="5"/>
      <c r="AR548" s="40"/>
      <c r="AS548" s="5"/>
      <c r="AU548" s="40"/>
      <c r="AV548" s="5"/>
      <c r="AX548" s="40"/>
      <c r="AY548" s="5"/>
      <c r="BA548" s="40"/>
      <c r="BB548" s="5"/>
      <c r="BD548" s="40"/>
      <c r="BE548" s="5"/>
      <c r="BG548" s="40"/>
      <c r="BH548" s="5"/>
      <c r="BJ548" s="40"/>
      <c r="BK548" s="5"/>
      <c r="BM548" s="40"/>
      <c r="BN548" s="5"/>
      <c r="BP548" s="40"/>
      <c r="BQ548" s="5"/>
      <c r="BS548" s="40"/>
      <c r="BT548" s="5"/>
      <c r="BV548" s="40"/>
      <c r="BW548" s="5"/>
      <c r="BY548" s="40"/>
      <c r="BZ548" s="5"/>
      <c r="CB548" s="40"/>
      <c r="CC548" s="5"/>
      <c r="CE548" s="40"/>
      <c r="CF548" s="5"/>
      <c r="CH548" s="40"/>
      <c r="CI548" s="5"/>
      <c r="CK548" s="40"/>
      <c r="CL548" s="5"/>
      <c r="CN548" s="40"/>
      <c r="CO548" s="5"/>
      <c r="CQ548" s="40"/>
      <c r="CR548" s="5"/>
    </row>
    <row r="549">
      <c r="AL549" s="40"/>
      <c r="AM549" s="5"/>
      <c r="AO549" s="40"/>
      <c r="AP549" s="5"/>
      <c r="AR549" s="40"/>
      <c r="AS549" s="5"/>
      <c r="AU549" s="40"/>
      <c r="AV549" s="5"/>
      <c r="AX549" s="40"/>
      <c r="AY549" s="5"/>
      <c r="BA549" s="40"/>
      <c r="BB549" s="5"/>
      <c r="BD549" s="40"/>
      <c r="BE549" s="5"/>
      <c r="BG549" s="40"/>
      <c r="BH549" s="5"/>
      <c r="BJ549" s="40"/>
      <c r="BK549" s="5"/>
      <c r="BM549" s="40"/>
      <c r="BN549" s="5"/>
      <c r="BP549" s="40"/>
      <c r="BQ549" s="5"/>
      <c r="BS549" s="40"/>
      <c r="BT549" s="5"/>
      <c r="BV549" s="40"/>
      <c r="BW549" s="5"/>
      <c r="BY549" s="40"/>
      <c r="BZ549" s="5"/>
      <c r="CB549" s="40"/>
      <c r="CC549" s="5"/>
      <c r="CE549" s="40"/>
      <c r="CF549" s="5"/>
      <c r="CH549" s="40"/>
      <c r="CI549" s="5"/>
      <c r="CK549" s="40"/>
      <c r="CL549" s="5"/>
      <c r="CN549" s="40"/>
      <c r="CO549" s="5"/>
      <c r="CQ549" s="40"/>
      <c r="CR549" s="5"/>
    </row>
    <row r="550">
      <c r="AL550" s="40"/>
      <c r="AM550" s="5"/>
      <c r="AO550" s="40"/>
      <c r="AP550" s="5"/>
      <c r="AR550" s="40"/>
      <c r="AS550" s="5"/>
      <c r="AU550" s="40"/>
      <c r="AV550" s="5"/>
      <c r="AX550" s="40"/>
      <c r="AY550" s="5"/>
      <c r="BA550" s="40"/>
      <c r="BB550" s="5"/>
      <c r="BD550" s="40"/>
      <c r="BE550" s="5"/>
      <c r="BG550" s="40"/>
      <c r="BH550" s="5"/>
      <c r="BJ550" s="40"/>
      <c r="BK550" s="5"/>
      <c r="BM550" s="40"/>
      <c r="BN550" s="5"/>
      <c r="BP550" s="40"/>
      <c r="BQ550" s="5"/>
      <c r="BS550" s="40"/>
      <c r="BT550" s="5"/>
      <c r="BV550" s="40"/>
      <c r="BW550" s="5"/>
      <c r="BY550" s="40"/>
      <c r="BZ550" s="5"/>
      <c r="CB550" s="40"/>
      <c r="CC550" s="5"/>
      <c r="CE550" s="40"/>
      <c r="CF550" s="5"/>
      <c r="CH550" s="40"/>
      <c r="CI550" s="5"/>
      <c r="CK550" s="40"/>
      <c r="CL550" s="5"/>
      <c r="CN550" s="40"/>
      <c r="CO550" s="5"/>
      <c r="CQ550" s="40"/>
      <c r="CR550" s="5"/>
    </row>
    <row r="551">
      <c r="AL551" s="40"/>
      <c r="AM551" s="5"/>
      <c r="AO551" s="40"/>
      <c r="AP551" s="5"/>
      <c r="AR551" s="40"/>
      <c r="AS551" s="5"/>
      <c r="AU551" s="40"/>
      <c r="AV551" s="5"/>
      <c r="AX551" s="40"/>
      <c r="AY551" s="5"/>
      <c r="BA551" s="40"/>
      <c r="BB551" s="5"/>
      <c r="BD551" s="40"/>
      <c r="BE551" s="5"/>
      <c r="BG551" s="40"/>
      <c r="BH551" s="5"/>
      <c r="BJ551" s="40"/>
      <c r="BK551" s="5"/>
      <c r="BM551" s="40"/>
      <c r="BN551" s="5"/>
      <c r="BP551" s="40"/>
      <c r="BQ551" s="5"/>
      <c r="BS551" s="40"/>
      <c r="BT551" s="5"/>
      <c r="BV551" s="40"/>
      <c r="BW551" s="5"/>
      <c r="BY551" s="40"/>
      <c r="BZ551" s="5"/>
      <c r="CB551" s="40"/>
      <c r="CC551" s="5"/>
      <c r="CE551" s="40"/>
      <c r="CF551" s="5"/>
      <c r="CH551" s="40"/>
      <c r="CI551" s="5"/>
      <c r="CK551" s="40"/>
      <c r="CL551" s="5"/>
      <c r="CN551" s="40"/>
      <c r="CO551" s="5"/>
      <c r="CQ551" s="40"/>
      <c r="CR551" s="5"/>
    </row>
    <row r="552">
      <c r="AL552" s="40"/>
      <c r="AM552" s="5"/>
      <c r="AO552" s="40"/>
      <c r="AP552" s="5"/>
      <c r="AR552" s="40"/>
      <c r="AS552" s="5"/>
      <c r="AU552" s="40"/>
      <c r="AV552" s="5"/>
      <c r="AX552" s="40"/>
      <c r="AY552" s="5"/>
      <c r="BA552" s="40"/>
      <c r="BB552" s="5"/>
      <c r="BD552" s="40"/>
      <c r="BE552" s="5"/>
      <c r="BG552" s="40"/>
      <c r="BH552" s="5"/>
      <c r="BJ552" s="40"/>
      <c r="BK552" s="5"/>
      <c r="BM552" s="40"/>
      <c r="BN552" s="5"/>
      <c r="BP552" s="40"/>
      <c r="BQ552" s="5"/>
      <c r="BS552" s="40"/>
      <c r="BT552" s="5"/>
      <c r="BV552" s="40"/>
      <c r="BW552" s="5"/>
      <c r="BY552" s="40"/>
      <c r="BZ552" s="5"/>
      <c r="CB552" s="40"/>
      <c r="CC552" s="5"/>
      <c r="CE552" s="40"/>
      <c r="CF552" s="5"/>
      <c r="CH552" s="40"/>
      <c r="CI552" s="5"/>
      <c r="CK552" s="40"/>
      <c r="CL552" s="5"/>
      <c r="CN552" s="40"/>
      <c r="CO552" s="5"/>
      <c r="CQ552" s="40"/>
      <c r="CR552" s="5"/>
    </row>
    <row r="553">
      <c r="AL553" s="40"/>
      <c r="AM553" s="5"/>
      <c r="AO553" s="40"/>
      <c r="AP553" s="5"/>
      <c r="AR553" s="40"/>
      <c r="AS553" s="5"/>
      <c r="AU553" s="40"/>
      <c r="AV553" s="5"/>
      <c r="AX553" s="40"/>
      <c r="AY553" s="5"/>
      <c r="BA553" s="40"/>
      <c r="BB553" s="5"/>
      <c r="BD553" s="40"/>
      <c r="BE553" s="5"/>
      <c r="BG553" s="40"/>
      <c r="BH553" s="5"/>
      <c r="BJ553" s="40"/>
      <c r="BK553" s="5"/>
      <c r="BM553" s="40"/>
      <c r="BN553" s="5"/>
      <c r="BP553" s="40"/>
      <c r="BQ553" s="5"/>
      <c r="BS553" s="40"/>
      <c r="BT553" s="5"/>
      <c r="BV553" s="40"/>
      <c r="BW553" s="5"/>
      <c r="BY553" s="40"/>
      <c r="BZ553" s="5"/>
      <c r="CB553" s="40"/>
      <c r="CC553" s="5"/>
      <c r="CE553" s="40"/>
      <c r="CF553" s="5"/>
      <c r="CH553" s="40"/>
      <c r="CI553" s="5"/>
      <c r="CK553" s="40"/>
      <c r="CL553" s="5"/>
      <c r="CN553" s="40"/>
      <c r="CO553" s="5"/>
      <c r="CQ553" s="40"/>
      <c r="CR553" s="5"/>
    </row>
    <row r="554">
      <c r="AL554" s="40"/>
      <c r="AM554" s="5"/>
      <c r="AO554" s="40"/>
      <c r="AP554" s="5"/>
      <c r="AR554" s="40"/>
      <c r="AS554" s="5"/>
      <c r="AU554" s="40"/>
      <c r="AV554" s="5"/>
      <c r="AX554" s="40"/>
      <c r="AY554" s="5"/>
      <c r="BA554" s="40"/>
      <c r="BB554" s="5"/>
      <c r="BD554" s="40"/>
      <c r="BE554" s="5"/>
      <c r="BG554" s="40"/>
      <c r="BH554" s="5"/>
      <c r="BJ554" s="40"/>
      <c r="BK554" s="5"/>
      <c r="BM554" s="40"/>
      <c r="BN554" s="5"/>
      <c r="BP554" s="40"/>
      <c r="BQ554" s="5"/>
      <c r="BS554" s="40"/>
      <c r="BT554" s="5"/>
      <c r="BV554" s="40"/>
      <c r="BW554" s="5"/>
      <c r="BY554" s="40"/>
      <c r="BZ554" s="5"/>
      <c r="CB554" s="40"/>
      <c r="CC554" s="5"/>
      <c r="CE554" s="40"/>
      <c r="CF554" s="5"/>
      <c r="CH554" s="40"/>
      <c r="CI554" s="5"/>
      <c r="CK554" s="40"/>
      <c r="CL554" s="5"/>
      <c r="CN554" s="40"/>
      <c r="CO554" s="5"/>
      <c r="CQ554" s="40"/>
      <c r="CR554" s="5"/>
    </row>
    <row r="555">
      <c r="AL555" s="40"/>
      <c r="AM555" s="5"/>
      <c r="AO555" s="40"/>
      <c r="AP555" s="5"/>
      <c r="AR555" s="40"/>
      <c r="AS555" s="5"/>
      <c r="AU555" s="40"/>
      <c r="AV555" s="5"/>
      <c r="AX555" s="40"/>
      <c r="AY555" s="5"/>
      <c r="BA555" s="40"/>
      <c r="BB555" s="5"/>
      <c r="BD555" s="40"/>
      <c r="BE555" s="5"/>
      <c r="BG555" s="40"/>
      <c r="BH555" s="5"/>
      <c r="BJ555" s="40"/>
      <c r="BK555" s="5"/>
      <c r="BM555" s="40"/>
      <c r="BN555" s="5"/>
      <c r="BP555" s="40"/>
      <c r="BQ555" s="5"/>
      <c r="BS555" s="40"/>
      <c r="BT555" s="5"/>
      <c r="BV555" s="40"/>
      <c r="BW555" s="5"/>
      <c r="BY555" s="40"/>
      <c r="BZ555" s="5"/>
      <c r="CB555" s="40"/>
      <c r="CC555" s="5"/>
      <c r="CE555" s="40"/>
      <c r="CF555" s="5"/>
      <c r="CH555" s="40"/>
      <c r="CI555" s="5"/>
      <c r="CK555" s="40"/>
      <c r="CL555" s="5"/>
      <c r="CN555" s="40"/>
      <c r="CO555" s="5"/>
      <c r="CQ555" s="40"/>
      <c r="CR555" s="5"/>
    </row>
    <row r="556">
      <c r="AL556" s="40"/>
      <c r="AM556" s="5"/>
      <c r="AO556" s="40"/>
      <c r="AP556" s="5"/>
      <c r="AR556" s="40"/>
      <c r="AS556" s="5"/>
      <c r="AU556" s="40"/>
      <c r="AV556" s="5"/>
      <c r="AX556" s="40"/>
      <c r="AY556" s="5"/>
      <c r="BA556" s="40"/>
      <c r="BB556" s="5"/>
      <c r="BD556" s="40"/>
      <c r="BE556" s="5"/>
      <c r="BG556" s="40"/>
      <c r="BH556" s="5"/>
      <c r="BJ556" s="40"/>
      <c r="BK556" s="5"/>
      <c r="BM556" s="40"/>
      <c r="BN556" s="5"/>
      <c r="BP556" s="40"/>
      <c r="BQ556" s="5"/>
      <c r="BS556" s="40"/>
      <c r="BT556" s="5"/>
      <c r="BV556" s="40"/>
      <c r="BW556" s="5"/>
      <c r="BY556" s="40"/>
      <c r="BZ556" s="5"/>
      <c r="CB556" s="40"/>
      <c r="CC556" s="5"/>
      <c r="CE556" s="40"/>
      <c r="CF556" s="5"/>
      <c r="CH556" s="40"/>
      <c r="CI556" s="5"/>
      <c r="CK556" s="40"/>
      <c r="CL556" s="5"/>
      <c r="CN556" s="40"/>
      <c r="CO556" s="5"/>
      <c r="CQ556" s="40"/>
      <c r="CR556" s="5"/>
    </row>
    <row r="557">
      <c r="AL557" s="40"/>
      <c r="AM557" s="5"/>
      <c r="AO557" s="40"/>
      <c r="AP557" s="5"/>
      <c r="AR557" s="40"/>
      <c r="AS557" s="5"/>
      <c r="AU557" s="40"/>
      <c r="AV557" s="5"/>
      <c r="AX557" s="40"/>
      <c r="AY557" s="5"/>
      <c r="BA557" s="40"/>
      <c r="BB557" s="5"/>
      <c r="BD557" s="40"/>
      <c r="BE557" s="5"/>
      <c r="BG557" s="40"/>
      <c r="BH557" s="5"/>
      <c r="BJ557" s="40"/>
      <c r="BK557" s="5"/>
      <c r="BM557" s="40"/>
      <c r="BN557" s="5"/>
      <c r="BP557" s="40"/>
      <c r="BQ557" s="5"/>
      <c r="BS557" s="40"/>
      <c r="BT557" s="5"/>
      <c r="BV557" s="40"/>
      <c r="BW557" s="5"/>
      <c r="BY557" s="40"/>
      <c r="BZ557" s="5"/>
      <c r="CB557" s="40"/>
      <c r="CC557" s="5"/>
      <c r="CE557" s="40"/>
      <c r="CF557" s="5"/>
      <c r="CH557" s="40"/>
      <c r="CI557" s="5"/>
      <c r="CK557" s="40"/>
      <c r="CL557" s="5"/>
      <c r="CN557" s="40"/>
      <c r="CO557" s="5"/>
      <c r="CQ557" s="40"/>
      <c r="CR557" s="5"/>
    </row>
    <row r="558">
      <c r="AL558" s="40"/>
      <c r="AM558" s="5"/>
      <c r="AO558" s="40"/>
      <c r="AP558" s="5"/>
      <c r="AR558" s="40"/>
      <c r="AS558" s="5"/>
      <c r="AU558" s="40"/>
      <c r="AV558" s="5"/>
      <c r="AX558" s="40"/>
      <c r="AY558" s="5"/>
      <c r="BA558" s="40"/>
      <c r="BB558" s="5"/>
      <c r="BD558" s="40"/>
      <c r="BE558" s="5"/>
      <c r="BG558" s="40"/>
      <c r="BH558" s="5"/>
      <c r="BJ558" s="40"/>
      <c r="BK558" s="5"/>
      <c r="BM558" s="40"/>
      <c r="BN558" s="5"/>
      <c r="BP558" s="40"/>
      <c r="BQ558" s="5"/>
      <c r="BS558" s="40"/>
      <c r="BT558" s="5"/>
      <c r="BV558" s="40"/>
      <c r="BW558" s="5"/>
      <c r="BY558" s="40"/>
      <c r="BZ558" s="5"/>
      <c r="CB558" s="40"/>
      <c r="CC558" s="5"/>
      <c r="CE558" s="40"/>
      <c r="CF558" s="5"/>
      <c r="CH558" s="40"/>
      <c r="CI558" s="5"/>
      <c r="CK558" s="40"/>
      <c r="CL558" s="5"/>
      <c r="CN558" s="40"/>
      <c r="CO558" s="5"/>
      <c r="CQ558" s="40"/>
      <c r="CR558" s="5"/>
    </row>
    <row r="559">
      <c r="AL559" s="40"/>
      <c r="AM559" s="5"/>
      <c r="AO559" s="40"/>
      <c r="AP559" s="5"/>
      <c r="AR559" s="40"/>
      <c r="AS559" s="5"/>
      <c r="AU559" s="40"/>
      <c r="AV559" s="5"/>
      <c r="AX559" s="40"/>
      <c r="AY559" s="5"/>
      <c r="BA559" s="40"/>
      <c r="BB559" s="5"/>
      <c r="BD559" s="40"/>
      <c r="BE559" s="5"/>
      <c r="BG559" s="40"/>
      <c r="BH559" s="5"/>
      <c r="BJ559" s="40"/>
      <c r="BK559" s="5"/>
      <c r="BM559" s="40"/>
      <c r="BN559" s="5"/>
      <c r="BP559" s="40"/>
      <c r="BQ559" s="5"/>
      <c r="BS559" s="40"/>
      <c r="BT559" s="5"/>
      <c r="BV559" s="40"/>
      <c r="BW559" s="5"/>
      <c r="BY559" s="40"/>
      <c r="BZ559" s="5"/>
      <c r="CB559" s="40"/>
      <c r="CC559" s="5"/>
      <c r="CE559" s="40"/>
      <c r="CF559" s="5"/>
      <c r="CH559" s="40"/>
      <c r="CI559" s="5"/>
      <c r="CK559" s="40"/>
      <c r="CL559" s="5"/>
      <c r="CN559" s="40"/>
      <c r="CO559" s="5"/>
      <c r="CQ559" s="40"/>
      <c r="CR559" s="5"/>
    </row>
    <row r="560">
      <c r="AL560" s="40"/>
      <c r="AM560" s="5"/>
      <c r="AO560" s="40"/>
      <c r="AP560" s="5"/>
      <c r="AR560" s="40"/>
      <c r="AS560" s="5"/>
      <c r="AU560" s="40"/>
      <c r="AV560" s="5"/>
      <c r="AX560" s="40"/>
      <c r="AY560" s="5"/>
      <c r="BA560" s="40"/>
      <c r="BB560" s="5"/>
      <c r="BD560" s="40"/>
      <c r="BE560" s="5"/>
      <c r="BG560" s="40"/>
      <c r="BH560" s="5"/>
      <c r="BJ560" s="40"/>
      <c r="BK560" s="5"/>
      <c r="BM560" s="40"/>
      <c r="BN560" s="5"/>
      <c r="BP560" s="40"/>
      <c r="BQ560" s="5"/>
      <c r="BS560" s="40"/>
      <c r="BT560" s="5"/>
      <c r="BV560" s="40"/>
      <c r="BW560" s="5"/>
      <c r="BY560" s="40"/>
      <c r="BZ560" s="5"/>
      <c r="CB560" s="40"/>
      <c r="CC560" s="5"/>
      <c r="CE560" s="40"/>
      <c r="CF560" s="5"/>
      <c r="CH560" s="40"/>
      <c r="CI560" s="5"/>
      <c r="CK560" s="40"/>
      <c r="CL560" s="5"/>
      <c r="CN560" s="40"/>
      <c r="CO560" s="5"/>
      <c r="CQ560" s="40"/>
      <c r="CR560" s="5"/>
    </row>
    <row r="561">
      <c r="AL561" s="40"/>
      <c r="AM561" s="5"/>
      <c r="AO561" s="40"/>
      <c r="AP561" s="5"/>
      <c r="AR561" s="40"/>
      <c r="AS561" s="5"/>
      <c r="AU561" s="40"/>
      <c r="AV561" s="5"/>
      <c r="AX561" s="40"/>
      <c r="AY561" s="5"/>
      <c r="BA561" s="40"/>
      <c r="BB561" s="5"/>
      <c r="BD561" s="40"/>
      <c r="BE561" s="5"/>
      <c r="BG561" s="40"/>
      <c r="BH561" s="5"/>
      <c r="BJ561" s="40"/>
      <c r="BK561" s="5"/>
      <c r="BM561" s="40"/>
      <c r="BN561" s="5"/>
      <c r="BP561" s="40"/>
      <c r="BQ561" s="5"/>
      <c r="BS561" s="40"/>
      <c r="BT561" s="5"/>
      <c r="BV561" s="40"/>
      <c r="BW561" s="5"/>
      <c r="BY561" s="40"/>
      <c r="BZ561" s="5"/>
      <c r="CB561" s="40"/>
      <c r="CC561" s="5"/>
      <c r="CE561" s="40"/>
      <c r="CF561" s="5"/>
      <c r="CH561" s="40"/>
      <c r="CI561" s="5"/>
      <c r="CK561" s="40"/>
      <c r="CL561" s="5"/>
      <c r="CN561" s="40"/>
      <c r="CO561" s="5"/>
      <c r="CQ561" s="40"/>
      <c r="CR561" s="5"/>
    </row>
    <row r="562">
      <c r="AL562" s="40"/>
      <c r="AM562" s="5"/>
      <c r="AO562" s="40"/>
      <c r="AP562" s="5"/>
      <c r="AR562" s="40"/>
      <c r="AS562" s="5"/>
      <c r="AU562" s="40"/>
      <c r="AV562" s="5"/>
      <c r="AX562" s="40"/>
      <c r="AY562" s="5"/>
      <c r="BA562" s="40"/>
      <c r="BB562" s="5"/>
      <c r="BD562" s="40"/>
      <c r="BE562" s="5"/>
      <c r="BG562" s="40"/>
      <c r="BH562" s="5"/>
      <c r="BJ562" s="40"/>
      <c r="BK562" s="5"/>
      <c r="BM562" s="40"/>
      <c r="BN562" s="5"/>
      <c r="BP562" s="40"/>
      <c r="BQ562" s="5"/>
      <c r="BS562" s="40"/>
      <c r="BT562" s="5"/>
      <c r="BV562" s="40"/>
      <c r="BW562" s="5"/>
      <c r="BY562" s="40"/>
      <c r="BZ562" s="5"/>
      <c r="CB562" s="40"/>
      <c r="CC562" s="5"/>
      <c r="CE562" s="40"/>
      <c r="CF562" s="5"/>
      <c r="CH562" s="40"/>
      <c r="CI562" s="5"/>
      <c r="CK562" s="40"/>
      <c r="CL562" s="5"/>
      <c r="CN562" s="40"/>
      <c r="CO562" s="5"/>
      <c r="CQ562" s="40"/>
      <c r="CR562" s="5"/>
    </row>
    <row r="563">
      <c r="AL563" s="40"/>
      <c r="AM563" s="5"/>
      <c r="AO563" s="40"/>
      <c r="AP563" s="5"/>
      <c r="AR563" s="40"/>
      <c r="AS563" s="5"/>
      <c r="AU563" s="40"/>
      <c r="AV563" s="5"/>
      <c r="AX563" s="40"/>
      <c r="AY563" s="5"/>
      <c r="BA563" s="40"/>
      <c r="BB563" s="5"/>
      <c r="BD563" s="40"/>
      <c r="BE563" s="5"/>
      <c r="BG563" s="40"/>
      <c r="BH563" s="5"/>
      <c r="BJ563" s="40"/>
      <c r="BK563" s="5"/>
      <c r="BM563" s="40"/>
      <c r="BN563" s="5"/>
      <c r="BP563" s="40"/>
      <c r="BQ563" s="5"/>
      <c r="BS563" s="40"/>
      <c r="BT563" s="5"/>
      <c r="BV563" s="40"/>
      <c r="BW563" s="5"/>
      <c r="BY563" s="40"/>
      <c r="BZ563" s="5"/>
      <c r="CB563" s="40"/>
      <c r="CC563" s="5"/>
      <c r="CE563" s="40"/>
      <c r="CF563" s="5"/>
      <c r="CH563" s="40"/>
      <c r="CI563" s="5"/>
      <c r="CK563" s="40"/>
      <c r="CL563" s="5"/>
      <c r="CN563" s="40"/>
      <c r="CO563" s="5"/>
      <c r="CQ563" s="40"/>
      <c r="CR563" s="5"/>
    </row>
    <row r="564">
      <c r="AL564" s="40"/>
      <c r="AM564" s="5"/>
      <c r="AO564" s="40"/>
      <c r="AP564" s="5"/>
      <c r="AR564" s="40"/>
      <c r="AS564" s="5"/>
      <c r="AU564" s="40"/>
      <c r="AV564" s="5"/>
      <c r="AX564" s="40"/>
      <c r="AY564" s="5"/>
      <c r="BA564" s="40"/>
      <c r="BB564" s="5"/>
      <c r="BD564" s="40"/>
      <c r="BE564" s="5"/>
      <c r="BG564" s="40"/>
      <c r="BH564" s="5"/>
      <c r="BJ564" s="40"/>
      <c r="BK564" s="5"/>
      <c r="BM564" s="40"/>
      <c r="BN564" s="5"/>
      <c r="BP564" s="40"/>
      <c r="BQ564" s="5"/>
      <c r="BS564" s="40"/>
      <c r="BT564" s="5"/>
      <c r="BV564" s="40"/>
      <c r="BW564" s="5"/>
      <c r="BY564" s="40"/>
      <c r="BZ564" s="5"/>
      <c r="CB564" s="40"/>
      <c r="CC564" s="5"/>
      <c r="CE564" s="40"/>
      <c r="CF564" s="5"/>
      <c r="CH564" s="40"/>
      <c r="CI564" s="5"/>
      <c r="CK564" s="40"/>
      <c r="CL564" s="5"/>
      <c r="CN564" s="40"/>
      <c r="CO564" s="5"/>
      <c r="CQ564" s="40"/>
      <c r="CR564" s="5"/>
    </row>
    <row r="565">
      <c r="AL565" s="40"/>
      <c r="AM565" s="5"/>
      <c r="AO565" s="40"/>
      <c r="AP565" s="5"/>
      <c r="AR565" s="40"/>
      <c r="AS565" s="5"/>
      <c r="AU565" s="40"/>
      <c r="AV565" s="5"/>
      <c r="AX565" s="40"/>
      <c r="AY565" s="5"/>
      <c r="BA565" s="40"/>
      <c r="BB565" s="5"/>
      <c r="BD565" s="40"/>
      <c r="BE565" s="5"/>
      <c r="BG565" s="40"/>
      <c r="BH565" s="5"/>
      <c r="BJ565" s="40"/>
      <c r="BK565" s="5"/>
      <c r="BM565" s="40"/>
      <c r="BN565" s="5"/>
      <c r="BP565" s="40"/>
      <c r="BQ565" s="5"/>
      <c r="BS565" s="40"/>
      <c r="BT565" s="5"/>
      <c r="BV565" s="40"/>
      <c r="BW565" s="5"/>
      <c r="BY565" s="40"/>
      <c r="BZ565" s="5"/>
      <c r="CB565" s="40"/>
      <c r="CC565" s="5"/>
      <c r="CE565" s="40"/>
      <c r="CF565" s="5"/>
      <c r="CH565" s="40"/>
      <c r="CI565" s="5"/>
      <c r="CK565" s="40"/>
      <c r="CL565" s="5"/>
      <c r="CN565" s="40"/>
      <c r="CO565" s="5"/>
      <c r="CQ565" s="40"/>
      <c r="CR565" s="5"/>
    </row>
    <row r="566">
      <c r="AL566" s="40"/>
      <c r="AM566" s="5"/>
      <c r="AO566" s="40"/>
      <c r="AP566" s="5"/>
      <c r="AR566" s="40"/>
      <c r="AS566" s="5"/>
      <c r="AU566" s="40"/>
      <c r="AV566" s="5"/>
      <c r="AX566" s="40"/>
      <c r="AY566" s="5"/>
      <c r="BA566" s="40"/>
      <c r="BB566" s="5"/>
      <c r="BD566" s="40"/>
      <c r="BE566" s="5"/>
      <c r="BG566" s="40"/>
      <c r="BH566" s="5"/>
      <c r="BJ566" s="40"/>
      <c r="BK566" s="5"/>
      <c r="BM566" s="40"/>
      <c r="BN566" s="5"/>
      <c r="BP566" s="40"/>
      <c r="BQ566" s="5"/>
      <c r="BS566" s="40"/>
      <c r="BT566" s="5"/>
      <c r="BV566" s="40"/>
      <c r="BW566" s="5"/>
      <c r="BY566" s="40"/>
      <c r="BZ566" s="5"/>
      <c r="CB566" s="40"/>
      <c r="CC566" s="5"/>
      <c r="CE566" s="40"/>
      <c r="CF566" s="5"/>
      <c r="CH566" s="40"/>
      <c r="CI566" s="5"/>
      <c r="CK566" s="40"/>
      <c r="CL566" s="5"/>
      <c r="CN566" s="40"/>
      <c r="CO566" s="5"/>
      <c r="CQ566" s="40"/>
      <c r="CR566" s="5"/>
    </row>
    <row r="567">
      <c r="AL567" s="40"/>
      <c r="AM567" s="5"/>
      <c r="AO567" s="40"/>
      <c r="AP567" s="5"/>
      <c r="AR567" s="40"/>
      <c r="AS567" s="5"/>
      <c r="AU567" s="40"/>
      <c r="AV567" s="5"/>
      <c r="AX567" s="40"/>
      <c r="AY567" s="5"/>
      <c r="BA567" s="40"/>
      <c r="BB567" s="5"/>
      <c r="BD567" s="40"/>
      <c r="BE567" s="5"/>
      <c r="BG567" s="40"/>
      <c r="BH567" s="5"/>
      <c r="BJ567" s="40"/>
      <c r="BK567" s="5"/>
      <c r="BM567" s="40"/>
      <c r="BN567" s="5"/>
      <c r="BP567" s="40"/>
      <c r="BQ567" s="5"/>
      <c r="BS567" s="40"/>
      <c r="BT567" s="5"/>
      <c r="BV567" s="40"/>
      <c r="BW567" s="5"/>
      <c r="BY567" s="40"/>
      <c r="BZ567" s="5"/>
      <c r="CB567" s="40"/>
      <c r="CC567" s="5"/>
      <c r="CE567" s="40"/>
      <c r="CF567" s="5"/>
      <c r="CH567" s="40"/>
      <c r="CI567" s="5"/>
      <c r="CK567" s="40"/>
      <c r="CL567" s="5"/>
      <c r="CN567" s="40"/>
      <c r="CO567" s="5"/>
      <c r="CQ567" s="40"/>
      <c r="CR567" s="5"/>
    </row>
    <row r="568">
      <c r="AL568" s="40"/>
      <c r="AM568" s="5"/>
      <c r="AO568" s="40"/>
      <c r="AP568" s="5"/>
      <c r="AR568" s="40"/>
      <c r="AS568" s="5"/>
      <c r="AU568" s="40"/>
      <c r="AV568" s="5"/>
      <c r="AX568" s="40"/>
      <c r="AY568" s="5"/>
      <c r="BA568" s="40"/>
      <c r="BB568" s="5"/>
      <c r="BD568" s="40"/>
      <c r="BE568" s="5"/>
      <c r="BG568" s="40"/>
      <c r="BH568" s="5"/>
      <c r="BJ568" s="40"/>
      <c r="BK568" s="5"/>
      <c r="BM568" s="40"/>
      <c r="BN568" s="5"/>
      <c r="BP568" s="40"/>
      <c r="BQ568" s="5"/>
      <c r="BS568" s="40"/>
      <c r="BT568" s="5"/>
      <c r="BV568" s="40"/>
      <c r="BW568" s="5"/>
      <c r="BY568" s="40"/>
      <c r="BZ568" s="5"/>
      <c r="CB568" s="40"/>
      <c r="CC568" s="5"/>
      <c r="CE568" s="40"/>
      <c r="CF568" s="5"/>
      <c r="CH568" s="40"/>
      <c r="CI568" s="5"/>
      <c r="CK568" s="40"/>
      <c r="CL568" s="5"/>
      <c r="CN568" s="40"/>
      <c r="CO568" s="5"/>
      <c r="CQ568" s="40"/>
      <c r="CR568" s="5"/>
    </row>
    <row r="569">
      <c r="AL569" s="40"/>
      <c r="AM569" s="5"/>
      <c r="AO569" s="40"/>
      <c r="AP569" s="5"/>
      <c r="AR569" s="40"/>
      <c r="AS569" s="5"/>
      <c r="AU569" s="40"/>
      <c r="AV569" s="5"/>
      <c r="AX569" s="40"/>
      <c r="AY569" s="5"/>
      <c r="BA569" s="40"/>
      <c r="BB569" s="5"/>
      <c r="BD569" s="40"/>
      <c r="BE569" s="5"/>
      <c r="BG569" s="40"/>
      <c r="BH569" s="5"/>
      <c r="BJ569" s="40"/>
      <c r="BK569" s="5"/>
      <c r="BM569" s="40"/>
      <c r="BN569" s="5"/>
      <c r="BP569" s="40"/>
      <c r="BQ569" s="5"/>
      <c r="BS569" s="40"/>
      <c r="BT569" s="5"/>
      <c r="BV569" s="40"/>
      <c r="BW569" s="5"/>
      <c r="BY569" s="40"/>
      <c r="BZ569" s="5"/>
      <c r="CB569" s="40"/>
      <c r="CC569" s="5"/>
      <c r="CE569" s="40"/>
      <c r="CF569" s="5"/>
      <c r="CH569" s="40"/>
      <c r="CI569" s="5"/>
      <c r="CK569" s="40"/>
      <c r="CL569" s="5"/>
      <c r="CN569" s="40"/>
      <c r="CO569" s="5"/>
      <c r="CQ569" s="40"/>
      <c r="CR569" s="5"/>
    </row>
    <row r="570">
      <c r="AL570" s="40"/>
      <c r="AM570" s="5"/>
      <c r="AO570" s="40"/>
      <c r="AP570" s="5"/>
      <c r="AR570" s="40"/>
      <c r="AS570" s="5"/>
      <c r="AU570" s="40"/>
      <c r="AV570" s="5"/>
      <c r="AX570" s="40"/>
      <c r="AY570" s="5"/>
      <c r="BA570" s="40"/>
      <c r="BB570" s="5"/>
      <c r="BD570" s="40"/>
      <c r="BE570" s="5"/>
      <c r="BG570" s="40"/>
      <c r="BH570" s="5"/>
      <c r="BJ570" s="40"/>
      <c r="BK570" s="5"/>
      <c r="BM570" s="40"/>
      <c r="BN570" s="5"/>
      <c r="BP570" s="40"/>
      <c r="BQ570" s="5"/>
      <c r="BS570" s="40"/>
      <c r="BT570" s="5"/>
      <c r="BV570" s="40"/>
      <c r="BW570" s="5"/>
      <c r="BY570" s="40"/>
      <c r="BZ570" s="5"/>
      <c r="CB570" s="40"/>
      <c r="CC570" s="5"/>
      <c r="CE570" s="40"/>
      <c r="CF570" s="5"/>
      <c r="CH570" s="40"/>
      <c r="CI570" s="5"/>
      <c r="CK570" s="40"/>
      <c r="CL570" s="5"/>
      <c r="CN570" s="40"/>
      <c r="CO570" s="5"/>
      <c r="CQ570" s="40"/>
      <c r="CR570" s="5"/>
    </row>
    <row r="571">
      <c r="AL571" s="40"/>
      <c r="AM571" s="5"/>
      <c r="AO571" s="40"/>
      <c r="AP571" s="5"/>
      <c r="AR571" s="40"/>
      <c r="AS571" s="5"/>
      <c r="AU571" s="40"/>
      <c r="AV571" s="5"/>
      <c r="AX571" s="40"/>
      <c r="AY571" s="5"/>
      <c r="BA571" s="40"/>
      <c r="BB571" s="5"/>
      <c r="BD571" s="40"/>
      <c r="BE571" s="5"/>
      <c r="BG571" s="40"/>
      <c r="BH571" s="5"/>
      <c r="BJ571" s="40"/>
      <c r="BK571" s="5"/>
      <c r="BM571" s="40"/>
      <c r="BN571" s="5"/>
      <c r="BP571" s="40"/>
      <c r="BQ571" s="5"/>
      <c r="BS571" s="40"/>
      <c r="BT571" s="5"/>
      <c r="BV571" s="40"/>
      <c r="BW571" s="5"/>
      <c r="BY571" s="40"/>
      <c r="BZ571" s="5"/>
      <c r="CB571" s="40"/>
      <c r="CC571" s="5"/>
      <c r="CE571" s="40"/>
      <c r="CF571" s="5"/>
      <c r="CH571" s="40"/>
      <c r="CI571" s="5"/>
      <c r="CK571" s="40"/>
      <c r="CL571" s="5"/>
      <c r="CN571" s="40"/>
      <c r="CO571" s="5"/>
      <c r="CQ571" s="40"/>
      <c r="CR571" s="5"/>
    </row>
    <row r="572">
      <c r="AL572" s="40"/>
      <c r="AM572" s="5"/>
      <c r="AO572" s="40"/>
      <c r="AP572" s="5"/>
      <c r="AR572" s="40"/>
      <c r="AS572" s="5"/>
      <c r="AU572" s="40"/>
      <c r="AV572" s="5"/>
      <c r="AX572" s="40"/>
      <c r="AY572" s="5"/>
      <c r="BA572" s="40"/>
      <c r="BB572" s="5"/>
      <c r="BD572" s="40"/>
      <c r="BE572" s="5"/>
      <c r="BG572" s="40"/>
      <c r="BH572" s="5"/>
      <c r="BJ572" s="40"/>
      <c r="BK572" s="5"/>
      <c r="BM572" s="40"/>
      <c r="BN572" s="5"/>
      <c r="BP572" s="40"/>
      <c r="BQ572" s="5"/>
      <c r="BS572" s="40"/>
      <c r="BT572" s="5"/>
      <c r="BV572" s="40"/>
      <c r="BW572" s="5"/>
      <c r="BY572" s="40"/>
      <c r="BZ572" s="5"/>
      <c r="CB572" s="40"/>
      <c r="CC572" s="5"/>
      <c r="CE572" s="40"/>
      <c r="CF572" s="5"/>
      <c r="CH572" s="40"/>
      <c r="CI572" s="5"/>
      <c r="CK572" s="40"/>
      <c r="CL572" s="5"/>
      <c r="CN572" s="40"/>
      <c r="CO572" s="5"/>
      <c r="CQ572" s="40"/>
      <c r="CR572" s="5"/>
    </row>
    <row r="573">
      <c r="AL573" s="40"/>
      <c r="AM573" s="5"/>
      <c r="AO573" s="40"/>
      <c r="AP573" s="5"/>
      <c r="AR573" s="40"/>
      <c r="AS573" s="5"/>
      <c r="AU573" s="40"/>
      <c r="AV573" s="5"/>
      <c r="AX573" s="40"/>
      <c r="AY573" s="5"/>
      <c r="BA573" s="40"/>
      <c r="BB573" s="5"/>
      <c r="BD573" s="40"/>
      <c r="BE573" s="5"/>
      <c r="BG573" s="40"/>
      <c r="BH573" s="5"/>
      <c r="BJ573" s="40"/>
      <c r="BK573" s="5"/>
      <c r="BM573" s="40"/>
      <c r="BN573" s="5"/>
      <c r="BP573" s="40"/>
      <c r="BQ573" s="5"/>
      <c r="BS573" s="40"/>
      <c r="BT573" s="5"/>
      <c r="BV573" s="40"/>
      <c r="BW573" s="5"/>
      <c r="BY573" s="40"/>
      <c r="BZ573" s="5"/>
      <c r="CB573" s="40"/>
      <c r="CC573" s="5"/>
      <c r="CE573" s="40"/>
      <c r="CF573" s="5"/>
      <c r="CH573" s="40"/>
      <c r="CI573" s="5"/>
      <c r="CK573" s="40"/>
      <c r="CL573" s="5"/>
      <c r="CN573" s="40"/>
      <c r="CO573" s="5"/>
      <c r="CQ573" s="40"/>
      <c r="CR573" s="5"/>
    </row>
    <row r="574">
      <c r="AL574" s="40"/>
      <c r="AM574" s="5"/>
      <c r="AO574" s="40"/>
      <c r="AP574" s="5"/>
      <c r="AR574" s="40"/>
      <c r="AS574" s="5"/>
      <c r="AU574" s="40"/>
      <c r="AV574" s="5"/>
      <c r="AX574" s="40"/>
      <c r="AY574" s="5"/>
      <c r="BA574" s="40"/>
      <c r="BB574" s="5"/>
      <c r="BD574" s="40"/>
      <c r="BE574" s="5"/>
      <c r="BG574" s="40"/>
      <c r="BH574" s="5"/>
      <c r="BJ574" s="40"/>
      <c r="BK574" s="5"/>
      <c r="BM574" s="40"/>
      <c r="BN574" s="5"/>
      <c r="BP574" s="40"/>
      <c r="BQ574" s="5"/>
      <c r="BS574" s="40"/>
      <c r="BT574" s="5"/>
      <c r="BV574" s="40"/>
      <c r="BW574" s="5"/>
      <c r="BY574" s="40"/>
      <c r="BZ574" s="5"/>
      <c r="CB574" s="40"/>
      <c r="CC574" s="5"/>
      <c r="CE574" s="40"/>
      <c r="CF574" s="5"/>
      <c r="CH574" s="40"/>
      <c r="CI574" s="5"/>
      <c r="CK574" s="40"/>
      <c r="CL574" s="5"/>
      <c r="CN574" s="40"/>
      <c r="CO574" s="5"/>
      <c r="CQ574" s="40"/>
      <c r="CR574" s="5"/>
    </row>
    <row r="575">
      <c r="AL575" s="40"/>
      <c r="AM575" s="5"/>
      <c r="AO575" s="40"/>
      <c r="AP575" s="5"/>
      <c r="AR575" s="40"/>
      <c r="AS575" s="5"/>
      <c r="AU575" s="40"/>
      <c r="AV575" s="5"/>
      <c r="AX575" s="40"/>
      <c r="AY575" s="5"/>
      <c r="BA575" s="40"/>
      <c r="BB575" s="5"/>
      <c r="BD575" s="40"/>
      <c r="BE575" s="5"/>
      <c r="BG575" s="40"/>
      <c r="BH575" s="5"/>
      <c r="BJ575" s="40"/>
      <c r="BK575" s="5"/>
      <c r="BM575" s="40"/>
      <c r="BN575" s="5"/>
      <c r="BP575" s="40"/>
      <c r="BQ575" s="5"/>
      <c r="BS575" s="40"/>
      <c r="BT575" s="5"/>
      <c r="BV575" s="40"/>
      <c r="BW575" s="5"/>
      <c r="BY575" s="40"/>
      <c r="BZ575" s="5"/>
      <c r="CB575" s="40"/>
      <c r="CC575" s="5"/>
      <c r="CE575" s="40"/>
      <c r="CF575" s="5"/>
      <c r="CH575" s="40"/>
      <c r="CI575" s="5"/>
      <c r="CK575" s="40"/>
      <c r="CL575" s="5"/>
      <c r="CN575" s="40"/>
      <c r="CO575" s="5"/>
      <c r="CQ575" s="40"/>
      <c r="CR575" s="5"/>
    </row>
    <row r="576">
      <c r="AL576" s="40"/>
      <c r="AM576" s="5"/>
      <c r="AO576" s="40"/>
      <c r="AP576" s="5"/>
      <c r="AR576" s="40"/>
      <c r="AS576" s="5"/>
      <c r="AU576" s="40"/>
      <c r="AV576" s="5"/>
      <c r="AX576" s="40"/>
      <c r="AY576" s="5"/>
      <c r="BA576" s="40"/>
      <c r="BB576" s="5"/>
      <c r="BD576" s="40"/>
      <c r="BE576" s="5"/>
      <c r="BG576" s="40"/>
      <c r="BH576" s="5"/>
      <c r="BJ576" s="40"/>
      <c r="BK576" s="5"/>
      <c r="BM576" s="40"/>
      <c r="BN576" s="5"/>
      <c r="BP576" s="40"/>
      <c r="BQ576" s="5"/>
      <c r="BS576" s="40"/>
      <c r="BT576" s="5"/>
      <c r="BV576" s="40"/>
      <c r="BW576" s="5"/>
      <c r="BY576" s="40"/>
      <c r="BZ576" s="5"/>
      <c r="CB576" s="40"/>
      <c r="CC576" s="5"/>
      <c r="CE576" s="40"/>
      <c r="CF576" s="5"/>
      <c r="CH576" s="40"/>
      <c r="CI576" s="5"/>
      <c r="CK576" s="40"/>
      <c r="CL576" s="5"/>
      <c r="CN576" s="40"/>
      <c r="CO576" s="5"/>
      <c r="CQ576" s="40"/>
      <c r="CR576" s="5"/>
    </row>
    <row r="577">
      <c r="AL577" s="40"/>
      <c r="AM577" s="5"/>
      <c r="AO577" s="40"/>
      <c r="AP577" s="5"/>
      <c r="AR577" s="40"/>
      <c r="AS577" s="5"/>
      <c r="AU577" s="40"/>
      <c r="AV577" s="5"/>
      <c r="AX577" s="40"/>
      <c r="AY577" s="5"/>
      <c r="BA577" s="40"/>
      <c r="BB577" s="5"/>
      <c r="BD577" s="40"/>
      <c r="BE577" s="5"/>
      <c r="BG577" s="40"/>
      <c r="BH577" s="5"/>
      <c r="BJ577" s="40"/>
      <c r="BK577" s="5"/>
      <c r="BM577" s="40"/>
      <c r="BN577" s="5"/>
      <c r="BP577" s="40"/>
      <c r="BQ577" s="5"/>
      <c r="BS577" s="40"/>
      <c r="BT577" s="5"/>
      <c r="BV577" s="40"/>
      <c r="BW577" s="5"/>
      <c r="BY577" s="40"/>
      <c r="BZ577" s="5"/>
      <c r="CB577" s="40"/>
      <c r="CC577" s="5"/>
      <c r="CE577" s="40"/>
      <c r="CF577" s="5"/>
      <c r="CH577" s="40"/>
      <c r="CI577" s="5"/>
      <c r="CK577" s="40"/>
      <c r="CL577" s="5"/>
      <c r="CN577" s="40"/>
      <c r="CO577" s="5"/>
      <c r="CQ577" s="40"/>
      <c r="CR577" s="5"/>
    </row>
    <row r="578">
      <c r="AL578" s="40"/>
      <c r="AM578" s="5"/>
      <c r="AO578" s="40"/>
      <c r="AP578" s="5"/>
      <c r="AR578" s="40"/>
      <c r="AS578" s="5"/>
      <c r="AU578" s="40"/>
      <c r="AV578" s="5"/>
      <c r="AX578" s="40"/>
      <c r="AY578" s="5"/>
      <c r="BA578" s="40"/>
      <c r="BB578" s="5"/>
      <c r="BD578" s="40"/>
      <c r="BE578" s="5"/>
      <c r="BG578" s="40"/>
      <c r="BH578" s="5"/>
      <c r="BJ578" s="40"/>
      <c r="BK578" s="5"/>
      <c r="BM578" s="40"/>
      <c r="BN578" s="5"/>
      <c r="BP578" s="40"/>
      <c r="BQ578" s="5"/>
      <c r="BS578" s="40"/>
      <c r="BT578" s="5"/>
      <c r="BV578" s="40"/>
      <c r="BW578" s="5"/>
      <c r="BY578" s="40"/>
      <c r="BZ578" s="5"/>
      <c r="CB578" s="40"/>
      <c r="CC578" s="5"/>
      <c r="CE578" s="40"/>
      <c r="CF578" s="5"/>
      <c r="CH578" s="40"/>
      <c r="CI578" s="5"/>
      <c r="CK578" s="40"/>
      <c r="CL578" s="5"/>
      <c r="CN578" s="40"/>
      <c r="CO578" s="5"/>
      <c r="CQ578" s="40"/>
      <c r="CR578" s="5"/>
    </row>
    <row r="579">
      <c r="AL579" s="40"/>
      <c r="AM579" s="5"/>
      <c r="AO579" s="40"/>
      <c r="AP579" s="5"/>
      <c r="AR579" s="40"/>
      <c r="AS579" s="5"/>
      <c r="AU579" s="40"/>
      <c r="AV579" s="5"/>
      <c r="AX579" s="40"/>
      <c r="AY579" s="5"/>
      <c r="BA579" s="40"/>
      <c r="BB579" s="5"/>
      <c r="BD579" s="40"/>
      <c r="BE579" s="5"/>
      <c r="BG579" s="40"/>
      <c r="BH579" s="5"/>
      <c r="BJ579" s="40"/>
      <c r="BK579" s="5"/>
      <c r="BM579" s="40"/>
      <c r="BN579" s="5"/>
      <c r="BP579" s="40"/>
      <c r="BQ579" s="5"/>
      <c r="BS579" s="40"/>
      <c r="BT579" s="5"/>
      <c r="BV579" s="40"/>
      <c r="BW579" s="5"/>
      <c r="BY579" s="40"/>
      <c r="BZ579" s="5"/>
      <c r="CB579" s="40"/>
      <c r="CC579" s="5"/>
      <c r="CE579" s="40"/>
      <c r="CF579" s="5"/>
      <c r="CH579" s="40"/>
      <c r="CI579" s="5"/>
      <c r="CK579" s="40"/>
      <c r="CL579" s="5"/>
      <c r="CN579" s="40"/>
      <c r="CO579" s="5"/>
      <c r="CQ579" s="40"/>
      <c r="CR579" s="5"/>
    </row>
    <row r="580">
      <c r="AL580" s="40"/>
      <c r="AM580" s="5"/>
      <c r="AO580" s="40"/>
      <c r="AP580" s="5"/>
      <c r="AR580" s="40"/>
      <c r="AS580" s="5"/>
      <c r="AU580" s="40"/>
      <c r="AV580" s="5"/>
      <c r="AX580" s="40"/>
      <c r="AY580" s="5"/>
      <c r="BA580" s="40"/>
      <c r="BB580" s="5"/>
      <c r="BD580" s="40"/>
      <c r="BE580" s="5"/>
      <c r="BG580" s="40"/>
      <c r="BH580" s="5"/>
      <c r="BJ580" s="40"/>
      <c r="BK580" s="5"/>
      <c r="BM580" s="40"/>
      <c r="BN580" s="5"/>
      <c r="BP580" s="40"/>
      <c r="BQ580" s="5"/>
      <c r="BS580" s="40"/>
      <c r="BT580" s="5"/>
      <c r="BV580" s="40"/>
      <c r="BW580" s="5"/>
      <c r="BY580" s="40"/>
      <c r="BZ580" s="5"/>
      <c r="CB580" s="40"/>
      <c r="CC580" s="5"/>
      <c r="CE580" s="40"/>
      <c r="CF580" s="5"/>
      <c r="CH580" s="40"/>
      <c r="CI580" s="5"/>
      <c r="CK580" s="40"/>
      <c r="CL580" s="5"/>
      <c r="CN580" s="40"/>
      <c r="CO580" s="5"/>
      <c r="CQ580" s="40"/>
      <c r="CR580" s="5"/>
    </row>
    <row r="581">
      <c r="AL581" s="40"/>
      <c r="AM581" s="5"/>
      <c r="AO581" s="40"/>
      <c r="AP581" s="5"/>
      <c r="AR581" s="40"/>
      <c r="AS581" s="5"/>
      <c r="AU581" s="40"/>
      <c r="AV581" s="5"/>
      <c r="AX581" s="40"/>
      <c r="AY581" s="5"/>
      <c r="BA581" s="40"/>
      <c r="BB581" s="5"/>
      <c r="BD581" s="40"/>
      <c r="BE581" s="5"/>
      <c r="BG581" s="40"/>
      <c r="BH581" s="5"/>
      <c r="BJ581" s="40"/>
      <c r="BK581" s="5"/>
      <c r="BM581" s="40"/>
      <c r="BN581" s="5"/>
      <c r="BP581" s="40"/>
      <c r="BQ581" s="5"/>
      <c r="BS581" s="40"/>
      <c r="BT581" s="5"/>
      <c r="BV581" s="40"/>
      <c r="BW581" s="5"/>
      <c r="BY581" s="40"/>
      <c r="BZ581" s="5"/>
      <c r="CB581" s="40"/>
      <c r="CC581" s="5"/>
      <c r="CE581" s="40"/>
      <c r="CF581" s="5"/>
      <c r="CH581" s="40"/>
      <c r="CI581" s="5"/>
      <c r="CK581" s="40"/>
      <c r="CL581" s="5"/>
      <c r="CN581" s="40"/>
      <c r="CO581" s="5"/>
      <c r="CQ581" s="40"/>
      <c r="CR581" s="5"/>
    </row>
    <row r="582">
      <c r="AL582" s="40"/>
      <c r="AM582" s="5"/>
      <c r="AO582" s="40"/>
      <c r="AP582" s="5"/>
      <c r="AR582" s="40"/>
      <c r="AS582" s="5"/>
      <c r="AU582" s="40"/>
      <c r="AV582" s="5"/>
      <c r="AX582" s="40"/>
      <c r="AY582" s="5"/>
      <c r="BA582" s="40"/>
      <c r="BB582" s="5"/>
      <c r="BD582" s="40"/>
      <c r="BE582" s="5"/>
      <c r="BG582" s="40"/>
      <c r="BH582" s="5"/>
      <c r="BJ582" s="40"/>
      <c r="BK582" s="5"/>
      <c r="BM582" s="40"/>
      <c r="BN582" s="5"/>
      <c r="BP582" s="40"/>
      <c r="BQ582" s="5"/>
      <c r="BS582" s="40"/>
      <c r="BT582" s="5"/>
      <c r="BV582" s="40"/>
      <c r="BW582" s="5"/>
      <c r="BY582" s="40"/>
      <c r="BZ582" s="5"/>
      <c r="CB582" s="40"/>
      <c r="CC582" s="5"/>
      <c r="CE582" s="40"/>
      <c r="CF582" s="5"/>
      <c r="CH582" s="40"/>
      <c r="CI582" s="5"/>
      <c r="CK582" s="40"/>
      <c r="CL582" s="5"/>
      <c r="CN582" s="40"/>
      <c r="CO582" s="5"/>
      <c r="CQ582" s="40"/>
      <c r="CR582" s="5"/>
    </row>
    <row r="583">
      <c r="AL583" s="40"/>
      <c r="AM583" s="5"/>
      <c r="AO583" s="40"/>
      <c r="AP583" s="5"/>
      <c r="AR583" s="40"/>
      <c r="AS583" s="5"/>
      <c r="AU583" s="40"/>
      <c r="AV583" s="5"/>
      <c r="AX583" s="40"/>
      <c r="AY583" s="5"/>
      <c r="BA583" s="40"/>
      <c r="BB583" s="5"/>
      <c r="BD583" s="40"/>
      <c r="BE583" s="5"/>
      <c r="BG583" s="40"/>
      <c r="BH583" s="5"/>
      <c r="BJ583" s="40"/>
      <c r="BK583" s="5"/>
      <c r="BM583" s="40"/>
      <c r="BN583" s="5"/>
      <c r="BP583" s="40"/>
      <c r="BQ583" s="5"/>
      <c r="BS583" s="40"/>
      <c r="BT583" s="5"/>
      <c r="BV583" s="40"/>
      <c r="BW583" s="5"/>
      <c r="BY583" s="40"/>
      <c r="BZ583" s="5"/>
      <c r="CB583" s="40"/>
      <c r="CC583" s="5"/>
      <c r="CE583" s="40"/>
      <c r="CF583" s="5"/>
      <c r="CH583" s="40"/>
      <c r="CI583" s="5"/>
      <c r="CK583" s="40"/>
      <c r="CL583" s="5"/>
      <c r="CN583" s="40"/>
      <c r="CO583" s="5"/>
      <c r="CQ583" s="40"/>
      <c r="CR583" s="5"/>
    </row>
    <row r="584">
      <c r="AL584" s="40"/>
      <c r="AM584" s="5"/>
      <c r="AO584" s="40"/>
      <c r="AP584" s="5"/>
      <c r="AR584" s="40"/>
      <c r="AS584" s="5"/>
      <c r="AU584" s="40"/>
      <c r="AV584" s="5"/>
      <c r="AX584" s="40"/>
      <c r="AY584" s="5"/>
      <c r="BA584" s="40"/>
      <c r="BB584" s="5"/>
      <c r="BD584" s="40"/>
      <c r="BE584" s="5"/>
      <c r="BG584" s="40"/>
      <c r="BH584" s="5"/>
      <c r="BJ584" s="40"/>
      <c r="BK584" s="5"/>
      <c r="BM584" s="40"/>
      <c r="BN584" s="5"/>
      <c r="BP584" s="40"/>
      <c r="BQ584" s="5"/>
      <c r="BS584" s="40"/>
      <c r="BT584" s="5"/>
      <c r="BV584" s="40"/>
      <c r="BW584" s="5"/>
      <c r="BY584" s="40"/>
      <c r="BZ584" s="5"/>
      <c r="CB584" s="40"/>
      <c r="CC584" s="5"/>
      <c r="CE584" s="40"/>
      <c r="CF584" s="5"/>
      <c r="CH584" s="40"/>
      <c r="CI584" s="5"/>
      <c r="CK584" s="40"/>
      <c r="CL584" s="5"/>
      <c r="CN584" s="40"/>
      <c r="CO584" s="5"/>
      <c r="CQ584" s="40"/>
      <c r="CR584" s="5"/>
    </row>
    <row r="585">
      <c r="AL585" s="40"/>
      <c r="AM585" s="5"/>
      <c r="AO585" s="40"/>
      <c r="AP585" s="5"/>
      <c r="AR585" s="40"/>
      <c r="AS585" s="5"/>
      <c r="AU585" s="40"/>
      <c r="AV585" s="5"/>
      <c r="AX585" s="40"/>
      <c r="AY585" s="5"/>
      <c r="BA585" s="40"/>
      <c r="BB585" s="5"/>
      <c r="BD585" s="40"/>
      <c r="BE585" s="5"/>
      <c r="BG585" s="40"/>
      <c r="BH585" s="5"/>
      <c r="BJ585" s="40"/>
      <c r="BK585" s="5"/>
      <c r="BM585" s="40"/>
      <c r="BN585" s="5"/>
      <c r="BP585" s="40"/>
      <c r="BQ585" s="5"/>
      <c r="BS585" s="40"/>
      <c r="BT585" s="5"/>
      <c r="BV585" s="40"/>
      <c r="BW585" s="5"/>
      <c r="BY585" s="40"/>
      <c r="BZ585" s="5"/>
      <c r="CB585" s="40"/>
      <c r="CC585" s="5"/>
      <c r="CE585" s="40"/>
      <c r="CF585" s="5"/>
      <c r="CH585" s="40"/>
      <c r="CI585" s="5"/>
      <c r="CK585" s="40"/>
      <c r="CL585" s="5"/>
      <c r="CN585" s="40"/>
      <c r="CO585" s="5"/>
      <c r="CQ585" s="40"/>
      <c r="CR585" s="5"/>
    </row>
    <row r="586">
      <c r="AL586" s="40"/>
      <c r="AM586" s="5"/>
      <c r="AO586" s="40"/>
      <c r="AP586" s="5"/>
      <c r="AR586" s="40"/>
      <c r="AS586" s="5"/>
      <c r="AU586" s="40"/>
      <c r="AV586" s="5"/>
      <c r="AX586" s="40"/>
      <c r="AY586" s="5"/>
      <c r="BA586" s="40"/>
      <c r="BB586" s="5"/>
      <c r="BD586" s="40"/>
      <c r="BE586" s="5"/>
      <c r="BG586" s="40"/>
      <c r="BH586" s="5"/>
      <c r="BJ586" s="40"/>
      <c r="BK586" s="5"/>
      <c r="BM586" s="40"/>
      <c r="BN586" s="5"/>
      <c r="BP586" s="40"/>
      <c r="BQ586" s="5"/>
      <c r="BS586" s="40"/>
      <c r="BT586" s="5"/>
      <c r="BV586" s="40"/>
      <c r="BW586" s="5"/>
      <c r="BY586" s="40"/>
      <c r="BZ586" s="5"/>
      <c r="CB586" s="40"/>
      <c r="CC586" s="5"/>
      <c r="CE586" s="40"/>
      <c r="CF586" s="5"/>
      <c r="CH586" s="40"/>
      <c r="CI586" s="5"/>
      <c r="CK586" s="40"/>
      <c r="CL586" s="5"/>
      <c r="CN586" s="40"/>
      <c r="CO586" s="5"/>
      <c r="CQ586" s="40"/>
      <c r="CR586" s="5"/>
    </row>
    <row r="587">
      <c r="AL587" s="40"/>
      <c r="AM587" s="5"/>
      <c r="AO587" s="40"/>
      <c r="AP587" s="5"/>
      <c r="AR587" s="40"/>
      <c r="AS587" s="5"/>
      <c r="AU587" s="40"/>
      <c r="AV587" s="5"/>
      <c r="AX587" s="40"/>
      <c r="AY587" s="5"/>
      <c r="BA587" s="40"/>
      <c r="BB587" s="5"/>
      <c r="BD587" s="40"/>
      <c r="BE587" s="5"/>
      <c r="BG587" s="40"/>
      <c r="BH587" s="5"/>
      <c r="BJ587" s="40"/>
      <c r="BK587" s="5"/>
      <c r="BM587" s="40"/>
      <c r="BN587" s="5"/>
      <c r="BP587" s="40"/>
      <c r="BQ587" s="5"/>
      <c r="BS587" s="40"/>
      <c r="BT587" s="5"/>
      <c r="BV587" s="40"/>
      <c r="BW587" s="5"/>
      <c r="BY587" s="40"/>
      <c r="BZ587" s="5"/>
      <c r="CB587" s="40"/>
      <c r="CC587" s="5"/>
      <c r="CE587" s="40"/>
      <c r="CF587" s="5"/>
      <c r="CH587" s="40"/>
      <c r="CI587" s="5"/>
      <c r="CK587" s="40"/>
      <c r="CL587" s="5"/>
      <c r="CN587" s="40"/>
      <c r="CO587" s="5"/>
      <c r="CQ587" s="40"/>
      <c r="CR587" s="5"/>
    </row>
    <row r="588">
      <c r="AL588" s="40"/>
      <c r="AM588" s="5"/>
      <c r="AO588" s="40"/>
      <c r="AP588" s="5"/>
      <c r="AR588" s="40"/>
      <c r="AS588" s="5"/>
      <c r="AU588" s="40"/>
      <c r="AV588" s="5"/>
      <c r="AX588" s="40"/>
      <c r="AY588" s="5"/>
      <c r="BA588" s="40"/>
      <c r="BB588" s="5"/>
      <c r="BD588" s="40"/>
      <c r="BE588" s="5"/>
      <c r="BG588" s="40"/>
      <c r="BH588" s="5"/>
      <c r="BJ588" s="40"/>
      <c r="BK588" s="5"/>
      <c r="BM588" s="40"/>
      <c r="BN588" s="5"/>
      <c r="BP588" s="40"/>
      <c r="BQ588" s="5"/>
      <c r="BS588" s="40"/>
      <c r="BT588" s="5"/>
      <c r="BV588" s="40"/>
      <c r="BW588" s="5"/>
      <c r="BY588" s="40"/>
      <c r="BZ588" s="5"/>
      <c r="CB588" s="40"/>
      <c r="CC588" s="5"/>
      <c r="CE588" s="40"/>
      <c r="CF588" s="5"/>
      <c r="CH588" s="40"/>
      <c r="CI588" s="5"/>
      <c r="CK588" s="40"/>
      <c r="CL588" s="5"/>
      <c r="CN588" s="40"/>
      <c r="CO588" s="5"/>
      <c r="CQ588" s="40"/>
      <c r="CR588" s="5"/>
    </row>
    <row r="589">
      <c r="AL589" s="40"/>
      <c r="AM589" s="5"/>
      <c r="AO589" s="40"/>
      <c r="AP589" s="5"/>
      <c r="AR589" s="40"/>
      <c r="AS589" s="5"/>
      <c r="AU589" s="40"/>
      <c r="AV589" s="5"/>
      <c r="AX589" s="40"/>
      <c r="AY589" s="5"/>
      <c r="BA589" s="40"/>
      <c r="BB589" s="5"/>
      <c r="BD589" s="40"/>
      <c r="BE589" s="5"/>
      <c r="BG589" s="40"/>
      <c r="BH589" s="5"/>
      <c r="BJ589" s="40"/>
      <c r="BK589" s="5"/>
      <c r="BM589" s="40"/>
      <c r="BN589" s="5"/>
      <c r="BP589" s="40"/>
      <c r="BQ589" s="5"/>
      <c r="BS589" s="40"/>
      <c r="BT589" s="5"/>
      <c r="BV589" s="40"/>
      <c r="BW589" s="5"/>
      <c r="BY589" s="40"/>
      <c r="BZ589" s="5"/>
      <c r="CB589" s="40"/>
      <c r="CC589" s="5"/>
      <c r="CE589" s="40"/>
      <c r="CF589" s="5"/>
      <c r="CH589" s="40"/>
      <c r="CI589" s="5"/>
      <c r="CK589" s="40"/>
      <c r="CL589" s="5"/>
      <c r="CN589" s="40"/>
      <c r="CO589" s="5"/>
      <c r="CQ589" s="40"/>
      <c r="CR589" s="5"/>
    </row>
    <row r="590">
      <c r="AL590" s="40"/>
      <c r="AM590" s="5"/>
      <c r="AO590" s="40"/>
      <c r="AP590" s="5"/>
      <c r="AR590" s="40"/>
      <c r="AS590" s="5"/>
      <c r="AU590" s="40"/>
      <c r="AV590" s="5"/>
      <c r="AX590" s="40"/>
      <c r="AY590" s="5"/>
      <c r="BA590" s="40"/>
      <c r="BB590" s="5"/>
      <c r="BD590" s="40"/>
      <c r="BE590" s="5"/>
      <c r="BG590" s="40"/>
      <c r="BH590" s="5"/>
      <c r="BJ590" s="40"/>
      <c r="BK590" s="5"/>
      <c r="BM590" s="40"/>
      <c r="BN590" s="5"/>
      <c r="BP590" s="40"/>
      <c r="BQ590" s="5"/>
      <c r="BS590" s="40"/>
      <c r="BT590" s="5"/>
      <c r="BV590" s="40"/>
      <c r="BW590" s="5"/>
      <c r="BY590" s="40"/>
      <c r="BZ590" s="5"/>
      <c r="CB590" s="40"/>
      <c r="CC590" s="5"/>
      <c r="CE590" s="40"/>
      <c r="CF590" s="5"/>
      <c r="CH590" s="40"/>
      <c r="CI590" s="5"/>
      <c r="CK590" s="40"/>
      <c r="CL590" s="5"/>
      <c r="CN590" s="40"/>
      <c r="CO590" s="5"/>
      <c r="CQ590" s="40"/>
      <c r="CR590" s="5"/>
    </row>
    <row r="591">
      <c r="AL591" s="40"/>
      <c r="AM591" s="5"/>
      <c r="AO591" s="40"/>
      <c r="AP591" s="5"/>
      <c r="AR591" s="40"/>
      <c r="AS591" s="5"/>
      <c r="AU591" s="40"/>
      <c r="AV591" s="5"/>
      <c r="AX591" s="40"/>
      <c r="AY591" s="5"/>
      <c r="BA591" s="40"/>
      <c r="BB591" s="5"/>
      <c r="BD591" s="40"/>
      <c r="BE591" s="5"/>
      <c r="BG591" s="40"/>
      <c r="BH591" s="5"/>
      <c r="BJ591" s="40"/>
      <c r="BK591" s="5"/>
      <c r="BM591" s="40"/>
      <c r="BN591" s="5"/>
      <c r="BP591" s="40"/>
      <c r="BQ591" s="5"/>
      <c r="BS591" s="40"/>
      <c r="BT591" s="5"/>
      <c r="BV591" s="40"/>
      <c r="BW591" s="5"/>
      <c r="BY591" s="40"/>
      <c r="BZ591" s="5"/>
      <c r="CB591" s="40"/>
      <c r="CC591" s="5"/>
      <c r="CE591" s="40"/>
      <c r="CF591" s="5"/>
      <c r="CH591" s="40"/>
      <c r="CI591" s="5"/>
      <c r="CK591" s="40"/>
      <c r="CL591" s="5"/>
      <c r="CN591" s="40"/>
      <c r="CO591" s="5"/>
      <c r="CQ591" s="40"/>
      <c r="CR591" s="5"/>
    </row>
    <row r="592">
      <c r="AL592" s="40"/>
      <c r="AM592" s="5"/>
      <c r="AO592" s="40"/>
      <c r="AP592" s="5"/>
      <c r="AR592" s="40"/>
      <c r="AS592" s="5"/>
      <c r="AU592" s="40"/>
      <c r="AV592" s="5"/>
      <c r="AX592" s="40"/>
      <c r="AY592" s="5"/>
      <c r="BA592" s="40"/>
      <c r="BB592" s="5"/>
      <c r="BD592" s="40"/>
      <c r="BE592" s="5"/>
      <c r="BG592" s="40"/>
      <c r="BH592" s="5"/>
      <c r="BJ592" s="40"/>
      <c r="BK592" s="5"/>
      <c r="BM592" s="40"/>
      <c r="BN592" s="5"/>
      <c r="BP592" s="40"/>
      <c r="BQ592" s="5"/>
      <c r="BS592" s="40"/>
      <c r="BT592" s="5"/>
      <c r="BV592" s="40"/>
      <c r="BW592" s="5"/>
      <c r="BY592" s="40"/>
      <c r="BZ592" s="5"/>
      <c r="CB592" s="40"/>
      <c r="CC592" s="5"/>
      <c r="CE592" s="40"/>
      <c r="CF592" s="5"/>
      <c r="CH592" s="40"/>
      <c r="CI592" s="5"/>
      <c r="CK592" s="40"/>
      <c r="CL592" s="5"/>
      <c r="CN592" s="40"/>
      <c r="CO592" s="5"/>
      <c r="CQ592" s="40"/>
      <c r="CR592" s="5"/>
    </row>
    <row r="593">
      <c r="AL593" s="40"/>
      <c r="AM593" s="5"/>
      <c r="AO593" s="40"/>
      <c r="AP593" s="5"/>
      <c r="AR593" s="40"/>
      <c r="AS593" s="5"/>
      <c r="AU593" s="40"/>
      <c r="AV593" s="5"/>
      <c r="AX593" s="40"/>
      <c r="AY593" s="5"/>
      <c r="BA593" s="40"/>
      <c r="BB593" s="5"/>
      <c r="BD593" s="40"/>
      <c r="BE593" s="5"/>
      <c r="BG593" s="40"/>
      <c r="BH593" s="5"/>
      <c r="BJ593" s="40"/>
      <c r="BK593" s="5"/>
      <c r="BM593" s="40"/>
      <c r="BN593" s="5"/>
      <c r="BP593" s="40"/>
      <c r="BQ593" s="5"/>
      <c r="BS593" s="40"/>
      <c r="BT593" s="5"/>
      <c r="BV593" s="40"/>
      <c r="BW593" s="5"/>
      <c r="BY593" s="40"/>
      <c r="BZ593" s="5"/>
      <c r="CB593" s="40"/>
      <c r="CC593" s="5"/>
      <c r="CE593" s="40"/>
      <c r="CF593" s="5"/>
      <c r="CH593" s="40"/>
      <c r="CI593" s="5"/>
      <c r="CK593" s="40"/>
      <c r="CL593" s="5"/>
      <c r="CN593" s="40"/>
      <c r="CO593" s="5"/>
      <c r="CQ593" s="40"/>
      <c r="CR593" s="5"/>
    </row>
    <row r="594">
      <c r="AL594" s="40"/>
      <c r="AM594" s="5"/>
      <c r="AO594" s="40"/>
      <c r="AP594" s="5"/>
      <c r="AR594" s="40"/>
      <c r="AS594" s="5"/>
      <c r="AU594" s="40"/>
      <c r="AV594" s="5"/>
      <c r="AX594" s="40"/>
      <c r="AY594" s="5"/>
      <c r="BA594" s="40"/>
      <c r="BB594" s="5"/>
      <c r="BD594" s="40"/>
      <c r="BE594" s="5"/>
      <c r="BG594" s="40"/>
      <c r="BH594" s="5"/>
      <c r="BJ594" s="40"/>
      <c r="BK594" s="5"/>
      <c r="BM594" s="40"/>
      <c r="BN594" s="5"/>
      <c r="BP594" s="40"/>
      <c r="BQ594" s="5"/>
      <c r="BS594" s="40"/>
      <c r="BT594" s="5"/>
      <c r="BV594" s="40"/>
      <c r="BW594" s="5"/>
      <c r="BY594" s="40"/>
      <c r="BZ594" s="5"/>
      <c r="CB594" s="40"/>
      <c r="CC594" s="5"/>
      <c r="CE594" s="40"/>
      <c r="CF594" s="5"/>
      <c r="CH594" s="40"/>
      <c r="CI594" s="5"/>
      <c r="CK594" s="40"/>
      <c r="CL594" s="5"/>
      <c r="CN594" s="40"/>
      <c r="CO594" s="5"/>
      <c r="CQ594" s="40"/>
      <c r="CR594" s="5"/>
    </row>
    <row r="595">
      <c r="AL595" s="40"/>
      <c r="AM595" s="5"/>
      <c r="AO595" s="40"/>
      <c r="AP595" s="5"/>
      <c r="AR595" s="40"/>
      <c r="AS595" s="5"/>
      <c r="AU595" s="40"/>
      <c r="AV595" s="5"/>
      <c r="AX595" s="40"/>
      <c r="AY595" s="5"/>
      <c r="BA595" s="40"/>
      <c r="BB595" s="5"/>
      <c r="BD595" s="40"/>
      <c r="BE595" s="5"/>
      <c r="BG595" s="40"/>
      <c r="BH595" s="5"/>
      <c r="BJ595" s="40"/>
      <c r="BK595" s="5"/>
      <c r="BM595" s="40"/>
      <c r="BN595" s="5"/>
      <c r="BP595" s="40"/>
      <c r="BQ595" s="5"/>
      <c r="BS595" s="40"/>
      <c r="BT595" s="5"/>
      <c r="BV595" s="40"/>
      <c r="BW595" s="5"/>
      <c r="BY595" s="40"/>
      <c r="BZ595" s="5"/>
      <c r="CB595" s="40"/>
      <c r="CC595" s="5"/>
      <c r="CE595" s="40"/>
      <c r="CF595" s="5"/>
      <c r="CH595" s="40"/>
      <c r="CI595" s="5"/>
      <c r="CK595" s="40"/>
      <c r="CL595" s="5"/>
      <c r="CN595" s="40"/>
      <c r="CO595" s="5"/>
      <c r="CQ595" s="40"/>
      <c r="CR595" s="5"/>
    </row>
    <row r="596">
      <c r="AL596" s="40"/>
      <c r="AM596" s="5"/>
      <c r="AO596" s="40"/>
      <c r="AP596" s="5"/>
      <c r="AR596" s="40"/>
      <c r="AS596" s="5"/>
      <c r="AU596" s="40"/>
      <c r="AV596" s="5"/>
      <c r="AX596" s="40"/>
      <c r="AY596" s="5"/>
      <c r="BA596" s="40"/>
      <c r="BB596" s="5"/>
      <c r="BD596" s="40"/>
      <c r="BE596" s="5"/>
      <c r="BG596" s="40"/>
      <c r="BH596" s="5"/>
      <c r="BJ596" s="40"/>
      <c r="BK596" s="5"/>
      <c r="BM596" s="40"/>
      <c r="BN596" s="5"/>
      <c r="BP596" s="40"/>
      <c r="BQ596" s="5"/>
      <c r="BS596" s="40"/>
      <c r="BT596" s="5"/>
      <c r="BV596" s="40"/>
      <c r="BW596" s="5"/>
      <c r="BY596" s="40"/>
      <c r="BZ596" s="5"/>
      <c r="CB596" s="40"/>
      <c r="CC596" s="5"/>
      <c r="CE596" s="40"/>
      <c r="CF596" s="5"/>
      <c r="CH596" s="40"/>
      <c r="CI596" s="5"/>
      <c r="CK596" s="40"/>
      <c r="CL596" s="5"/>
      <c r="CN596" s="40"/>
      <c r="CO596" s="5"/>
      <c r="CQ596" s="40"/>
      <c r="CR596" s="5"/>
    </row>
    <row r="597">
      <c r="AL597" s="40"/>
      <c r="AM597" s="5"/>
      <c r="AO597" s="40"/>
      <c r="AP597" s="5"/>
      <c r="AR597" s="40"/>
      <c r="AS597" s="5"/>
      <c r="AU597" s="40"/>
      <c r="AV597" s="5"/>
      <c r="AX597" s="40"/>
      <c r="AY597" s="5"/>
      <c r="BA597" s="40"/>
      <c r="BB597" s="5"/>
      <c r="BD597" s="40"/>
      <c r="BE597" s="5"/>
      <c r="BG597" s="40"/>
      <c r="BH597" s="5"/>
      <c r="BJ597" s="40"/>
      <c r="BK597" s="5"/>
      <c r="BM597" s="40"/>
      <c r="BN597" s="5"/>
      <c r="BP597" s="40"/>
      <c r="BQ597" s="5"/>
      <c r="BS597" s="40"/>
      <c r="BT597" s="5"/>
      <c r="BV597" s="40"/>
      <c r="BW597" s="5"/>
      <c r="BY597" s="40"/>
      <c r="BZ597" s="5"/>
      <c r="CB597" s="40"/>
      <c r="CC597" s="5"/>
      <c r="CE597" s="40"/>
      <c r="CF597" s="5"/>
      <c r="CH597" s="40"/>
      <c r="CI597" s="5"/>
      <c r="CK597" s="40"/>
      <c r="CL597" s="5"/>
      <c r="CN597" s="40"/>
      <c r="CO597" s="5"/>
      <c r="CQ597" s="40"/>
      <c r="CR597" s="5"/>
    </row>
    <row r="598">
      <c r="AL598" s="40"/>
      <c r="AM598" s="5"/>
      <c r="AO598" s="40"/>
      <c r="AP598" s="5"/>
      <c r="AR598" s="40"/>
      <c r="AS598" s="5"/>
      <c r="AU598" s="40"/>
      <c r="AV598" s="5"/>
      <c r="AX598" s="40"/>
      <c r="AY598" s="5"/>
      <c r="BA598" s="40"/>
      <c r="BB598" s="5"/>
      <c r="BD598" s="40"/>
      <c r="BE598" s="5"/>
      <c r="BG598" s="40"/>
      <c r="BH598" s="5"/>
      <c r="BJ598" s="40"/>
      <c r="BK598" s="5"/>
      <c r="BM598" s="40"/>
      <c r="BN598" s="5"/>
      <c r="BP598" s="40"/>
      <c r="BQ598" s="5"/>
      <c r="BS598" s="40"/>
      <c r="BT598" s="5"/>
      <c r="BV598" s="40"/>
      <c r="BW598" s="5"/>
      <c r="BY598" s="40"/>
      <c r="BZ598" s="5"/>
      <c r="CB598" s="40"/>
      <c r="CC598" s="5"/>
      <c r="CE598" s="40"/>
      <c r="CF598" s="5"/>
      <c r="CH598" s="40"/>
      <c r="CI598" s="5"/>
      <c r="CK598" s="40"/>
      <c r="CL598" s="5"/>
      <c r="CN598" s="40"/>
      <c r="CO598" s="5"/>
      <c r="CQ598" s="40"/>
      <c r="CR598" s="5"/>
    </row>
    <row r="599">
      <c r="AL599" s="40"/>
      <c r="AM599" s="5"/>
      <c r="AO599" s="40"/>
      <c r="AP599" s="5"/>
      <c r="AR599" s="40"/>
      <c r="AS599" s="5"/>
      <c r="AU599" s="40"/>
      <c r="AV599" s="5"/>
      <c r="AX599" s="40"/>
      <c r="AY599" s="5"/>
      <c r="BA599" s="40"/>
      <c r="BB599" s="5"/>
      <c r="BD599" s="40"/>
      <c r="BE599" s="5"/>
      <c r="BG599" s="40"/>
      <c r="BH599" s="5"/>
      <c r="BJ599" s="40"/>
      <c r="BK599" s="5"/>
      <c r="BM599" s="40"/>
      <c r="BN599" s="5"/>
      <c r="BP599" s="40"/>
      <c r="BQ599" s="5"/>
      <c r="BS599" s="40"/>
      <c r="BT599" s="5"/>
      <c r="BV599" s="40"/>
      <c r="BW599" s="5"/>
      <c r="BY599" s="40"/>
      <c r="BZ599" s="5"/>
      <c r="CB599" s="40"/>
      <c r="CC599" s="5"/>
      <c r="CE599" s="40"/>
      <c r="CF599" s="5"/>
      <c r="CH599" s="40"/>
      <c r="CI599" s="5"/>
      <c r="CK599" s="40"/>
      <c r="CL599" s="5"/>
      <c r="CN599" s="40"/>
      <c r="CO599" s="5"/>
      <c r="CQ599" s="40"/>
      <c r="CR599" s="5"/>
    </row>
    <row r="600">
      <c r="AL600" s="40"/>
      <c r="AM600" s="5"/>
      <c r="AO600" s="40"/>
      <c r="AP600" s="5"/>
      <c r="AR600" s="40"/>
      <c r="AS600" s="5"/>
      <c r="AU600" s="40"/>
      <c r="AV600" s="5"/>
      <c r="AX600" s="40"/>
      <c r="AY600" s="5"/>
      <c r="BA600" s="40"/>
      <c r="BB600" s="5"/>
      <c r="BD600" s="40"/>
      <c r="BE600" s="5"/>
      <c r="BG600" s="40"/>
      <c r="BH600" s="5"/>
      <c r="BJ600" s="40"/>
      <c r="BK600" s="5"/>
      <c r="BM600" s="40"/>
      <c r="BN600" s="5"/>
      <c r="BP600" s="40"/>
      <c r="BQ600" s="5"/>
      <c r="BS600" s="40"/>
      <c r="BT600" s="5"/>
      <c r="BV600" s="40"/>
      <c r="BW600" s="5"/>
      <c r="BY600" s="40"/>
      <c r="BZ600" s="5"/>
      <c r="CB600" s="40"/>
      <c r="CC600" s="5"/>
      <c r="CE600" s="40"/>
      <c r="CF600" s="5"/>
      <c r="CH600" s="40"/>
      <c r="CI600" s="5"/>
      <c r="CK600" s="40"/>
      <c r="CL600" s="5"/>
      <c r="CN600" s="40"/>
      <c r="CO600" s="5"/>
      <c r="CQ600" s="40"/>
      <c r="CR600" s="5"/>
    </row>
    <row r="601">
      <c r="AL601" s="40"/>
      <c r="AM601" s="5"/>
      <c r="AO601" s="40"/>
      <c r="AP601" s="5"/>
      <c r="AR601" s="40"/>
      <c r="AS601" s="5"/>
      <c r="AU601" s="40"/>
      <c r="AV601" s="5"/>
      <c r="AX601" s="40"/>
      <c r="AY601" s="5"/>
      <c r="BA601" s="40"/>
      <c r="BB601" s="5"/>
      <c r="BD601" s="40"/>
      <c r="BE601" s="5"/>
      <c r="BG601" s="40"/>
      <c r="BH601" s="5"/>
      <c r="BJ601" s="40"/>
      <c r="BK601" s="5"/>
      <c r="BM601" s="40"/>
      <c r="BN601" s="5"/>
      <c r="BP601" s="40"/>
      <c r="BQ601" s="5"/>
      <c r="BS601" s="40"/>
      <c r="BT601" s="5"/>
      <c r="BV601" s="40"/>
      <c r="BW601" s="5"/>
      <c r="BY601" s="40"/>
      <c r="BZ601" s="5"/>
      <c r="CB601" s="40"/>
      <c r="CC601" s="5"/>
      <c r="CE601" s="40"/>
      <c r="CF601" s="5"/>
      <c r="CH601" s="40"/>
      <c r="CI601" s="5"/>
      <c r="CK601" s="40"/>
      <c r="CL601" s="5"/>
      <c r="CN601" s="40"/>
      <c r="CO601" s="5"/>
      <c r="CQ601" s="40"/>
      <c r="CR601" s="5"/>
    </row>
    <row r="602">
      <c r="AL602" s="40"/>
      <c r="AM602" s="5"/>
      <c r="AO602" s="40"/>
      <c r="AP602" s="5"/>
      <c r="AR602" s="40"/>
      <c r="AS602" s="5"/>
      <c r="AU602" s="40"/>
      <c r="AV602" s="5"/>
      <c r="AX602" s="40"/>
      <c r="AY602" s="5"/>
      <c r="BA602" s="40"/>
      <c r="BB602" s="5"/>
      <c r="BD602" s="40"/>
      <c r="BE602" s="5"/>
      <c r="BG602" s="40"/>
      <c r="BH602" s="5"/>
      <c r="BJ602" s="40"/>
      <c r="BK602" s="5"/>
      <c r="BM602" s="40"/>
      <c r="BN602" s="5"/>
      <c r="BP602" s="40"/>
      <c r="BQ602" s="5"/>
      <c r="BS602" s="40"/>
      <c r="BT602" s="5"/>
      <c r="BV602" s="40"/>
      <c r="BW602" s="5"/>
      <c r="BY602" s="40"/>
      <c r="BZ602" s="5"/>
      <c r="CB602" s="40"/>
      <c r="CC602" s="5"/>
      <c r="CE602" s="40"/>
      <c r="CF602" s="5"/>
      <c r="CH602" s="40"/>
      <c r="CI602" s="5"/>
      <c r="CK602" s="40"/>
      <c r="CL602" s="5"/>
      <c r="CN602" s="40"/>
      <c r="CO602" s="5"/>
      <c r="CQ602" s="40"/>
      <c r="CR602" s="5"/>
    </row>
    <row r="603">
      <c r="AL603" s="40"/>
      <c r="AM603" s="5"/>
      <c r="AO603" s="40"/>
      <c r="AP603" s="5"/>
      <c r="AR603" s="40"/>
      <c r="AS603" s="5"/>
      <c r="AU603" s="40"/>
      <c r="AV603" s="5"/>
      <c r="AX603" s="40"/>
      <c r="AY603" s="5"/>
      <c r="BA603" s="40"/>
      <c r="BB603" s="5"/>
      <c r="BD603" s="40"/>
      <c r="BE603" s="5"/>
      <c r="BG603" s="40"/>
      <c r="BH603" s="5"/>
      <c r="BJ603" s="40"/>
      <c r="BK603" s="5"/>
      <c r="BM603" s="40"/>
      <c r="BN603" s="5"/>
      <c r="BP603" s="40"/>
      <c r="BQ603" s="5"/>
      <c r="BS603" s="40"/>
      <c r="BT603" s="5"/>
      <c r="BV603" s="40"/>
      <c r="BW603" s="5"/>
      <c r="BY603" s="40"/>
      <c r="BZ603" s="5"/>
      <c r="CB603" s="40"/>
      <c r="CC603" s="5"/>
      <c r="CE603" s="40"/>
      <c r="CF603" s="5"/>
      <c r="CH603" s="40"/>
      <c r="CI603" s="5"/>
      <c r="CK603" s="40"/>
      <c r="CL603" s="5"/>
      <c r="CN603" s="40"/>
      <c r="CO603" s="5"/>
      <c r="CQ603" s="40"/>
      <c r="CR603" s="5"/>
    </row>
    <row r="604">
      <c r="AL604" s="40"/>
      <c r="AM604" s="5"/>
      <c r="AO604" s="40"/>
      <c r="AP604" s="5"/>
      <c r="AR604" s="40"/>
      <c r="AS604" s="5"/>
      <c r="AU604" s="40"/>
      <c r="AV604" s="5"/>
      <c r="AX604" s="40"/>
      <c r="AY604" s="5"/>
      <c r="BA604" s="40"/>
      <c r="BB604" s="5"/>
      <c r="BD604" s="40"/>
      <c r="BE604" s="5"/>
      <c r="BG604" s="40"/>
      <c r="BH604" s="5"/>
      <c r="BJ604" s="40"/>
      <c r="BK604" s="5"/>
      <c r="BM604" s="40"/>
      <c r="BN604" s="5"/>
      <c r="BP604" s="40"/>
      <c r="BQ604" s="5"/>
      <c r="BS604" s="40"/>
      <c r="BT604" s="5"/>
      <c r="BV604" s="40"/>
      <c r="BW604" s="5"/>
      <c r="BY604" s="40"/>
      <c r="BZ604" s="5"/>
      <c r="CB604" s="40"/>
      <c r="CC604" s="5"/>
      <c r="CE604" s="40"/>
      <c r="CF604" s="5"/>
      <c r="CH604" s="40"/>
      <c r="CI604" s="5"/>
      <c r="CK604" s="40"/>
      <c r="CL604" s="5"/>
      <c r="CN604" s="40"/>
      <c r="CO604" s="5"/>
      <c r="CQ604" s="40"/>
      <c r="CR604" s="5"/>
    </row>
    <row r="605">
      <c r="AL605" s="40"/>
      <c r="AM605" s="5"/>
      <c r="AO605" s="40"/>
      <c r="AP605" s="5"/>
      <c r="AR605" s="40"/>
      <c r="AS605" s="5"/>
      <c r="AU605" s="40"/>
      <c r="AV605" s="5"/>
      <c r="AX605" s="40"/>
      <c r="AY605" s="5"/>
      <c r="BA605" s="40"/>
      <c r="BB605" s="5"/>
      <c r="BD605" s="40"/>
      <c r="BE605" s="5"/>
      <c r="BG605" s="40"/>
      <c r="BH605" s="5"/>
      <c r="BJ605" s="40"/>
      <c r="BK605" s="5"/>
      <c r="BM605" s="40"/>
      <c r="BN605" s="5"/>
      <c r="BP605" s="40"/>
      <c r="BQ605" s="5"/>
      <c r="BS605" s="40"/>
      <c r="BT605" s="5"/>
      <c r="BV605" s="40"/>
      <c r="BW605" s="5"/>
      <c r="BY605" s="40"/>
      <c r="BZ605" s="5"/>
      <c r="CB605" s="40"/>
      <c r="CC605" s="5"/>
      <c r="CE605" s="40"/>
      <c r="CF605" s="5"/>
      <c r="CH605" s="40"/>
      <c r="CI605" s="5"/>
      <c r="CK605" s="40"/>
      <c r="CL605" s="5"/>
      <c r="CN605" s="40"/>
      <c r="CO605" s="5"/>
      <c r="CQ605" s="40"/>
      <c r="CR605" s="5"/>
    </row>
    <row r="606">
      <c r="AL606" s="40"/>
      <c r="AM606" s="5"/>
      <c r="AO606" s="40"/>
      <c r="AP606" s="5"/>
      <c r="AR606" s="40"/>
      <c r="AS606" s="5"/>
      <c r="AU606" s="40"/>
      <c r="AV606" s="5"/>
      <c r="AX606" s="40"/>
      <c r="AY606" s="5"/>
      <c r="BA606" s="40"/>
      <c r="BB606" s="5"/>
      <c r="BD606" s="40"/>
      <c r="BE606" s="5"/>
      <c r="BG606" s="40"/>
      <c r="BH606" s="5"/>
      <c r="BJ606" s="40"/>
      <c r="BK606" s="5"/>
      <c r="BM606" s="40"/>
      <c r="BN606" s="5"/>
      <c r="BP606" s="40"/>
      <c r="BQ606" s="5"/>
      <c r="BS606" s="40"/>
      <c r="BT606" s="5"/>
      <c r="BV606" s="40"/>
      <c r="BW606" s="5"/>
      <c r="BY606" s="40"/>
      <c r="BZ606" s="5"/>
      <c r="CB606" s="40"/>
      <c r="CC606" s="5"/>
      <c r="CE606" s="40"/>
      <c r="CF606" s="5"/>
      <c r="CH606" s="40"/>
      <c r="CI606" s="5"/>
      <c r="CK606" s="40"/>
      <c r="CL606" s="5"/>
      <c r="CN606" s="40"/>
      <c r="CO606" s="5"/>
      <c r="CQ606" s="40"/>
      <c r="CR606" s="5"/>
    </row>
    <row r="607">
      <c r="AL607" s="40"/>
      <c r="AM607" s="5"/>
      <c r="AO607" s="40"/>
      <c r="AP607" s="5"/>
      <c r="AR607" s="40"/>
      <c r="AS607" s="5"/>
      <c r="AU607" s="40"/>
      <c r="AV607" s="5"/>
      <c r="AX607" s="40"/>
      <c r="AY607" s="5"/>
      <c r="BA607" s="40"/>
      <c r="BB607" s="5"/>
      <c r="BD607" s="40"/>
      <c r="BE607" s="5"/>
      <c r="BG607" s="40"/>
      <c r="BH607" s="5"/>
      <c r="BJ607" s="40"/>
      <c r="BK607" s="5"/>
      <c r="BM607" s="40"/>
      <c r="BN607" s="5"/>
      <c r="BP607" s="40"/>
      <c r="BQ607" s="5"/>
      <c r="BS607" s="40"/>
      <c r="BT607" s="5"/>
      <c r="BV607" s="40"/>
      <c r="BW607" s="5"/>
      <c r="BY607" s="40"/>
      <c r="BZ607" s="5"/>
      <c r="CB607" s="40"/>
      <c r="CC607" s="5"/>
      <c r="CE607" s="40"/>
      <c r="CF607" s="5"/>
      <c r="CH607" s="40"/>
      <c r="CI607" s="5"/>
      <c r="CK607" s="40"/>
      <c r="CL607" s="5"/>
      <c r="CN607" s="40"/>
      <c r="CO607" s="5"/>
      <c r="CQ607" s="40"/>
      <c r="CR607" s="5"/>
    </row>
    <row r="608">
      <c r="AL608" s="40"/>
      <c r="AM608" s="5"/>
      <c r="AO608" s="40"/>
      <c r="AP608" s="5"/>
      <c r="AR608" s="40"/>
      <c r="AS608" s="5"/>
      <c r="AU608" s="40"/>
      <c r="AV608" s="5"/>
      <c r="AX608" s="40"/>
      <c r="AY608" s="5"/>
      <c r="BA608" s="40"/>
      <c r="BB608" s="5"/>
      <c r="BD608" s="40"/>
      <c r="BE608" s="5"/>
      <c r="BG608" s="40"/>
      <c r="BH608" s="5"/>
      <c r="BJ608" s="40"/>
      <c r="BK608" s="5"/>
      <c r="BM608" s="40"/>
      <c r="BN608" s="5"/>
      <c r="BP608" s="40"/>
      <c r="BQ608" s="5"/>
      <c r="BS608" s="40"/>
      <c r="BT608" s="5"/>
      <c r="BV608" s="40"/>
      <c r="BW608" s="5"/>
      <c r="BY608" s="40"/>
      <c r="BZ608" s="5"/>
      <c r="CB608" s="40"/>
      <c r="CC608" s="5"/>
      <c r="CE608" s="40"/>
      <c r="CF608" s="5"/>
      <c r="CH608" s="40"/>
      <c r="CI608" s="5"/>
      <c r="CK608" s="40"/>
      <c r="CL608" s="5"/>
      <c r="CN608" s="40"/>
      <c r="CO608" s="5"/>
      <c r="CQ608" s="40"/>
      <c r="CR608" s="5"/>
    </row>
    <row r="609">
      <c r="AL609" s="40"/>
      <c r="AM609" s="5"/>
      <c r="AO609" s="40"/>
      <c r="AP609" s="5"/>
      <c r="AR609" s="40"/>
      <c r="AS609" s="5"/>
      <c r="AU609" s="40"/>
      <c r="AV609" s="5"/>
      <c r="AX609" s="40"/>
      <c r="AY609" s="5"/>
      <c r="BA609" s="40"/>
      <c r="BB609" s="5"/>
      <c r="BD609" s="40"/>
      <c r="BE609" s="5"/>
      <c r="BG609" s="40"/>
      <c r="BH609" s="5"/>
      <c r="BJ609" s="40"/>
      <c r="BK609" s="5"/>
      <c r="BM609" s="40"/>
      <c r="BN609" s="5"/>
      <c r="BP609" s="40"/>
      <c r="BQ609" s="5"/>
      <c r="BS609" s="40"/>
      <c r="BT609" s="5"/>
      <c r="BV609" s="40"/>
      <c r="BW609" s="5"/>
      <c r="BY609" s="40"/>
      <c r="BZ609" s="5"/>
      <c r="CB609" s="40"/>
      <c r="CC609" s="5"/>
      <c r="CE609" s="40"/>
      <c r="CF609" s="5"/>
      <c r="CH609" s="40"/>
      <c r="CI609" s="5"/>
      <c r="CK609" s="40"/>
      <c r="CL609" s="5"/>
      <c r="CN609" s="40"/>
      <c r="CO609" s="5"/>
      <c r="CQ609" s="40"/>
      <c r="CR609" s="5"/>
    </row>
    <row r="610">
      <c r="AL610" s="40"/>
      <c r="AM610" s="5"/>
      <c r="AO610" s="40"/>
      <c r="AP610" s="5"/>
      <c r="AR610" s="40"/>
      <c r="AS610" s="5"/>
      <c r="AU610" s="40"/>
      <c r="AV610" s="5"/>
      <c r="AX610" s="40"/>
      <c r="AY610" s="5"/>
      <c r="BA610" s="40"/>
      <c r="BB610" s="5"/>
      <c r="BD610" s="40"/>
      <c r="BE610" s="5"/>
      <c r="BG610" s="40"/>
      <c r="BH610" s="5"/>
      <c r="BJ610" s="40"/>
      <c r="BK610" s="5"/>
      <c r="BM610" s="40"/>
      <c r="BN610" s="5"/>
      <c r="BP610" s="40"/>
      <c r="BQ610" s="5"/>
      <c r="BS610" s="40"/>
      <c r="BT610" s="5"/>
      <c r="BV610" s="40"/>
      <c r="BW610" s="5"/>
      <c r="BY610" s="40"/>
      <c r="BZ610" s="5"/>
      <c r="CB610" s="40"/>
      <c r="CC610" s="5"/>
      <c r="CE610" s="40"/>
      <c r="CF610" s="5"/>
      <c r="CH610" s="40"/>
      <c r="CI610" s="5"/>
      <c r="CK610" s="40"/>
      <c r="CL610" s="5"/>
      <c r="CN610" s="40"/>
      <c r="CO610" s="5"/>
      <c r="CQ610" s="40"/>
      <c r="CR610" s="5"/>
    </row>
    <row r="611">
      <c r="AL611" s="40"/>
      <c r="AM611" s="5"/>
      <c r="AO611" s="40"/>
      <c r="AP611" s="5"/>
      <c r="AR611" s="40"/>
      <c r="AS611" s="5"/>
      <c r="AU611" s="40"/>
      <c r="AV611" s="5"/>
      <c r="AX611" s="40"/>
      <c r="AY611" s="5"/>
      <c r="BA611" s="40"/>
      <c r="BB611" s="5"/>
      <c r="BD611" s="40"/>
      <c r="BE611" s="5"/>
      <c r="BG611" s="40"/>
      <c r="BH611" s="5"/>
      <c r="BJ611" s="40"/>
      <c r="BK611" s="5"/>
      <c r="BM611" s="40"/>
      <c r="BN611" s="5"/>
      <c r="BP611" s="40"/>
      <c r="BQ611" s="5"/>
      <c r="BS611" s="40"/>
      <c r="BT611" s="5"/>
      <c r="BV611" s="40"/>
      <c r="BW611" s="5"/>
      <c r="BY611" s="40"/>
      <c r="BZ611" s="5"/>
      <c r="CB611" s="40"/>
      <c r="CC611" s="5"/>
      <c r="CE611" s="40"/>
      <c r="CF611" s="5"/>
      <c r="CH611" s="40"/>
      <c r="CI611" s="5"/>
      <c r="CK611" s="40"/>
      <c r="CL611" s="5"/>
      <c r="CN611" s="40"/>
      <c r="CO611" s="5"/>
      <c r="CQ611" s="40"/>
      <c r="CR611" s="5"/>
    </row>
    <row r="612">
      <c r="AL612" s="40"/>
      <c r="AM612" s="5"/>
      <c r="AO612" s="40"/>
      <c r="AP612" s="5"/>
      <c r="AR612" s="40"/>
      <c r="AS612" s="5"/>
      <c r="AU612" s="40"/>
      <c r="AV612" s="5"/>
      <c r="AX612" s="40"/>
      <c r="AY612" s="5"/>
      <c r="BA612" s="40"/>
      <c r="BB612" s="5"/>
      <c r="BD612" s="40"/>
      <c r="BE612" s="5"/>
      <c r="BG612" s="40"/>
      <c r="BH612" s="5"/>
      <c r="BJ612" s="40"/>
      <c r="BK612" s="5"/>
      <c r="BM612" s="40"/>
      <c r="BN612" s="5"/>
      <c r="BP612" s="40"/>
      <c r="BQ612" s="5"/>
      <c r="BS612" s="40"/>
      <c r="BT612" s="5"/>
      <c r="BV612" s="40"/>
      <c r="BW612" s="5"/>
      <c r="BY612" s="40"/>
      <c r="BZ612" s="5"/>
      <c r="CB612" s="40"/>
      <c r="CC612" s="5"/>
      <c r="CE612" s="40"/>
      <c r="CF612" s="5"/>
      <c r="CH612" s="40"/>
      <c r="CI612" s="5"/>
      <c r="CK612" s="40"/>
      <c r="CL612" s="5"/>
      <c r="CN612" s="40"/>
      <c r="CO612" s="5"/>
      <c r="CQ612" s="40"/>
      <c r="CR612" s="5"/>
    </row>
    <row r="613">
      <c r="AL613" s="40"/>
      <c r="AM613" s="5"/>
      <c r="AO613" s="40"/>
      <c r="AP613" s="5"/>
      <c r="AR613" s="40"/>
      <c r="AS613" s="5"/>
      <c r="AU613" s="40"/>
      <c r="AV613" s="5"/>
      <c r="AX613" s="40"/>
      <c r="AY613" s="5"/>
      <c r="BA613" s="40"/>
      <c r="BB613" s="5"/>
      <c r="BD613" s="40"/>
      <c r="BE613" s="5"/>
      <c r="BG613" s="40"/>
      <c r="BH613" s="5"/>
      <c r="BJ613" s="40"/>
      <c r="BK613" s="5"/>
      <c r="BM613" s="40"/>
      <c r="BN613" s="5"/>
      <c r="BP613" s="40"/>
      <c r="BQ613" s="5"/>
      <c r="BS613" s="40"/>
      <c r="BT613" s="5"/>
      <c r="BV613" s="40"/>
      <c r="BW613" s="5"/>
      <c r="BY613" s="40"/>
      <c r="BZ613" s="5"/>
      <c r="CB613" s="40"/>
      <c r="CC613" s="5"/>
      <c r="CE613" s="40"/>
      <c r="CF613" s="5"/>
      <c r="CH613" s="40"/>
      <c r="CI613" s="5"/>
      <c r="CK613" s="40"/>
      <c r="CL613" s="5"/>
      <c r="CN613" s="40"/>
      <c r="CO613" s="5"/>
      <c r="CQ613" s="40"/>
      <c r="CR613" s="5"/>
    </row>
    <row r="614">
      <c r="AL614" s="40"/>
      <c r="AM614" s="5"/>
      <c r="AO614" s="40"/>
      <c r="AP614" s="5"/>
      <c r="AR614" s="40"/>
      <c r="AS614" s="5"/>
      <c r="AU614" s="40"/>
      <c r="AV614" s="5"/>
      <c r="AX614" s="40"/>
      <c r="AY614" s="5"/>
      <c r="BA614" s="40"/>
      <c r="BB614" s="5"/>
      <c r="BD614" s="40"/>
      <c r="BE614" s="5"/>
      <c r="BG614" s="40"/>
      <c r="BH614" s="5"/>
      <c r="BJ614" s="40"/>
      <c r="BK614" s="5"/>
      <c r="BM614" s="40"/>
      <c r="BN614" s="5"/>
      <c r="BP614" s="40"/>
      <c r="BQ614" s="5"/>
      <c r="BS614" s="40"/>
      <c r="BT614" s="5"/>
      <c r="BV614" s="40"/>
      <c r="BW614" s="5"/>
      <c r="BY614" s="40"/>
      <c r="BZ614" s="5"/>
      <c r="CB614" s="40"/>
      <c r="CC614" s="5"/>
      <c r="CE614" s="40"/>
      <c r="CF614" s="5"/>
      <c r="CH614" s="40"/>
      <c r="CI614" s="5"/>
      <c r="CK614" s="40"/>
      <c r="CL614" s="5"/>
      <c r="CN614" s="40"/>
      <c r="CO614" s="5"/>
      <c r="CQ614" s="40"/>
      <c r="CR614" s="5"/>
    </row>
    <row r="615">
      <c r="AL615" s="40"/>
      <c r="AM615" s="5"/>
      <c r="AO615" s="40"/>
      <c r="AP615" s="5"/>
      <c r="AR615" s="40"/>
      <c r="AS615" s="5"/>
      <c r="AU615" s="40"/>
      <c r="AV615" s="5"/>
      <c r="AX615" s="40"/>
      <c r="AY615" s="5"/>
      <c r="BA615" s="40"/>
      <c r="BB615" s="5"/>
      <c r="BD615" s="40"/>
      <c r="BE615" s="5"/>
      <c r="BG615" s="40"/>
      <c r="BH615" s="5"/>
      <c r="BJ615" s="40"/>
      <c r="BK615" s="5"/>
      <c r="BM615" s="40"/>
      <c r="BN615" s="5"/>
      <c r="BP615" s="40"/>
      <c r="BQ615" s="5"/>
      <c r="BS615" s="40"/>
      <c r="BT615" s="5"/>
      <c r="BV615" s="40"/>
      <c r="BW615" s="5"/>
      <c r="BY615" s="40"/>
      <c r="BZ615" s="5"/>
      <c r="CB615" s="40"/>
      <c r="CC615" s="5"/>
      <c r="CE615" s="40"/>
      <c r="CF615" s="5"/>
      <c r="CH615" s="40"/>
      <c r="CI615" s="5"/>
      <c r="CK615" s="40"/>
      <c r="CL615" s="5"/>
      <c r="CN615" s="40"/>
      <c r="CO615" s="5"/>
      <c r="CQ615" s="40"/>
      <c r="CR615" s="5"/>
    </row>
    <row r="616">
      <c r="AL616" s="40"/>
      <c r="AM616" s="5"/>
      <c r="AO616" s="40"/>
      <c r="AP616" s="5"/>
      <c r="AR616" s="40"/>
      <c r="AS616" s="5"/>
      <c r="AU616" s="40"/>
      <c r="AV616" s="5"/>
      <c r="AX616" s="40"/>
      <c r="AY616" s="5"/>
      <c r="BA616" s="40"/>
      <c r="BB616" s="5"/>
      <c r="BD616" s="40"/>
      <c r="BE616" s="5"/>
      <c r="BG616" s="40"/>
      <c r="BH616" s="5"/>
      <c r="BJ616" s="40"/>
      <c r="BK616" s="5"/>
      <c r="BM616" s="40"/>
      <c r="BN616" s="5"/>
      <c r="BP616" s="40"/>
      <c r="BQ616" s="5"/>
      <c r="BS616" s="40"/>
      <c r="BT616" s="5"/>
      <c r="BV616" s="40"/>
      <c r="BW616" s="5"/>
      <c r="BY616" s="40"/>
      <c r="BZ616" s="5"/>
      <c r="CB616" s="40"/>
      <c r="CC616" s="5"/>
      <c r="CE616" s="40"/>
      <c r="CF616" s="5"/>
      <c r="CH616" s="40"/>
      <c r="CI616" s="5"/>
      <c r="CK616" s="40"/>
      <c r="CL616" s="5"/>
      <c r="CN616" s="40"/>
      <c r="CO616" s="5"/>
      <c r="CQ616" s="40"/>
      <c r="CR616" s="5"/>
    </row>
    <row r="617">
      <c r="AL617" s="40"/>
      <c r="AM617" s="5"/>
      <c r="AO617" s="40"/>
      <c r="AP617" s="5"/>
      <c r="AR617" s="40"/>
      <c r="AS617" s="5"/>
      <c r="AU617" s="40"/>
      <c r="AV617" s="5"/>
      <c r="AX617" s="40"/>
      <c r="AY617" s="5"/>
      <c r="BA617" s="40"/>
      <c r="BB617" s="5"/>
      <c r="BD617" s="40"/>
      <c r="BE617" s="5"/>
      <c r="BG617" s="40"/>
      <c r="BH617" s="5"/>
      <c r="BJ617" s="40"/>
      <c r="BK617" s="5"/>
      <c r="BM617" s="40"/>
      <c r="BN617" s="5"/>
      <c r="BP617" s="40"/>
      <c r="BQ617" s="5"/>
      <c r="BS617" s="40"/>
      <c r="BT617" s="5"/>
      <c r="BV617" s="40"/>
      <c r="BW617" s="5"/>
      <c r="BY617" s="40"/>
      <c r="BZ617" s="5"/>
      <c r="CB617" s="40"/>
      <c r="CC617" s="5"/>
      <c r="CE617" s="40"/>
      <c r="CF617" s="5"/>
      <c r="CH617" s="40"/>
      <c r="CI617" s="5"/>
      <c r="CK617" s="40"/>
      <c r="CL617" s="5"/>
      <c r="CN617" s="40"/>
      <c r="CO617" s="5"/>
      <c r="CQ617" s="40"/>
      <c r="CR617" s="5"/>
    </row>
    <row r="618">
      <c r="AL618" s="40"/>
      <c r="AM618" s="5"/>
      <c r="AO618" s="40"/>
      <c r="AP618" s="5"/>
      <c r="AR618" s="40"/>
      <c r="AS618" s="5"/>
      <c r="AU618" s="40"/>
      <c r="AV618" s="5"/>
      <c r="AX618" s="40"/>
      <c r="AY618" s="5"/>
      <c r="BA618" s="40"/>
      <c r="BB618" s="5"/>
      <c r="BD618" s="40"/>
      <c r="BE618" s="5"/>
      <c r="BG618" s="40"/>
      <c r="BH618" s="5"/>
      <c r="BJ618" s="40"/>
      <c r="BK618" s="5"/>
      <c r="BM618" s="40"/>
      <c r="BN618" s="5"/>
      <c r="BP618" s="40"/>
      <c r="BQ618" s="5"/>
      <c r="BS618" s="40"/>
      <c r="BT618" s="5"/>
      <c r="BV618" s="40"/>
      <c r="BW618" s="5"/>
      <c r="BY618" s="40"/>
      <c r="BZ618" s="5"/>
      <c r="CB618" s="40"/>
      <c r="CC618" s="5"/>
      <c r="CE618" s="40"/>
      <c r="CF618" s="5"/>
      <c r="CH618" s="40"/>
      <c r="CI618" s="5"/>
      <c r="CK618" s="40"/>
      <c r="CL618" s="5"/>
      <c r="CN618" s="40"/>
      <c r="CO618" s="5"/>
      <c r="CQ618" s="40"/>
      <c r="CR618" s="5"/>
    </row>
    <row r="619">
      <c r="AL619" s="40"/>
      <c r="AM619" s="5"/>
      <c r="AO619" s="40"/>
      <c r="AP619" s="5"/>
      <c r="AR619" s="40"/>
      <c r="AS619" s="5"/>
      <c r="AU619" s="40"/>
      <c r="AV619" s="5"/>
      <c r="AX619" s="40"/>
      <c r="AY619" s="5"/>
      <c r="BA619" s="40"/>
      <c r="BB619" s="5"/>
      <c r="BD619" s="40"/>
      <c r="BE619" s="5"/>
      <c r="BG619" s="40"/>
      <c r="BH619" s="5"/>
      <c r="BJ619" s="40"/>
      <c r="BK619" s="5"/>
      <c r="BM619" s="40"/>
      <c r="BN619" s="5"/>
      <c r="BP619" s="40"/>
      <c r="BQ619" s="5"/>
      <c r="BS619" s="40"/>
      <c r="BT619" s="5"/>
      <c r="BV619" s="40"/>
      <c r="BW619" s="5"/>
      <c r="BY619" s="40"/>
      <c r="BZ619" s="5"/>
      <c r="CB619" s="40"/>
      <c r="CC619" s="5"/>
      <c r="CE619" s="40"/>
      <c r="CF619" s="5"/>
      <c r="CH619" s="40"/>
      <c r="CI619" s="5"/>
      <c r="CK619" s="40"/>
      <c r="CL619" s="5"/>
      <c r="CN619" s="40"/>
      <c r="CO619" s="5"/>
      <c r="CQ619" s="40"/>
      <c r="CR619" s="5"/>
    </row>
    <row r="620">
      <c r="AL620" s="40"/>
      <c r="AM620" s="5"/>
      <c r="AO620" s="40"/>
      <c r="AP620" s="5"/>
      <c r="AR620" s="40"/>
      <c r="AS620" s="5"/>
      <c r="AU620" s="40"/>
      <c r="AV620" s="5"/>
      <c r="AX620" s="40"/>
      <c r="AY620" s="5"/>
      <c r="BA620" s="40"/>
      <c r="BB620" s="5"/>
      <c r="BD620" s="40"/>
      <c r="BE620" s="5"/>
      <c r="BG620" s="40"/>
      <c r="BH620" s="5"/>
      <c r="BJ620" s="40"/>
      <c r="BK620" s="5"/>
      <c r="BM620" s="40"/>
      <c r="BN620" s="5"/>
      <c r="BP620" s="40"/>
      <c r="BQ620" s="5"/>
      <c r="BS620" s="40"/>
      <c r="BT620" s="5"/>
      <c r="BV620" s="40"/>
      <c r="BW620" s="5"/>
      <c r="BY620" s="40"/>
      <c r="BZ620" s="5"/>
      <c r="CB620" s="40"/>
      <c r="CC620" s="5"/>
      <c r="CE620" s="40"/>
      <c r="CF620" s="5"/>
      <c r="CH620" s="40"/>
      <c r="CI620" s="5"/>
      <c r="CK620" s="40"/>
      <c r="CL620" s="5"/>
      <c r="CN620" s="40"/>
      <c r="CO620" s="5"/>
      <c r="CQ620" s="40"/>
      <c r="CR620" s="5"/>
    </row>
    <row r="621">
      <c r="AL621" s="40"/>
      <c r="AM621" s="5"/>
      <c r="AO621" s="40"/>
      <c r="AP621" s="5"/>
      <c r="AR621" s="40"/>
      <c r="AS621" s="5"/>
      <c r="AU621" s="40"/>
      <c r="AV621" s="5"/>
      <c r="AX621" s="40"/>
      <c r="AY621" s="5"/>
      <c r="BA621" s="40"/>
      <c r="BB621" s="5"/>
      <c r="BD621" s="40"/>
      <c r="BE621" s="5"/>
      <c r="BG621" s="40"/>
      <c r="BH621" s="5"/>
      <c r="BJ621" s="40"/>
      <c r="BK621" s="5"/>
      <c r="BM621" s="40"/>
      <c r="BN621" s="5"/>
      <c r="BP621" s="40"/>
      <c r="BQ621" s="5"/>
      <c r="BS621" s="40"/>
      <c r="BT621" s="5"/>
      <c r="BV621" s="40"/>
      <c r="BW621" s="5"/>
      <c r="BY621" s="40"/>
      <c r="BZ621" s="5"/>
      <c r="CB621" s="40"/>
      <c r="CC621" s="5"/>
      <c r="CE621" s="40"/>
      <c r="CF621" s="5"/>
      <c r="CH621" s="40"/>
      <c r="CI621" s="5"/>
      <c r="CK621" s="40"/>
      <c r="CL621" s="5"/>
      <c r="CN621" s="40"/>
      <c r="CO621" s="5"/>
      <c r="CQ621" s="40"/>
      <c r="CR621" s="5"/>
    </row>
    <row r="622">
      <c r="AL622" s="40"/>
      <c r="AM622" s="5"/>
      <c r="AO622" s="40"/>
      <c r="AP622" s="5"/>
      <c r="AR622" s="40"/>
      <c r="AS622" s="5"/>
      <c r="AU622" s="40"/>
      <c r="AV622" s="5"/>
      <c r="AX622" s="40"/>
      <c r="AY622" s="5"/>
      <c r="BA622" s="40"/>
      <c r="BB622" s="5"/>
      <c r="BD622" s="40"/>
      <c r="BE622" s="5"/>
      <c r="BG622" s="40"/>
      <c r="BH622" s="5"/>
      <c r="BJ622" s="40"/>
      <c r="BK622" s="5"/>
      <c r="BM622" s="40"/>
      <c r="BN622" s="5"/>
      <c r="BP622" s="40"/>
      <c r="BQ622" s="5"/>
      <c r="BS622" s="40"/>
      <c r="BT622" s="5"/>
      <c r="BV622" s="40"/>
      <c r="BW622" s="5"/>
      <c r="BY622" s="40"/>
      <c r="BZ622" s="5"/>
      <c r="CB622" s="40"/>
      <c r="CC622" s="5"/>
      <c r="CE622" s="40"/>
      <c r="CF622" s="5"/>
      <c r="CH622" s="40"/>
      <c r="CI622" s="5"/>
      <c r="CK622" s="40"/>
      <c r="CL622" s="5"/>
      <c r="CN622" s="40"/>
      <c r="CO622" s="5"/>
      <c r="CQ622" s="40"/>
      <c r="CR622" s="5"/>
    </row>
    <row r="623">
      <c r="AL623" s="40"/>
      <c r="AM623" s="5"/>
      <c r="AO623" s="40"/>
      <c r="AP623" s="5"/>
      <c r="AR623" s="40"/>
      <c r="AS623" s="5"/>
      <c r="AU623" s="40"/>
      <c r="AV623" s="5"/>
      <c r="AX623" s="40"/>
      <c r="AY623" s="5"/>
      <c r="BA623" s="40"/>
      <c r="BB623" s="5"/>
      <c r="BD623" s="40"/>
      <c r="BE623" s="5"/>
      <c r="BG623" s="40"/>
      <c r="BH623" s="5"/>
      <c r="BJ623" s="40"/>
      <c r="BK623" s="5"/>
      <c r="BM623" s="40"/>
      <c r="BN623" s="5"/>
      <c r="BP623" s="40"/>
      <c r="BQ623" s="5"/>
      <c r="BS623" s="40"/>
      <c r="BT623" s="5"/>
      <c r="BV623" s="40"/>
      <c r="BW623" s="5"/>
      <c r="BY623" s="40"/>
      <c r="BZ623" s="5"/>
      <c r="CB623" s="40"/>
      <c r="CC623" s="5"/>
      <c r="CE623" s="40"/>
      <c r="CF623" s="5"/>
      <c r="CH623" s="40"/>
      <c r="CI623" s="5"/>
      <c r="CK623" s="40"/>
      <c r="CL623" s="5"/>
      <c r="CN623" s="40"/>
      <c r="CO623" s="5"/>
      <c r="CQ623" s="40"/>
      <c r="CR623" s="5"/>
    </row>
    <row r="624">
      <c r="AL624" s="40"/>
      <c r="AM624" s="5"/>
      <c r="AO624" s="40"/>
      <c r="AP624" s="5"/>
      <c r="AR624" s="40"/>
      <c r="AS624" s="5"/>
      <c r="AU624" s="40"/>
      <c r="AV624" s="5"/>
      <c r="AX624" s="40"/>
      <c r="AY624" s="5"/>
      <c r="BA624" s="40"/>
      <c r="BB624" s="5"/>
      <c r="BD624" s="40"/>
      <c r="BE624" s="5"/>
      <c r="BG624" s="40"/>
      <c r="BH624" s="5"/>
      <c r="BJ624" s="40"/>
      <c r="BK624" s="5"/>
      <c r="BM624" s="40"/>
      <c r="BN624" s="5"/>
      <c r="BP624" s="40"/>
      <c r="BQ624" s="5"/>
      <c r="BS624" s="40"/>
      <c r="BT624" s="5"/>
      <c r="BV624" s="40"/>
      <c r="BW624" s="5"/>
      <c r="BY624" s="40"/>
      <c r="BZ624" s="5"/>
      <c r="CB624" s="40"/>
      <c r="CC624" s="5"/>
      <c r="CE624" s="40"/>
      <c r="CF624" s="5"/>
      <c r="CH624" s="40"/>
      <c r="CI624" s="5"/>
      <c r="CK624" s="40"/>
      <c r="CL624" s="5"/>
      <c r="CN624" s="40"/>
      <c r="CO624" s="5"/>
      <c r="CQ624" s="40"/>
      <c r="CR624" s="5"/>
    </row>
    <row r="625">
      <c r="AL625" s="40"/>
      <c r="AM625" s="5"/>
      <c r="AO625" s="40"/>
      <c r="AP625" s="5"/>
      <c r="AR625" s="40"/>
      <c r="AS625" s="5"/>
      <c r="AU625" s="40"/>
      <c r="AV625" s="5"/>
      <c r="AX625" s="40"/>
      <c r="AY625" s="5"/>
      <c r="BA625" s="40"/>
      <c r="BB625" s="5"/>
      <c r="BD625" s="40"/>
      <c r="BE625" s="5"/>
      <c r="BG625" s="40"/>
      <c r="BH625" s="5"/>
      <c r="BJ625" s="40"/>
      <c r="BK625" s="5"/>
      <c r="BM625" s="40"/>
      <c r="BN625" s="5"/>
      <c r="BP625" s="40"/>
      <c r="BQ625" s="5"/>
      <c r="BS625" s="40"/>
      <c r="BT625" s="5"/>
      <c r="BV625" s="40"/>
      <c r="BW625" s="5"/>
      <c r="BY625" s="40"/>
      <c r="BZ625" s="5"/>
      <c r="CB625" s="40"/>
      <c r="CC625" s="5"/>
      <c r="CE625" s="40"/>
      <c r="CF625" s="5"/>
      <c r="CH625" s="40"/>
      <c r="CI625" s="5"/>
      <c r="CK625" s="40"/>
      <c r="CL625" s="5"/>
      <c r="CN625" s="40"/>
      <c r="CO625" s="5"/>
      <c r="CQ625" s="40"/>
      <c r="CR625" s="5"/>
    </row>
    <row r="626">
      <c r="AL626" s="40"/>
      <c r="AM626" s="5"/>
      <c r="AO626" s="40"/>
      <c r="AP626" s="5"/>
      <c r="AR626" s="40"/>
      <c r="AS626" s="5"/>
      <c r="AU626" s="40"/>
      <c r="AV626" s="5"/>
      <c r="AX626" s="40"/>
      <c r="AY626" s="5"/>
      <c r="BA626" s="40"/>
      <c r="BB626" s="5"/>
      <c r="BD626" s="40"/>
      <c r="BE626" s="5"/>
      <c r="BG626" s="40"/>
      <c r="BH626" s="5"/>
      <c r="BJ626" s="40"/>
      <c r="BK626" s="5"/>
      <c r="BM626" s="40"/>
      <c r="BN626" s="5"/>
      <c r="BP626" s="40"/>
      <c r="BQ626" s="5"/>
      <c r="BS626" s="40"/>
      <c r="BT626" s="5"/>
      <c r="BV626" s="40"/>
      <c r="BW626" s="5"/>
      <c r="BY626" s="40"/>
      <c r="BZ626" s="5"/>
      <c r="CB626" s="40"/>
      <c r="CC626" s="5"/>
      <c r="CE626" s="40"/>
      <c r="CF626" s="5"/>
      <c r="CH626" s="40"/>
      <c r="CI626" s="5"/>
      <c r="CK626" s="40"/>
      <c r="CL626" s="5"/>
      <c r="CN626" s="40"/>
      <c r="CO626" s="5"/>
      <c r="CQ626" s="40"/>
      <c r="CR626" s="5"/>
    </row>
    <row r="627">
      <c r="AL627" s="40"/>
      <c r="AM627" s="5"/>
      <c r="AO627" s="40"/>
      <c r="AP627" s="5"/>
      <c r="AR627" s="40"/>
      <c r="AS627" s="5"/>
      <c r="AU627" s="40"/>
      <c r="AV627" s="5"/>
      <c r="AX627" s="40"/>
      <c r="AY627" s="5"/>
      <c r="BA627" s="40"/>
      <c r="BB627" s="5"/>
      <c r="BD627" s="40"/>
      <c r="BE627" s="5"/>
      <c r="BG627" s="40"/>
      <c r="BH627" s="5"/>
      <c r="BJ627" s="40"/>
      <c r="BK627" s="5"/>
      <c r="BM627" s="40"/>
      <c r="BN627" s="5"/>
      <c r="BP627" s="40"/>
      <c r="BQ627" s="5"/>
      <c r="BS627" s="40"/>
      <c r="BT627" s="5"/>
      <c r="BV627" s="40"/>
      <c r="BW627" s="5"/>
      <c r="BY627" s="40"/>
      <c r="BZ627" s="5"/>
      <c r="CB627" s="40"/>
      <c r="CC627" s="5"/>
      <c r="CE627" s="40"/>
      <c r="CF627" s="5"/>
      <c r="CH627" s="40"/>
      <c r="CI627" s="5"/>
      <c r="CK627" s="40"/>
      <c r="CL627" s="5"/>
      <c r="CN627" s="40"/>
      <c r="CO627" s="5"/>
      <c r="CQ627" s="40"/>
      <c r="CR627" s="5"/>
    </row>
    <row r="628">
      <c r="AL628" s="40"/>
      <c r="AM628" s="5"/>
      <c r="AO628" s="40"/>
      <c r="AP628" s="5"/>
      <c r="AR628" s="40"/>
      <c r="AS628" s="5"/>
      <c r="AU628" s="40"/>
      <c r="AV628" s="5"/>
      <c r="AX628" s="40"/>
      <c r="AY628" s="5"/>
      <c r="BA628" s="40"/>
      <c r="BB628" s="5"/>
      <c r="BD628" s="40"/>
      <c r="BE628" s="5"/>
      <c r="BG628" s="40"/>
      <c r="BH628" s="5"/>
      <c r="BJ628" s="40"/>
      <c r="BK628" s="5"/>
      <c r="BM628" s="40"/>
      <c r="BN628" s="5"/>
      <c r="BP628" s="40"/>
      <c r="BQ628" s="5"/>
      <c r="BS628" s="40"/>
      <c r="BT628" s="5"/>
      <c r="BV628" s="40"/>
      <c r="BW628" s="5"/>
      <c r="BY628" s="40"/>
      <c r="BZ628" s="5"/>
      <c r="CB628" s="40"/>
      <c r="CC628" s="5"/>
      <c r="CE628" s="40"/>
      <c r="CF628" s="5"/>
      <c r="CH628" s="40"/>
      <c r="CI628" s="5"/>
      <c r="CK628" s="40"/>
      <c r="CL628" s="5"/>
      <c r="CN628" s="40"/>
      <c r="CO628" s="5"/>
      <c r="CQ628" s="40"/>
      <c r="CR628" s="5"/>
    </row>
    <row r="629">
      <c r="AL629" s="40"/>
      <c r="AM629" s="5"/>
      <c r="AO629" s="40"/>
      <c r="AP629" s="5"/>
      <c r="AR629" s="40"/>
      <c r="AS629" s="5"/>
      <c r="AU629" s="40"/>
      <c r="AV629" s="5"/>
      <c r="AX629" s="40"/>
      <c r="AY629" s="5"/>
      <c r="BA629" s="40"/>
      <c r="BB629" s="5"/>
      <c r="BD629" s="40"/>
      <c r="BE629" s="5"/>
      <c r="BG629" s="40"/>
      <c r="BH629" s="5"/>
      <c r="BJ629" s="40"/>
      <c r="BK629" s="5"/>
      <c r="BM629" s="40"/>
      <c r="BN629" s="5"/>
      <c r="BP629" s="40"/>
      <c r="BQ629" s="5"/>
      <c r="BS629" s="40"/>
      <c r="BT629" s="5"/>
      <c r="BV629" s="40"/>
      <c r="BW629" s="5"/>
      <c r="BY629" s="40"/>
      <c r="BZ629" s="5"/>
      <c r="CB629" s="40"/>
      <c r="CC629" s="5"/>
      <c r="CE629" s="40"/>
      <c r="CF629" s="5"/>
      <c r="CH629" s="40"/>
      <c r="CI629" s="5"/>
      <c r="CK629" s="40"/>
      <c r="CL629" s="5"/>
      <c r="CN629" s="40"/>
      <c r="CO629" s="5"/>
      <c r="CQ629" s="40"/>
      <c r="CR629" s="5"/>
    </row>
    <row r="630">
      <c r="AL630" s="40"/>
      <c r="AM630" s="5"/>
      <c r="AO630" s="40"/>
      <c r="AP630" s="5"/>
      <c r="AR630" s="40"/>
      <c r="AS630" s="5"/>
      <c r="AU630" s="40"/>
      <c r="AV630" s="5"/>
      <c r="AX630" s="40"/>
      <c r="AY630" s="5"/>
      <c r="BA630" s="40"/>
      <c r="BB630" s="5"/>
      <c r="BD630" s="40"/>
      <c r="BE630" s="5"/>
      <c r="BG630" s="40"/>
      <c r="BH630" s="5"/>
      <c r="BJ630" s="40"/>
      <c r="BK630" s="5"/>
      <c r="BM630" s="40"/>
      <c r="BN630" s="5"/>
      <c r="BP630" s="40"/>
      <c r="BQ630" s="5"/>
      <c r="BS630" s="40"/>
      <c r="BT630" s="5"/>
      <c r="BV630" s="40"/>
      <c r="BW630" s="5"/>
      <c r="BY630" s="40"/>
      <c r="BZ630" s="5"/>
      <c r="CB630" s="40"/>
      <c r="CC630" s="5"/>
      <c r="CE630" s="40"/>
      <c r="CF630" s="5"/>
      <c r="CH630" s="40"/>
      <c r="CI630" s="5"/>
      <c r="CK630" s="40"/>
      <c r="CL630" s="5"/>
      <c r="CN630" s="40"/>
      <c r="CO630" s="5"/>
      <c r="CQ630" s="40"/>
      <c r="CR630" s="5"/>
    </row>
    <row r="631">
      <c r="AL631" s="40"/>
      <c r="AM631" s="5"/>
      <c r="AO631" s="40"/>
      <c r="AP631" s="5"/>
      <c r="AR631" s="40"/>
      <c r="AS631" s="5"/>
      <c r="AU631" s="40"/>
      <c r="AV631" s="5"/>
      <c r="AX631" s="40"/>
      <c r="AY631" s="5"/>
      <c r="BA631" s="40"/>
      <c r="BB631" s="5"/>
      <c r="BD631" s="40"/>
      <c r="BE631" s="5"/>
      <c r="BG631" s="40"/>
      <c r="BH631" s="5"/>
      <c r="BJ631" s="40"/>
      <c r="BK631" s="5"/>
      <c r="BM631" s="40"/>
      <c r="BN631" s="5"/>
      <c r="BP631" s="40"/>
      <c r="BQ631" s="5"/>
      <c r="BS631" s="40"/>
      <c r="BT631" s="5"/>
      <c r="BV631" s="40"/>
      <c r="BW631" s="5"/>
      <c r="BY631" s="40"/>
      <c r="BZ631" s="5"/>
      <c r="CB631" s="40"/>
      <c r="CC631" s="5"/>
      <c r="CE631" s="40"/>
      <c r="CF631" s="5"/>
      <c r="CH631" s="40"/>
      <c r="CI631" s="5"/>
      <c r="CK631" s="40"/>
      <c r="CL631" s="5"/>
      <c r="CN631" s="40"/>
      <c r="CO631" s="5"/>
      <c r="CQ631" s="40"/>
      <c r="CR631" s="5"/>
    </row>
    <row r="632">
      <c r="AL632" s="40"/>
      <c r="AM632" s="5"/>
      <c r="AO632" s="40"/>
      <c r="AP632" s="5"/>
      <c r="AR632" s="40"/>
      <c r="AS632" s="5"/>
      <c r="AU632" s="40"/>
      <c r="AV632" s="5"/>
      <c r="AX632" s="40"/>
      <c r="AY632" s="5"/>
      <c r="BA632" s="40"/>
      <c r="BB632" s="5"/>
      <c r="BD632" s="40"/>
      <c r="BE632" s="5"/>
      <c r="BG632" s="40"/>
      <c r="BH632" s="5"/>
      <c r="BJ632" s="40"/>
      <c r="BK632" s="5"/>
      <c r="BM632" s="40"/>
      <c r="BN632" s="5"/>
      <c r="BP632" s="40"/>
      <c r="BQ632" s="5"/>
      <c r="BS632" s="40"/>
      <c r="BT632" s="5"/>
      <c r="BV632" s="40"/>
      <c r="BW632" s="5"/>
      <c r="BY632" s="40"/>
      <c r="BZ632" s="5"/>
      <c r="CB632" s="40"/>
      <c r="CC632" s="5"/>
      <c r="CE632" s="40"/>
      <c r="CF632" s="5"/>
      <c r="CH632" s="40"/>
      <c r="CI632" s="5"/>
      <c r="CK632" s="40"/>
      <c r="CL632" s="5"/>
      <c r="CN632" s="40"/>
      <c r="CO632" s="5"/>
      <c r="CQ632" s="40"/>
      <c r="CR632" s="5"/>
    </row>
    <row r="633">
      <c r="AL633" s="40"/>
      <c r="AM633" s="5"/>
      <c r="AO633" s="40"/>
      <c r="AP633" s="5"/>
      <c r="AR633" s="40"/>
      <c r="AS633" s="5"/>
      <c r="AU633" s="40"/>
      <c r="AV633" s="5"/>
      <c r="AX633" s="40"/>
      <c r="AY633" s="5"/>
      <c r="BA633" s="40"/>
      <c r="BB633" s="5"/>
      <c r="BD633" s="40"/>
      <c r="BE633" s="5"/>
      <c r="BG633" s="40"/>
      <c r="BH633" s="5"/>
      <c r="BJ633" s="40"/>
      <c r="BK633" s="5"/>
      <c r="BM633" s="40"/>
      <c r="BN633" s="5"/>
      <c r="BP633" s="40"/>
      <c r="BQ633" s="5"/>
      <c r="BS633" s="40"/>
      <c r="BT633" s="5"/>
      <c r="BV633" s="40"/>
      <c r="BW633" s="5"/>
      <c r="BY633" s="40"/>
      <c r="BZ633" s="5"/>
      <c r="CB633" s="40"/>
      <c r="CC633" s="5"/>
      <c r="CE633" s="40"/>
      <c r="CF633" s="5"/>
      <c r="CH633" s="40"/>
      <c r="CI633" s="5"/>
      <c r="CK633" s="40"/>
      <c r="CL633" s="5"/>
      <c r="CN633" s="40"/>
      <c r="CO633" s="5"/>
      <c r="CQ633" s="40"/>
      <c r="CR633" s="5"/>
    </row>
    <row r="634">
      <c r="AL634" s="40"/>
      <c r="AM634" s="5"/>
      <c r="AO634" s="40"/>
      <c r="AP634" s="5"/>
      <c r="AR634" s="40"/>
      <c r="AS634" s="5"/>
      <c r="AU634" s="40"/>
      <c r="AV634" s="5"/>
      <c r="AX634" s="40"/>
      <c r="AY634" s="5"/>
      <c r="BA634" s="40"/>
      <c r="BB634" s="5"/>
      <c r="BD634" s="40"/>
      <c r="BE634" s="5"/>
      <c r="BG634" s="40"/>
      <c r="BH634" s="5"/>
      <c r="BJ634" s="40"/>
      <c r="BK634" s="5"/>
      <c r="BM634" s="40"/>
      <c r="BN634" s="5"/>
      <c r="BP634" s="40"/>
      <c r="BQ634" s="5"/>
      <c r="BS634" s="40"/>
      <c r="BT634" s="5"/>
      <c r="BV634" s="40"/>
      <c r="BW634" s="5"/>
      <c r="BY634" s="40"/>
      <c r="BZ634" s="5"/>
      <c r="CB634" s="40"/>
      <c r="CC634" s="5"/>
      <c r="CE634" s="40"/>
      <c r="CF634" s="5"/>
      <c r="CH634" s="40"/>
      <c r="CI634" s="5"/>
      <c r="CK634" s="40"/>
      <c r="CL634" s="5"/>
      <c r="CN634" s="40"/>
      <c r="CO634" s="5"/>
      <c r="CQ634" s="40"/>
      <c r="CR634" s="5"/>
    </row>
    <row r="635">
      <c r="AL635" s="40"/>
      <c r="AM635" s="5"/>
      <c r="AO635" s="40"/>
      <c r="AP635" s="5"/>
      <c r="AR635" s="40"/>
      <c r="AS635" s="5"/>
      <c r="AU635" s="40"/>
      <c r="AV635" s="5"/>
      <c r="AX635" s="40"/>
      <c r="AY635" s="5"/>
      <c r="BA635" s="40"/>
      <c r="BB635" s="5"/>
      <c r="BD635" s="40"/>
      <c r="BE635" s="5"/>
      <c r="BG635" s="40"/>
      <c r="BH635" s="5"/>
      <c r="BJ635" s="40"/>
      <c r="BK635" s="5"/>
      <c r="BM635" s="40"/>
      <c r="BN635" s="5"/>
      <c r="BP635" s="40"/>
      <c r="BQ635" s="5"/>
      <c r="BS635" s="40"/>
      <c r="BT635" s="5"/>
      <c r="BV635" s="40"/>
      <c r="BW635" s="5"/>
      <c r="BY635" s="40"/>
      <c r="BZ635" s="5"/>
      <c r="CB635" s="40"/>
      <c r="CC635" s="5"/>
      <c r="CE635" s="40"/>
      <c r="CF635" s="5"/>
      <c r="CH635" s="40"/>
      <c r="CI635" s="5"/>
      <c r="CK635" s="40"/>
      <c r="CL635" s="5"/>
      <c r="CN635" s="40"/>
      <c r="CO635" s="5"/>
      <c r="CQ635" s="40"/>
      <c r="CR635" s="5"/>
    </row>
    <row r="636">
      <c r="AL636" s="40"/>
      <c r="AM636" s="5"/>
      <c r="AO636" s="40"/>
      <c r="AP636" s="5"/>
      <c r="AR636" s="40"/>
      <c r="AS636" s="5"/>
      <c r="AU636" s="40"/>
      <c r="AV636" s="5"/>
      <c r="AX636" s="40"/>
      <c r="AY636" s="5"/>
      <c r="BA636" s="40"/>
      <c r="BB636" s="5"/>
      <c r="BD636" s="40"/>
      <c r="BE636" s="5"/>
      <c r="BG636" s="40"/>
      <c r="BH636" s="5"/>
      <c r="BJ636" s="40"/>
      <c r="BK636" s="5"/>
      <c r="BM636" s="40"/>
      <c r="BN636" s="5"/>
      <c r="BP636" s="40"/>
      <c r="BQ636" s="5"/>
      <c r="BS636" s="40"/>
      <c r="BT636" s="5"/>
      <c r="BV636" s="40"/>
      <c r="BW636" s="5"/>
      <c r="BY636" s="40"/>
      <c r="BZ636" s="5"/>
      <c r="CB636" s="40"/>
      <c r="CC636" s="5"/>
      <c r="CE636" s="40"/>
      <c r="CF636" s="5"/>
      <c r="CH636" s="40"/>
      <c r="CI636" s="5"/>
      <c r="CK636" s="40"/>
      <c r="CL636" s="5"/>
      <c r="CN636" s="40"/>
      <c r="CO636" s="5"/>
      <c r="CQ636" s="40"/>
      <c r="CR636" s="5"/>
    </row>
    <row r="637">
      <c r="AL637" s="40"/>
      <c r="AM637" s="5"/>
      <c r="AO637" s="40"/>
      <c r="AP637" s="5"/>
      <c r="AR637" s="40"/>
      <c r="AS637" s="5"/>
      <c r="AU637" s="40"/>
      <c r="AV637" s="5"/>
      <c r="AX637" s="40"/>
      <c r="AY637" s="5"/>
      <c r="BA637" s="40"/>
      <c r="BB637" s="5"/>
      <c r="BD637" s="40"/>
      <c r="BE637" s="5"/>
      <c r="BG637" s="40"/>
      <c r="BH637" s="5"/>
      <c r="BJ637" s="40"/>
      <c r="BK637" s="5"/>
      <c r="BM637" s="40"/>
      <c r="BN637" s="5"/>
      <c r="BP637" s="40"/>
      <c r="BQ637" s="5"/>
      <c r="BS637" s="40"/>
      <c r="BT637" s="5"/>
      <c r="BV637" s="40"/>
      <c r="BW637" s="5"/>
      <c r="BY637" s="40"/>
      <c r="BZ637" s="5"/>
      <c r="CB637" s="40"/>
      <c r="CC637" s="5"/>
      <c r="CE637" s="40"/>
      <c r="CF637" s="5"/>
      <c r="CH637" s="40"/>
      <c r="CI637" s="5"/>
      <c r="CK637" s="40"/>
      <c r="CL637" s="5"/>
      <c r="CN637" s="40"/>
      <c r="CO637" s="5"/>
      <c r="CQ637" s="40"/>
      <c r="CR637" s="5"/>
    </row>
    <row r="638">
      <c r="AL638" s="40"/>
      <c r="AM638" s="5"/>
      <c r="AO638" s="40"/>
      <c r="AP638" s="5"/>
      <c r="AR638" s="40"/>
      <c r="AS638" s="5"/>
      <c r="AU638" s="40"/>
      <c r="AV638" s="5"/>
      <c r="AX638" s="40"/>
      <c r="AY638" s="5"/>
      <c r="BA638" s="40"/>
      <c r="BB638" s="5"/>
      <c r="BD638" s="40"/>
      <c r="BE638" s="5"/>
      <c r="BG638" s="40"/>
      <c r="BH638" s="5"/>
      <c r="BJ638" s="40"/>
      <c r="BK638" s="5"/>
      <c r="BM638" s="40"/>
      <c r="BN638" s="5"/>
      <c r="BP638" s="40"/>
      <c r="BQ638" s="5"/>
      <c r="BS638" s="40"/>
      <c r="BT638" s="5"/>
      <c r="BV638" s="40"/>
      <c r="BW638" s="5"/>
      <c r="BY638" s="40"/>
      <c r="BZ638" s="5"/>
      <c r="CB638" s="40"/>
      <c r="CC638" s="5"/>
      <c r="CE638" s="40"/>
      <c r="CF638" s="5"/>
      <c r="CH638" s="40"/>
      <c r="CI638" s="5"/>
      <c r="CK638" s="40"/>
      <c r="CL638" s="5"/>
      <c r="CN638" s="40"/>
      <c r="CO638" s="5"/>
      <c r="CQ638" s="40"/>
      <c r="CR638" s="5"/>
    </row>
    <row r="639">
      <c r="AL639" s="40"/>
      <c r="AM639" s="5"/>
      <c r="AO639" s="40"/>
      <c r="AP639" s="5"/>
      <c r="AR639" s="40"/>
      <c r="AS639" s="5"/>
      <c r="AU639" s="40"/>
      <c r="AV639" s="5"/>
      <c r="AX639" s="40"/>
      <c r="AY639" s="5"/>
      <c r="BA639" s="40"/>
      <c r="BB639" s="5"/>
      <c r="BD639" s="40"/>
      <c r="BE639" s="5"/>
      <c r="BG639" s="40"/>
      <c r="BH639" s="5"/>
      <c r="BJ639" s="40"/>
      <c r="BK639" s="5"/>
      <c r="BM639" s="40"/>
      <c r="BN639" s="5"/>
      <c r="BP639" s="40"/>
      <c r="BQ639" s="5"/>
      <c r="BS639" s="40"/>
      <c r="BT639" s="5"/>
      <c r="BV639" s="40"/>
      <c r="BW639" s="5"/>
      <c r="BY639" s="40"/>
      <c r="BZ639" s="5"/>
      <c r="CB639" s="40"/>
      <c r="CC639" s="5"/>
      <c r="CE639" s="40"/>
      <c r="CF639" s="5"/>
      <c r="CH639" s="40"/>
      <c r="CI639" s="5"/>
      <c r="CK639" s="40"/>
      <c r="CL639" s="5"/>
      <c r="CN639" s="40"/>
      <c r="CO639" s="5"/>
      <c r="CQ639" s="40"/>
      <c r="CR639" s="5"/>
    </row>
    <row r="640">
      <c r="AL640" s="40"/>
      <c r="AM640" s="5"/>
      <c r="AO640" s="40"/>
      <c r="AP640" s="5"/>
      <c r="AR640" s="40"/>
      <c r="AS640" s="5"/>
      <c r="AU640" s="40"/>
      <c r="AV640" s="5"/>
      <c r="AX640" s="40"/>
      <c r="AY640" s="5"/>
      <c r="BA640" s="40"/>
      <c r="BB640" s="5"/>
      <c r="BD640" s="40"/>
      <c r="BE640" s="5"/>
      <c r="BG640" s="40"/>
      <c r="BH640" s="5"/>
      <c r="BJ640" s="40"/>
      <c r="BK640" s="5"/>
      <c r="BM640" s="40"/>
      <c r="BN640" s="5"/>
      <c r="BP640" s="40"/>
      <c r="BQ640" s="5"/>
      <c r="BS640" s="40"/>
      <c r="BT640" s="5"/>
      <c r="BV640" s="40"/>
      <c r="BW640" s="5"/>
      <c r="BY640" s="40"/>
      <c r="BZ640" s="5"/>
      <c r="CB640" s="40"/>
      <c r="CC640" s="5"/>
      <c r="CE640" s="40"/>
      <c r="CF640" s="5"/>
      <c r="CH640" s="40"/>
      <c r="CI640" s="5"/>
      <c r="CK640" s="40"/>
      <c r="CL640" s="5"/>
      <c r="CN640" s="40"/>
      <c r="CO640" s="5"/>
      <c r="CQ640" s="40"/>
      <c r="CR640" s="5"/>
    </row>
    <row r="641">
      <c r="AL641" s="40"/>
      <c r="AM641" s="5"/>
      <c r="AO641" s="40"/>
      <c r="AP641" s="5"/>
      <c r="AR641" s="40"/>
      <c r="AS641" s="5"/>
      <c r="AU641" s="40"/>
      <c r="AV641" s="5"/>
      <c r="AX641" s="40"/>
      <c r="AY641" s="5"/>
      <c r="BA641" s="40"/>
      <c r="BB641" s="5"/>
      <c r="BD641" s="40"/>
      <c r="BE641" s="5"/>
      <c r="BG641" s="40"/>
      <c r="BH641" s="5"/>
      <c r="BJ641" s="40"/>
      <c r="BK641" s="5"/>
      <c r="BM641" s="40"/>
      <c r="BN641" s="5"/>
      <c r="BP641" s="40"/>
      <c r="BQ641" s="5"/>
      <c r="BS641" s="40"/>
      <c r="BT641" s="5"/>
      <c r="BV641" s="40"/>
      <c r="BW641" s="5"/>
      <c r="BY641" s="40"/>
      <c r="BZ641" s="5"/>
      <c r="CB641" s="40"/>
      <c r="CC641" s="5"/>
      <c r="CE641" s="40"/>
      <c r="CF641" s="5"/>
      <c r="CH641" s="40"/>
      <c r="CI641" s="5"/>
      <c r="CK641" s="40"/>
      <c r="CL641" s="5"/>
      <c r="CN641" s="40"/>
      <c r="CO641" s="5"/>
      <c r="CQ641" s="40"/>
      <c r="CR641" s="5"/>
    </row>
    <row r="642">
      <c r="AL642" s="40"/>
      <c r="AM642" s="5"/>
      <c r="AO642" s="40"/>
      <c r="AP642" s="5"/>
      <c r="AR642" s="40"/>
      <c r="AS642" s="5"/>
      <c r="AU642" s="40"/>
      <c r="AV642" s="5"/>
      <c r="AX642" s="40"/>
      <c r="AY642" s="5"/>
      <c r="BA642" s="40"/>
      <c r="BB642" s="5"/>
      <c r="BD642" s="40"/>
      <c r="BE642" s="5"/>
      <c r="BG642" s="40"/>
      <c r="BH642" s="5"/>
      <c r="BJ642" s="40"/>
      <c r="BK642" s="5"/>
      <c r="BM642" s="40"/>
      <c r="BN642" s="5"/>
      <c r="BP642" s="40"/>
      <c r="BQ642" s="5"/>
      <c r="BS642" s="40"/>
      <c r="BT642" s="5"/>
      <c r="BV642" s="40"/>
      <c r="BW642" s="5"/>
      <c r="BY642" s="40"/>
      <c r="BZ642" s="5"/>
      <c r="CB642" s="40"/>
      <c r="CC642" s="5"/>
      <c r="CE642" s="40"/>
      <c r="CF642" s="5"/>
      <c r="CH642" s="40"/>
      <c r="CI642" s="5"/>
      <c r="CK642" s="40"/>
      <c r="CL642" s="5"/>
      <c r="CN642" s="40"/>
      <c r="CO642" s="5"/>
      <c r="CQ642" s="40"/>
      <c r="CR642" s="5"/>
    </row>
    <row r="643">
      <c r="AL643" s="40"/>
      <c r="AM643" s="5"/>
      <c r="AO643" s="40"/>
      <c r="AP643" s="5"/>
      <c r="AR643" s="40"/>
      <c r="AS643" s="5"/>
      <c r="AU643" s="40"/>
      <c r="AV643" s="5"/>
      <c r="AX643" s="40"/>
      <c r="AY643" s="5"/>
      <c r="BA643" s="40"/>
      <c r="BB643" s="5"/>
      <c r="BD643" s="40"/>
      <c r="BE643" s="5"/>
      <c r="BG643" s="40"/>
      <c r="BH643" s="5"/>
      <c r="BJ643" s="40"/>
      <c r="BK643" s="5"/>
      <c r="BM643" s="40"/>
      <c r="BN643" s="5"/>
      <c r="BP643" s="40"/>
      <c r="BQ643" s="5"/>
      <c r="BS643" s="40"/>
      <c r="BT643" s="5"/>
      <c r="BV643" s="40"/>
      <c r="BW643" s="5"/>
      <c r="BY643" s="40"/>
      <c r="BZ643" s="5"/>
      <c r="CB643" s="40"/>
      <c r="CC643" s="5"/>
      <c r="CE643" s="40"/>
      <c r="CF643" s="5"/>
      <c r="CH643" s="40"/>
      <c r="CI643" s="5"/>
      <c r="CK643" s="40"/>
      <c r="CL643" s="5"/>
      <c r="CN643" s="40"/>
      <c r="CO643" s="5"/>
      <c r="CQ643" s="40"/>
      <c r="CR643" s="5"/>
    </row>
    <row r="644">
      <c r="AL644" s="40"/>
      <c r="AM644" s="5"/>
      <c r="AO644" s="40"/>
      <c r="AP644" s="5"/>
      <c r="AR644" s="40"/>
      <c r="AS644" s="5"/>
      <c r="AU644" s="40"/>
      <c r="AV644" s="5"/>
      <c r="AX644" s="40"/>
      <c r="AY644" s="5"/>
      <c r="BA644" s="40"/>
      <c r="BB644" s="5"/>
      <c r="BD644" s="40"/>
      <c r="BE644" s="5"/>
      <c r="BG644" s="40"/>
      <c r="BH644" s="5"/>
      <c r="BJ644" s="40"/>
      <c r="BK644" s="5"/>
      <c r="BM644" s="40"/>
      <c r="BN644" s="5"/>
      <c r="BP644" s="40"/>
      <c r="BQ644" s="5"/>
      <c r="BS644" s="40"/>
      <c r="BT644" s="5"/>
      <c r="BV644" s="40"/>
      <c r="BW644" s="5"/>
      <c r="BY644" s="40"/>
      <c r="BZ644" s="5"/>
      <c r="CB644" s="40"/>
      <c r="CC644" s="5"/>
      <c r="CE644" s="40"/>
      <c r="CF644" s="5"/>
      <c r="CH644" s="40"/>
      <c r="CI644" s="5"/>
      <c r="CK644" s="40"/>
      <c r="CL644" s="5"/>
      <c r="CN644" s="40"/>
      <c r="CO644" s="5"/>
      <c r="CQ644" s="40"/>
      <c r="CR644" s="5"/>
    </row>
    <row r="645">
      <c r="AL645" s="40"/>
      <c r="AM645" s="5"/>
      <c r="AO645" s="40"/>
      <c r="AP645" s="5"/>
      <c r="AR645" s="40"/>
      <c r="AS645" s="5"/>
      <c r="AU645" s="40"/>
      <c r="AV645" s="5"/>
      <c r="AX645" s="40"/>
      <c r="AY645" s="5"/>
      <c r="BA645" s="40"/>
      <c r="BB645" s="5"/>
      <c r="BD645" s="40"/>
      <c r="BE645" s="5"/>
      <c r="BG645" s="40"/>
      <c r="BH645" s="5"/>
      <c r="BJ645" s="40"/>
      <c r="BK645" s="5"/>
      <c r="BM645" s="40"/>
      <c r="BN645" s="5"/>
      <c r="BP645" s="40"/>
      <c r="BQ645" s="5"/>
      <c r="BS645" s="40"/>
      <c r="BT645" s="5"/>
      <c r="BV645" s="40"/>
      <c r="BW645" s="5"/>
      <c r="BY645" s="40"/>
      <c r="BZ645" s="5"/>
      <c r="CB645" s="40"/>
      <c r="CC645" s="5"/>
      <c r="CE645" s="40"/>
      <c r="CF645" s="5"/>
      <c r="CH645" s="40"/>
      <c r="CI645" s="5"/>
      <c r="CK645" s="40"/>
      <c r="CL645" s="5"/>
      <c r="CN645" s="40"/>
      <c r="CO645" s="5"/>
      <c r="CQ645" s="40"/>
      <c r="CR645" s="5"/>
    </row>
    <row r="646">
      <c r="AL646" s="40"/>
      <c r="AM646" s="5"/>
      <c r="AO646" s="40"/>
      <c r="AP646" s="5"/>
      <c r="AR646" s="40"/>
      <c r="AS646" s="5"/>
      <c r="AU646" s="40"/>
      <c r="AV646" s="5"/>
      <c r="AX646" s="40"/>
      <c r="AY646" s="5"/>
      <c r="BA646" s="40"/>
      <c r="BB646" s="5"/>
      <c r="BD646" s="40"/>
      <c r="BE646" s="5"/>
      <c r="BG646" s="40"/>
      <c r="BH646" s="5"/>
      <c r="BJ646" s="40"/>
      <c r="BK646" s="5"/>
      <c r="BM646" s="40"/>
      <c r="BN646" s="5"/>
      <c r="BP646" s="40"/>
      <c r="BQ646" s="5"/>
      <c r="BS646" s="40"/>
      <c r="BT646" s="5"/>
      <c r="BV646" s="40"/>
      <c r="BW646" s="5"/>
      <c r="BY646" s="40"/>
      <c r="BZ646" s="5"/>
      <c r="CB646" s="40"/>
      <c r="CC646" s="5"/>
      <c r="CE646" s="40"/>
      <c r="CF646" s="5"/>
      <c r="CH646" s="40"/>
      <c r="CI646" s="5"/>
      <c r="CK646" s="40"/>
      <c r="CL646" s="5"/>
      <c r="CN646" s="40"/>
      <c r="CO646" s="5"/>
      <c r="CQ646" s="40"/>
      <c r="CR646" s="5"/>
    </row>
    <row r="647">
      <c r="AL647" s="40"/>
      <c r="AM647" s="5"/>
      <c r="AO647" s="40"/>
      <c r="AP647" s="5"/>
      <c r="AR647" s="40"/>
      <c r="AS647" s="5"/>
      <c r="AU647" s="40"/>
      <c r="AV647" s="5"/>
      <c r="AX647" s="40"/>
      <c r="AY647" s="5"/>
      <c r="BA647" s="40"/>
      <c r="BB647" s="5"/>
      <c r="BD647" s="40"/>
      <c r="BE647" s="5"/>
      <c r="BG647" s="40"/>
      <c r="BH647" s="5"/>
      <c r="BJ647" s="40"/>
      <c r="BK647" s="5"/>
      <c r="BM647" s="40"/>
      <c r="BN647" s="5"/>
      <c r="BP647" s="40"/>
      <c r="BQ647" s="5"/>
      <c r="BS647" s="40"/>
      <c r="BT647" s="5"/>
      <c r="BV647" s="40"/>
      <c r="BW647" s="5"/>
      <c r="BY647" s="40"/>
      <c r="BZ647" s="5"/>
      <c r="CB647" s="40"/>
      <c r="CC647" s="5"/>
      <c r="CE647" s="40"/>
      <c r="CF647" s="5"/>
      <c r="CH647" s="40"/>
      <c r="CI647" s="5"/>
      <c r="CK647" s="40"/>
      <c r="CL647" s="5"/>
      <c r="CN647" s="40"/>
      <c r="CO647" s="5"/>
      <c r="CQ647" s="40"/>
      <c r="CR647" s="5"/>
    </row>
    <row r="648">
      <c r="AL648" s="40"/>
      <c r="AM648" s="5"/>
      <c r="AO648" s="40"/>
      <c r="AP648" s="5"/>
      <c r="AR648" s="40"/>
      <c r="AS648" s="5"/>
      <c r="AU648" s="40"/>
      <c r="AV648" s="5"/>
      <c r="AX648" s="40"/>
      <c r="AY648" s="5"/>
      <c r="BA648" s="40"/>
      <c r="BB648" s="5"/>
      <c r="BD648" s="40"/>
      <c r="BE648" s="5"/>
      <c r="BG648" s="40"/>
      <c r="BH648" s="5"/>
      <c r="BJ648" s="40"/>
      <c r="BK648" s="5"/>
      <c r="BM648" s="40"/>
      <c r="BN648" s="5"/>
      <c r="BP648" s="40"/>
      <c r="BQ648" s="5"/>
      <c r="BS648" s="40"/>
      <c r="BT648" s="5"/>
      <c r="BV648" s="40"/>
      <c r="BW648" s="5"/>
      <c r="BY648" s="40"/>
      <c r="BZ648" s="5"/>
      <c r="CB648" s="40"/>
      <c r="CC648" s="5"/>
      <c r="CE648" s="40"/>
      <c r="CF648" s="5"/>
      <c r="CH648" s="40"/>
      <c r="CI648" s="5"/>
      <c r="CK648" s="40"/>
      <c r="CL648" s="5"/>
      <c r="CN648" s="40"/>
      <c r="CO648" s="5"/>
      <c r="CQ648" s="40"/>
      <c r="CR648" s="5"/>
    </row>
    <row r="649">
      <c r="AL649" s="40"/>
      <c r="AM649" s="5"/>
      <c r="AO649" s="40"/>
      <c r="AP649" s="5"/>
      <c r="AR649" s="40"/>
      <c r="AS649" s="5"/>
      <c r="AU649" s="40"/>
      <c r="AV649" s="5"/>
      <c r="AX649" s="40"/>
      <c r="AY649" s="5"/>
      <c r="BA649" s="40"/>
      <c r="BB649" s="5"/>
      <c r="BD649" s="40"/>
      <c r="BE649" s="5"/>
      <c r="BG649" s="40"/>
      <c r="BH649" s="5"/>
      <c r="BJ649" s="40"/>
      <c r="BK649" s="5"/>
      <c r="BM649" s="40"/>
      <c r="BN649" s="5"/>
      <c r="BP649" s="40"/>
      <c r="BQ649" s="5"/>
      <c r="BS649" s="40"/>
      <c r="BT649" s="5"/>
      <c r="BV649" s="40"/>
      <c r="BW649" s="5"/>
      <c r="BY649" s="40"/>
      <c r="BZ649" s="5"/>
      <c r="CB649" s="40"/>
      <c r="CC649" s="5"/>
      <c r="CE649" s="40"/>
      <c r="CF649" s="5"/>
      <c r="CH649" s="40"/>
      <c r="CI649" s="5"/>
      <c r="CK649" s="40"/>
      <c r="CL649" s="5"/>
      <c r="CN649" s="40"/>
      <c r="CO649" s="5"/>
      <c r="CQ649" s="40"/>
      <c r="CR649" s="5"/>
    </row>
    <row r="650">
      <c r="AL650" s="40"/>
      <c r="AM650" s="5"/>
      <c r="AO650" s="40"/>
      <c r="AP650" s="5"/>
      <c r="AR650" s="40"/>
      <c r="AS650" s="5"/>
      <c r="AU650" s="40"/>
      <c r="AV650" s="5"/>
      <c r="AX650" s="40"/>
      <c r="AY650" s="5"/>
      <c r="BA650" s="40"/>
      <c r="BB650" s="5"/>
      <c r="BD650" s="40"/>
      <c r="BE650" s="5"/>
      <c r="BG650" s="40"/>
      <c r="BH650" s="5"/>
      <c r="BJ650" s="40"/>
      <c r="BK650" s="5"/>
      <c r="BM650" s="40"/>
      <c r="BN650" s="5"/>
      <c r="BP650" s="40"/>
      <c r="BQ650" s="5"/>
      <c r="BS650" s="40"/>
      <c r="BT650" s="5"/>
      <c r="BV650" s="40"/>
      <c r="BW650" s="5"/>
      <c r="BY650" s="40"/>
      <c r="BZ650" s="5"/>
      <c r="CB650" s="40"/>
      <c r="CC650" s="5"/>
      <c r="CE650" s="40"/>
      <c r="CF650" s="5"/>
      <c r="CH650" s="40"/>
      <c r="CI650" s="5"/>
      <c r="CK650" s="40"/>
      <c r="CL650" s="5"/>
      <c r="CN650" s="40"/>
      <c r="CO650" s="5"/>
      <c r="CQ650" s="40"/>
      <c r="CR650" s="5"/>
    </row>
    <row r="651">
      <c r="AL651" s="40"/>
      <c r="AM651" s="5"/>
      <c r="AO651" s="40"/>
      <c r="AP651" s="5"/>
      <c r="AR651" s="40"/>
      <c r="AS651" s="5"/>
      <c r="AU651" s="40"/>
      <c r="AV651" s="5"/>
      <c r="AX651" s="40"/>
      <c r="AY651" s="5"/>
      <c r="BA651" s="40"/>
      <c r="BB651" s="5"/>
      <c r="BD651" s="40"/>
      <c r="BE651" s="5"/>
      <c r="BG651" s="40"/>
      <c r="BH651" s="5"/>
      <c r="BJ651" s="40"/>
      <c r="BK651" s="5"/>
      <c r="BM651" s="40"/>
      <c r="BN651" s="5"/>
      <c r="BP651" s="40"/>
      <c r="BQ651" s="5"/>
      <c r="BS651" s="40"/>
      <c r="BT651" s="5"/>
      <c r="BV651" s="40"/>
      <c r="BW651" s="5"/>
      <c r="BY651" s="40"/>
      <c r="BZ651" s="5"/>
      <c r="CB651" s="40"/>
      <c r="CC651" s="5"/>
      <c r="CE651" s="40"/>
      <c r="CF651" s="5"/>
      <c r="CH651" s="40"/>
      <c r="CI651" s="5"/>
      <c r="CK651" s="40"/>
      <c r="CL651" s="5"/>
      <c r="CN651" s="40"/>
      <c r="CO651" s="5"/>
      <c r="CQ651" s="40"/>
      <c r="CR651" s="5"/>
    </row>
    <row r="652">
      <c r="AL652" s="40"/>
      <c r="AM652" s="5"/>
      <c r="AO652" s="40"/>
      <c r="AP652" s="5"/>
      <c r="AR652" s="40"/>
      <c r="AS652" s="5"/>
      <c r="AU652" s="40"/>
      <c r="AV652" s="5"/>
      <c r="AX652" s="40"/>
      <c r="AY652" s="5"/>
      <c r="BA652" s="40"/>
      <c r="BB652" s="5"/>
      <c r="BD652" s="40"/>
      <c r="BE652" s="5"/>
      <c r="BG652" s="40"/>
      <c r="BH652" s="5"/>
      <c r="BJ652" s="40"/>
      <c r="BK652" s="5"/>
      <c r="BM652" s="40"/>
      <c r="BN652" s="5"/>
      <c r="BP652" s="40"/>
      <c r="BQ652" s="5"/>
      <c r="BS652" s="40"/>
      <c r="BT652" s="5"/>
      <c r="BV652" s="40"/>
      <c r="BW652" s="5"/>
      <c r="BY652" s="40"/>
      <c r="BZ652" s="5"/>
      <c r="CB652" s="40"/>
      <c r="CC652" s="5"/>
      <c r="CE652" s="40"/>
      <c r="CF652" s="5"/>
      <c r="CH652" s="40"/>
      <c r="CI652" s="5"/>
      <c r="CK652" s="40"/>
      <c r="CL652" s="5"/>
      <c r="CN652" s="40"/>
      <c r="CO652" s="5"/>
      <c r="CQ652" s="40"/>
      <c r="CR652" s="5"/>
    </row>
    <row r="653">
      <c r="AL653" s="40"/>
      <c r="AM653" s="5"/>
      <c r="AO653" s="40"/>
      <c r="AP653" s="5"/>
      <c r="AR653" s="40"/>
      <c r="AS653" s="5"/>
      <c r="AU653" s="40"/>
      <c r="AV653" s="5"/>
      <c r="AX653" s="40"/>
      <c r="AY653" s="5"/>
      <c r="BA653" s="40"/>
      <c r="BB653" s="5"/>
      <c r="BD653" s="40"/>
      <c r="BE653" s="5"/>
      <c r="BG653" s="40"/>
      <c r="BH653" s="5"/>
      <c r="BJ653" s="40"/>
      <c r="BK653" s="5"/>
      <c r="BM653" s="40"/>
      <c r="BN653" s="5"/>
      <c r="BP653" s="40"/>
      <c r="BQ653" s="5"/>
      <c r="BS653" s="40"/>
      <c r="BT653" s="5"/>
      <c r="BV653" s="40"/>
      <c r="BW653" s="5"/>
      <c r="BY653" s="40"/>
      <c r="BZ653" s="5"/>
      <c r="CB653" s="40"/>
      <c r="CC653" s="5"/>
      <c r="CE653" s="40"/>
      <c r="CF653" s="5"/>
      <c r="CH653" s="40"/>
      <c r="CI653" s="5"/>
      <c r="CK653" s="40"/>
      <c r="CL653" s="5"/>
      <c r="CN653" s="40"/>
      <c r="CO653" s="5"/>
      <c r="CQ653" s="40"/>
      <c r="CR653" s="5"/>
    </row>
    <row r="654">
      <c r="AL654" s="40"/>
      <c r="AM654" s="5"/>
      <c r="AO654" s="40"/>
      <c r="AP654" s="5"/>
      <c r="AR654" s="40"/>
      <c r="AS654" s="5"/>
      <c r="AU654" s="40"/>
      <c r="AV654" s="5"/>
      <c r="AX654" s="40"/>
      <c r="AY654" s="5"/>
      <c r="BA654" s="40"/>
      <c r="BB654" s="5"/>
      <c r="BD654" s="40"/>
      <c r="BE654" s="5"/>
      <c r="BG654" s="40"/>
      <c r="BH654" s="5"/>
      <c r="BJ654" s="40"/>
      <c r="BK654" s="5"/>
      <c r="BM654" s="40"/>
      <c r="BN654" s="5"/>
      <c r="BP654" s="40"/>
      <c r="BQ654" s="5"/>
      <c r="BS654" s="40"/>
      <c r="BT654" s="5"/>
      <c r="BV654" s="40"/>
      <c r="BW654" s="5"/>
      <c r="BY654" s="40"/>
      <c r="BZ654" s="5"/>
      <c r="CB654" s="40"/>
      <c r="CC654" s="5"/>
      <c r="CE654" s="40"/>
      <c r="CF654" s="5"/>
      <c r="CH654" s="40"/>
      <c r="CI654" s="5"/>
      <c r="CK654" s="40"/>
      <c r="CL654" s="5"/>
      <c r="CN654" s="40"/>
      <c r="CO654" s="5"/>
      <c r="CQ654" s="40"/>
      <c r="CR654" s="5"/>
    </row>
    <row r="655">
      <c r="AL655" s="40"/>
      <c r="AM655" s="5"/>
      <c r="AO655" s="40"/>
      <c r="AP655" s="5"/>
      <c r="AR655" s="40"/>
      <c r="AS655" s="5"/>
      <c r="AU655" s="40"/>
      <c r="AV655" s="5"/>
      <c r="AX655" s="40"/>
      <c r="AY655" s="5"/>
      <c r="BA655" s="40"/>
      <c r="BB655" s="5"/>
      <c r="BD655" s="40"/>
      <c r="BE655" s="5"/>
      <c r="BG655" s="40"/>
      <c r="BH655" s="5"/>
      <c r="BJ655" s="40"/>
      <c r="BK655" s="5"/>
      <c r="BM655" s="40"/>
      <c r="BN655" s="5"/>
      <c r="BP655" s="40"/>
      <c r="BQ655" s="5"/>
      <c r="BS655" s="40"/>
      <c r="BT655" s="5"/>
      <c r="BV655" s="40"/>
      <c r="BW655" s="5"/>
      <c r="BY655" s="40"/>
      <c r="BZ655" s="5"/>
      <c r="CB655" s="40"/>
      <c r="CC655" s="5"/>
      <c r="CE655" s="40"/>
      <c r="CF655" s="5"/>
      <c r="CH655" s="40"/>
      <c r="CI655" s="5"/>
      <c r="CK655" s="40"/>
      <c r="CL655" s="5"/>
      <c r="CN655" s="40"/>
      <c r="CO655" s="5"/>
      <c r="CQ655" s="40"/>
      <c r="CR655" s="5"/>
    </row>
    <row r="656">
      <c r="AL656" s="40"/>
      <c r="AM656" s="5"/>
      <c r="AO656" s="40"/>
      <c r="AP656" s="5"/>
      <c r="AR656" s="40"/>
      <c r="AS656" s="5"/>
      <c r="AU656" s="40"/>
      <c r="AV656" s="5"/>
      <c r="AX656" s="40"/>
      <c r="AY656" s="5"/>
      <c r="BA656" s="40"/>
      <c r="BB656" s="5"/>
      <c r="BD656" s="40"/>
      <c r="BE656" s="5"/>
      <c r="BG656" s="40"/>
      <c r="BH656" s="5"/>
      <c r="BJ656" s="40"/>
      <c r="BK656" s="5"/>
      <c r="BM656" s="40"/>
      <c r="BN656" s="5"/>
      <c r="BP656" s="40"/>
      <c r="BQ656" s="5"/>
      <c r="BS656" s="40"/>
      <c r="BT656" s="5"/>
      <c r="BV656" s="40"/>
      <c r="BW656" s="5"/>
      <c r="BY656" s="40"/>
      <c r="BZ656" s="5"/>
      <c r="CB656" s="40"/>
      <c r="CC656" s="5"/>
      <c r="CE656" s="40"/>
      <c r="CF656" s="5"/>
      <c r="CH656" s="40"/>
      <c r="CI656" s="5"/>
      <c r="CK656" s="40"/>
      <c r="CL656" s="5"/>
      <c r="CN656" s="40"/>
      <c r="CO656" s="5"/>
      <c r="CQ656" s="40"/>
      <c r="CR656" s="5"/>
    </row>
    <row r="657">
      <c r="AL657" s="40"/>
      <c r="AM657" s="5"/>
      <c r="AO657" s="40"/>
      <c r="AP657" s="5"/>
      <c r="AR657" s="40"/>
      <c r="AS657" s="5"/>
      <c r="AU657" s="40"/>
      <c r="AV657" s="5"/>
      <c r="AX657" s="40"/>
      <c r="AY657" s="5"/>
      <c r="BA657" s="40"/>
      <c r="BB657" s="5"/>
      <c r="BD657" s="40"/>
      <c r="BE657" s="5"/>
      <c r="BG657" s="40"/>
      <c r="BH657" s="5"/>
      <c r="BJ657" s="40"/>
      <c r="BK657" s="5"/>
      <c r="BM657" s="40"/>
      <c r="BN657" s="5"/>
      <c r="BP657" s="40"/>
      <c r="BQ657" s="5"/>
      <c r="BS657" s="40"/>
      <c r="BT657" s="5"/>
      <c r="BV657" s="40"/>
      <c r="BW657" s="5"/>
      <c r="BY657" s="40"/>
      <c r="BZ657" s="5"/>
      <c r="CB657" s="40"/>
      <c r="CC657" s="5"/>
      <c r="CE657" s="40"/>
      <c r="CF657" s="5"/>
      <c r="CH657" s="40"/>
      <c r="CI657" s="5"/>
      <c r="CK657" s="40"/>
      <c r="CL657" s="5"/>
      <c r="CN657" s="40"/>
      <c r="CO657" s="5"/>
      <c r="CQ657" s="40"/>
      <c r="CR657" s="5"/>
    </row>
    <row r="658">
      <c r="AL658" s="40"/>
      <c r="AM658" s="5"/>
      <c r="AO658" s="40"/>
      <c r="AP658" s="5"/>
      <c r="AR658" s="40"/>
      <c r="AS658" s="5"/>
      <c r="AU658" s="40"/>
      <c r="AV658" s="5"/>
      <c r="AX658" s="40"/>
      <c r="AY658" s="5"/>
      <c r="BA658" s="40"/>
      <c r="BB658" s="5"/>
      <c r="BD658" s="40"/>
      <c r="BE658" s="5"/>
      <c r="BG658" s="40"/>
      <c r="BH658" s="5"/>
      <c r="BJ658" s="40"/>
      <c r="BK658" s="5"/>
      <c r="BM658" s="40"/>
      <c r="BN658" s="5"/>
      <c r="BP658" s="40"/>
      <c r="BQ658" s="5"/>
      <c r="BS658" s="40"/>
      <c r="BT658" s="5"/>
      <c r="BV658" s="40"/>
      <c r="BW658" s="5"/>
      <c r="BY658" s="40"/>
      <c r="BZ658" s="5"/>
      <c r="CB658" s="40"/>
      <c r="CC658" s="5"/>
      <c r="CE658" s="40"/>
      <c r="CF658" s="5"/>
      <c r="CH658" s="40"/>
      <c r="CI658" s="5"/>
      <c r="CK658" s="40"/>
      <c r="CL658" s="5"/>
      <c r="CN658" s="40"/>
      <c r="CO658" s="5"/>
      <c r="CQ658" s="40"/>
      <c r="CR658" s="5"/>
    </row>
    <row r="659">
      <c r="AL659" s="40"/>
      <c r="AM659" s="5"/>
      <c r="AO659" s="40"/>
      <c r="AP659" s="5"/>
      <c r="AR659" s="40"/>
      <c r="AS659" s="5"/>
      <c r="AU659" s="40"/>
      <c r="AV659" s="5"/>
      <c r="AX659" s="40"/>
      <c r="AY659" s="5"/>
      <c r="BA659" s="40"/>
      <c r="BB659" s="5"/>
      <c r="BD659" s="40"/>
      <c r="BE659" s="5"/>
      <c r="BG659" s="40"/>
      <c r="BH659" s="5"/>
      <c r="BJ659" s="40"/>
      <c r="BK659" s="5"/>
      <c r="BM659" s="40"/>
      <c r="BN659" s="5"/>
      <c r="BP659" s="40"/>
      <c r="BQ659" s="5"/>
      <c r="BS659" s="40"/>
      <c r="BT659" s="5"/>
      <c r="BV659" s="40"/>
      <c r="BW659" s="5"/>
      <c r="BY659" s="40"/>
      <c r="BZ659" s="5"/>
      <c r="CB659" s="40"/>
      <c r="CC659" s="5"/>
      <c r="CE659" s="40"/>
      <c r="CF659" s="5"/>
      <c r="CH659" s="40"/>
      <c r="CI659" s="5"/>
      <c r="CK659" s="40"/>
      <c r="CL659" s="5"/>
      <c r="CN659" s="40"/>
      <c r="CO659" s="5"/>
      <c r="CQ659" s="40"/>
      <c r="CR659" s="5"/>
    </row>
    <row r="660">
      <c r="AL660" s="40"/>
      <c r="AM660" s="5"/>
      <c r="AO660" s="40"/>
      <c r="AP660" s="5"/>
      <c r="AR660" s="40"/>
      <c r="AS660" s="5"/>
      <c r="AU660" s="40"/>
      <c r="AV660" s="5"/>
      <c r="AX660" s="40"/>
      <c r="AY660" s="5"/>
      <c r="BA660" s="40"/>
      <c r="BB660" s="5"/>
      <c r="BD660" s="40"/>
      <c r="BE660" s="5"/>
      <c r="BG660" s="40"/>
      <c r="BH660" s="5"/>
      <c r="BJ660" s="40"/>
      <c r="BK660" s="5"/>
      <c r="BM660" s="40"/>
      <c r="BN660" s="5"/>
      <c r="BP660" s="40"/>
      <c r="BQ660" s="5"/>
      <c r="BS660" s="40"/>
      <c r="BT660" s="5"/>
      <c r="BV660" s="40"/>
      <c r="BW660" s="5"/>
      <c r="BY660" s="40"/>
      <c r="BZ660" s="5"/>
      <c r="CB660" s="40"/>
      <c r="CC660" s="5"/>
      <c r="CE660" s="40"/>
      <c r="CF660" s="5"/>
      <c r="CH660" s="40"/>
      <c r="CI660" s="5"/>
      <c r="CK660" s="40"/>
      <c r="CL660" s="5"/>
      <c r="CN660" s="40"/>
      <c r="CO660" s="5"/>
      <c r="CQ660" s="40"/>
      <c r="CR660" s="5"/>
    </row>
    <row r="661">
      <c r="AL661" s="40"/>
      <c r="AM661" s="5"/>
      <c r="AO661" s="40"/>
      <c r="AP661" s="5"/>
      <c r="AR661" s="40"/>
      <c r="AS661" s="5"/>
      <c r="AU661" s="40"/>
      <c r="AV661" s="5"/>
      <c r="AX661" s="40"/>
      <c r="AY661" s="5"/>
      <c r="BA661" s="40"/>
      <c r="BB661" s="5"/>
      <c r="BD661" s="40"/>
      <c r="BE661" s="5"/>
      <c r="BG661" s="40"/>
      <c r="BH661" s="5"/>
      <c r="BJ661" s="40"/>
      <c r="BK661" s="5"/>
      <c r="BM661" s="40"/>
      <c r="BN661" s="5"/>
      <c r="BP661" s="40"/>
      <c r="BQ661" s="5"/>
      <c r="BS661" s="40"/>
      <c r="BT661" s="5"/>
      <c r="BV661" s="40"/>
      <c r="BW661" s="5"/>
      <c r="BY661" s="40"/>
      <c r="BZ661" s="5"/>
      <c r="CB661" s="40"/>
      <c r="CC661" s="5"/>
      <c r="CE661" s="40"/>
      <c r="CF661" s="5"/>
      <c r="CH661" s="40"/>
      <c r="CI661" s="5"/>
      <c r="CK661" s="40"/>
      <c r="CL661" s="5"/>
      <c r="CN661" s="40"/>
      <c r="CO661" s="5"/>
      <c r="CQ661" s="40"/>
      <c r="CR661" s="5"/>
    </row>
    <row r="662">
      <c r="AL662" s="40"/>
      <c r="AM662" s="5"/>
      <c r="AO662" s="40"/>
      <c r="AP662" s="5"/>
      <c r="AR662" s="40"/>
      <c r="AS662" s="5"/>
      <c r="AU662" s="40"/>
      <c r="AV662" s="5"/>
      <c r="AX662" s="40"/>
      <c r="AY662" s="5"/>
      <c r="BA662" s="40"/>
      <c r="BB662" s="5"/>
      <c r="BD662" s="40"/>
      <c r="BE662" s="5"/>
      <c r="BG662" s="40"/>
      <c r="BH662" s="5"/>
      <c r="BJ662" s="40"/>
      <c r="BK662" s="5"/>
      <c r="BM662" s="40"/>
      <c r="BN662" s="5"/>
      <c r="BP662" s="40"/>
      <c r="BQ662" s="5"/>
      <c r="BS662" s="40"/>
      <c r="BT662" s="5"/>
      <c r="BV662" s="40"/>
      <c r="BW662" s="5"/>
      <c r="BY662" s="40"/>
      <c r="BZ662" s="5"/>
      <c r="CB662" s="40"/>
      <c r="CC662" s="5"/>
      <c r="CE662" s="40"/>
      <c r="CF662" s="5"/>
      <c r="CH662" s="40"/>
      <c r="CI662" s="5"/>
      <c r="CK662" s="40"/>
      <c r="CL662" s="5"/>
      <c r="CN662" s="40"/>
      <c r="CO662" s="5"/>
      <c r="CQ662" s="40"/>
      <c r="CR662" s="5"/>
    </row>
    <row r="663">
      <c r="AL663" s="40"/>
      <c r="AM663" s="5"/>
      <c r="AO663" s="40"/>
      <c r="AP663" s="5"/>
      <c r="AR663" s="40"/>
      <c r="AS663" s="5"/>
      <c r="AU663" s="40"/>
      <c r="AV663" s="5"/>
      <c r="AX663" s="40"/>
      <c r="AY663" s="5"/>
      <c r="BA663" s="40"/>
      <c r="BB663" s="5"/>
      <c r="BD663" s="40"/>
      <c r="BE663" s="5"/>
      <c r="BG663" s="40"/>
      <c r="BH663" s="5"/>
      <c r="BJ663" s="40"/>
      <c r="BK663" s="5"/>
      <c r="BM663" s="40"/>
      <c r="BN663" s="5"/>
      <c r="BP663" s="40"/>
      <c r="BQ663" s="5"/>
      <c r="BS663" s="40"/>
      <c r="BT663" s="5"/>
      <c r="BV663" s="40"/>
      <c r="BW663" s="5"/>
      <c r="BY663" s="40"/>
      <c r="BZ663" s="5"/>
      <c r="CB663" s="40"/>
      <c r="CC663" s="5"/>
      <c r="CE663" s="40"/>
      <c r="CF663" s="5"/>
      <c r="CH663" s="40"/>
      <c r="CI663" s="5"/>
      <c r="CK663" s="40"/>
      <c r="CL663" s="5"/>
      <c r="CN663" s="40"/>
      <c r="CO663" s="5"/>
      <c r="CQ663" s="40"/>
      <c r="CR663" s="5"/>
    </row>
    <row r="664">
      <c r="AL664" s="40"/>
      <c r="AM664" s="5"/>
      <c r="AO664" s="40"/>
      <c r="AP664" s="5"/>
      <c r="AR664" s="40"/>
      <c r="AS664" s="5"/>
      <c r="AU664" s="40"/>
      <c r="AV664" s="5"/>
      <c r="AX664" s="40"/>
      <c r="AY664" s="5"/>
      <c r="BA664" s="40"/>
      <c r="BB664" s="5"/>
      <c r="BD664" s="40"/>
      <c r="BE664" s="5"/>
      <c r="BG664" s="40"/>
      <c r="BH664" s="5"/>
      <c r="BJ664" s="40"/>
      <c r="BK664" s="5"/>
      <c r="BM664" s="40"/>
      <c r="BN664" s="5"/>
      <c r="BP664" s="40"/>
      <c r="BQ664" s="5"/>
      <c r="BS664" s="40"/>
      <c r="BT664" s="5"/>
      <c r="BV664" s="40"/>
      <c r="BW664" s="5"/>
      <c r="BY664" s="40"/>
      <c r="BZ664" s="5"/>
      <c r="CB664" s="40"/>
      <c r="CC664" s="5"/>
      <c r="CE664" s="40"/>
      <c r="CF664" s="5"/>
      <c r="CH664" s="40"/>
      <c r="CI664" s="5"/>
      <c r="CK664" s="40"/>
      <c r="CL664" s="5"/>
      <c r="CN664" s="40"/>
      <c r="CO664" s="5"/>
      <c r="CQ664" s="40"/>
      <c r="CR664" s="5"/>
    </row>
    <row r="665">
      <c r="AL665" s="40"/>
      <c r="AM665" s="5"/>
      <c r="AO665" s="40"/>
      <c r="AP665" s="5"/>
      <c r="AR665" s="40"/>
      <c r="AS665" s="5"/>
      <c r="AU665" s="40"/>
      <c r="AV665" s="5"/>
      <c r="AX665" s="40"/>
      <c r="AY665" s="5"/>
      <c r="BA665" s="40"/>
      <c r="BB665" s="5"/>
      <c r="BD665" s="40"/>
      <c r="BE665" s="5"/>
      <c r="BG665" s="40"/>
      <c r="BH665" s="5"/>
      <c r="BJ665" s="40"/>
      <c r="BK665" s="5"/>
      <c r="BM665" s="40"/>
      <c r="BN665" s="5"/>
      <c r="BP665" s="40"/>
      <c r="BQ665" s="5"/>
      <c r="BS665" s="40"/>
      <c r="BT665" s="5"/>
      <c r="BV665" s="40"/>
      <c r="BW665" s="5"/>
      <c r="BY665" s="40"/>
      <c r="BZ665" s="5"/>
      <c r="CB665" s="40"/>
      <c r="CC665" s="5"/>
      <c r="CE665" s="40"/>
      <c r="CF665" s="5"/>
      <c r="CH665" s="40"/>
      <c r="CI665" s="5"/>
      <c r="CK665" s="40"/>
      <c r="CL665" s="5"/>
      <c r="CN665" s="40"/>
      <c r="CO665" s="5"/>
      <c r="CQ665" s="40"/>
      <c r="CR665" s="5"/>
    </row>
    <row r="666">
      <c r="AL666" s="40"/>
      <c r="AM666" s="5"/>
      <c r="AO666" s="40"/>
      <c r="AP666" s="5"/>
      <c r="AR666" s="40"/>
      <c r="AS666" s="5"/>
      <c r="AU666" s="40"/>
      <c r="AV666" s="5"/>
      <c r="AX666" s="40"/>
      <c r="AY666" s="5"/>
      <c r="BA666" s="40"/>
      <c r="BB666" s="5"/>
      <c r="BD666" s="40"/>
      <c r="BE666" s="5"/>
      <c r="BG666" s="40"/>
      <c r="BH666" s="5"/>
      <c r="BJ666" s="40"/>
      <c r="BK666" s="5"/>
      <c r="BM666" s="40"/>
      <c r="BN666" s="5"/>
      <c r="BP666" s="40"/>
      <c r="BQ666" s="5"/>
      <c r="BS666" s="40"/>
      <c r="BT666" s="5"/>
      <c r="BV666" s="40"/>
      <c r="BW666" s="5"/>
      <c r="BY666" s="40"/>
      <c r="BZ666" s="5"/>
      <c r="CB666" s="40"/>
      <c r="CC666" s="5"/>
      <c r="CE666" s="40"/>
      <c r="CF666" s="5"/>
      <c r="CH666" s="40"/>
      <c r="CI666" s="5"/>
      <c r="CK666" s="40"/>
      <c r="CL666" s="5"/>
      <c r="CN666" s="40"/>
      <c r="CO666" s="5"/>
      <c r="CQ666" s="40"/>
      <c r="CR666" s="5"/>
    </row>
    <row r="667">
      <c r="AL667" s="40"/>
      <c r="AM667" s="5"/>
      <c r="AO667" s="40"/>
      <c r="AP667" s="5"/>
      <c r="AR667" s="40"/>
      <c r="AS667" s="5"/>
      <c r="AU667" s="40"/>
      <c r="AV667" s="5"/>
      <c r="AX667" s="40"/>
      <c r="AY667" s="5"/>
      <c r="BA667" s="40"/>
      <c r="BB667" s="5"/>
      <c r="BD667" s="40"/>
      <c r="BE667" s="5"/>
      <c r="BG667" s="40"/>
      <c r="BH667" s="5"/>
      <c r="BJ667" s="40"/>
      <c r="BK667" s="5"/>
      <c r="BM667" s="40"/>
      <c r="BN667" s="5"/>
      <c r="BP667" s="40"/>
      <c r="BQ667" s="5"/>
      <c r="BS667" s="40"/>
      <c r="BT667" s="5"/>
      <c r="BV667" s="40"/>
      <c r="BW667" s="5"/>
      <c r="BY667" s="40"/>
      <c r="BZ667" s="5"/>
      <c r="CB667" s="40"/>
      <c r="CC667" s="5"/>
      <c r="CE667" s="40"/>
      <c r="CF667" s="5"/>
      <c r="CH667" s="40"/>
      <c r="CI667" s="5"/>
      <c r="CK667" s="40"/>
      <c r="CL667" s="5"/>
      <c r="CN667" s="40"/>
      <c r="CO667" s="5"/>
      <c r="CQ667" s="40"/>
      <c r="CR667" s="5"/>
    </row>
    <row r="668">
      <c r="AL668" s="40"/>
      <c r="AM668" s="5"/>
      <c r="AO668" s="40"/>
      <c r="AP668" s="5"/>
      <c r="AR668" s="40"/>
      <c r="AS668" s="5"/>
      <c r="AU668" s="40"/>
      <c r="AV668" s="5"/>
      <c r="AX668" s="40"/>
      <c r="AY668" s="5"/>
      <c r="BA668" s="40"/>
      <c r="BB668" s="5"/>
      <c r="BD668" s="40"/>
      <c r="BE668" s="5"/>
      <c r="BG668" s="40"/>
      <c r="BH668" s="5"/>
      <c r="BJ668" s="40"/>
      <c r="BK668" s="5"/>
      <c r="BM668" s="40"/>
      <c r="BN668" s="5"/>
      <c r="BP668" s="40"/>
      <c r="BQ668" s="5"/>
      <c r="BS668" s="40"/>
      <c r="BT668" s="5"/>
      <c r="BV668" s="40"/>
      <c r="BW668" s="5"/>
      <c r="BY668" s="40"/>
      <c r="BZ668" s="5"/>
      <c r="CB668" s="40"/>
      <c r="CC668" s="5"/>
      <c r="CE668" s="40"/>
      <c r="CF668" s="5"/>
      <c r="CH668" s="40"/>
      <c r="CI668" s="5"/>
      <c r="CK668" s="40"/>
      <c r="CL668" s="5"/>
      <c r="CN668" s="40"/>
      <c r="CO668" s="5"/>
      <c r="CQ668" s="40"/>
      <c r="CR668" s="5"/>
    </row>
    <row r="669">
      <c r="AL669" s="40"/>
      <c r="AM669" s="5"/>
      <c r="AO669" s="40"/>
      <c r="AP669" s="5"/>
      <c r="AR669" s="40"/>
      <c r="AS669" s="5"/>
      <c r="AU669" s="40"/>
      <c r="AV669" s="5"/>
      <c r="AX669" s="40"/>
      <c r="AY669" s="5"/>
      <c r="BA669" s="40"/>
      <c r="BB669" s="5"/>
      <c r="BD669" s="40"/>
      <c r="BE669" s="5"/>
      <c r="BG669" s="40"/>
      <c r="BH669" s="5"/>
      <c r="BJ669" s="40"/>
      <c r="BK669" s="5"/>
      <c r="BM669" s="40"/>
      <c r="BN669" s="5"/>
      <c r="BP669" s="40"/>
      <c r="BQ669" s="5"/>
      <c r="BS669" s="40"/>
      <c r="BT669" s="5"/>
      <c r="BV669" s="40"/>
      <c r="BW669" s="5"/>
      <c r="BY669" s="40"/>
      <c r="BZ669" s="5"/>
      <c r="CB669" s="40"/>
      <c r="CC669" s="5"/>
      <c r="CE669" s="40"/>
      <c r="CF669" s="5"/>
      <c r="CH669" s="40"/>
      <c r="CI669" s="5"/>
      <c r="CK669" s="40"/>
      <c r="CL669" s="5"/>
      <c r="CN669" s="40"/>
      <c r="CO669" s="5"/>
      <c r="CQ669" s="40"/>
      <c r="CR669" s="5"/>
    </row>
    <row r="670">
      <c r="AL670" s="40"/>
      <c r="AM670" s="5"/>
      <c r="AO670" s="40"/>
      <c r="AP670" s="5"/>
      <c r="AR670" s="40"/>
      <c r="AS670" s="5"/>
      <c r="AU670" s="40"/>
      <c r="AV670" s="5"/>
      <c r="AX670" s="40"/>
      <c r="AY670" s="5"/>
      <c r="BA670" s="40"/>
      <c r="BB670" s="5"/>
      <c r="BD670" s="40"/>
      <c r="BE670" s="5"/>
      <c r="BG670" s="40"/>
      <c r="BH670" s="5"/>
      <c r="BJ670" s="40"/>
      <c r="BK670" s="5"/>
      <c r="BM670" s="40"/>
      <c r="BN670" s="5"/>
      <c r="BP670" s="40"/>
      <c r="BQ670" s="5"/>
      <c r="BS670" s="40"/>
      <c r="BT670" s="5"/>
      <c r="BV670" s="40"/>
      <c r="BW670" s="5"/>
      <c r="BY670" s="40"/>
      <c r="BZ670" s="5"/>
      <c r="CB670" s="40"/>
      <c r="CC670" s="5"/>
      <c r="CE670" s="40"/>
      <c r="CF670" s="5"/>
      <c r="CH670" s="40"/>
      <c r="CI670" s="5"/>
      <c r="CK670" s="40"/>
      <c r="CL670" s="5"/>
      <c r="CN670" s="40"/>
      <c r="CO670" s="5"/>
      <c r="CQ670" s="40"/>
      <c r="CR670" s="5"/>
    </row>
    <row r="671">
      <c r="AL671" s="40"/>
      <c r="AM671" s="5"/>
      <c r="AO671" s="40"/>
      <c r="AP671" s="5"/>
      <c r="AR671" s="40"/>
      <c r="AS671" s="5"/>
      <c r="AU671" s="40"/>
      <c r="AV671" s="5"/>
      <c r="AX671" s="40"/>
      <c r="AY671" s="5"/>
      <c r="BA671" s="40"/>
      <c r="BB671" s="5"/>
      <c r="BD671" s="40"/>
      <c r="BE671" s="5"/>
      <c r="BG671" s="40"/>
      <c r="BH671" s="5"/>
      <c r="BJ671" s="40"/>
      <c r="BK671" s="5"/>
      <c r="BM671" s="40"/>
      <c r="BN671" s="5"/>
      <c r="BP671" s="40"/>
      <c r="BQ671" s="5"/>
      <c r="BS671" s="40"/>
      <c r="BT671" s="5"/>
      <c r="BV671" s="40"/>
      <c r="BW671" s="5"/>
      <c r="BY671" s="40"/>
      <c r="BZ671" s="5"/>
      <c r="CB671" s="40"/>
      <c r="CC671" s="5"/>
      <c r="CE671" s="40"/>
      <c r="CF671" s="5"/>
      <c r="CH671" s="40"/>
      <c r="CI671" s="5"/>
      <c r="CK671" s="40"/>
      <c r="CL671" s="5"/>
      <c r="CN671" s="40"/>
      <c r="CO671" s="5"/>
      <c r="CQ671" s="40"/>
      <c r="CR671" s="5"/>
    </row>
    <row r="672">
      <c r="AL672" s="40"/>
      <c r="AM672" s="5"/>
      <c r="AO672" s="40"/>
      <c r="AP672" s="5"/>
      <c r="AR672" s="40"/>
      <c r="AS672" s="5"/>
      <c r="AU672" s="40"/>
      <c r="AV672" s="5"/>
      <c r="AX672" s="40"/>
      <c r="AY672" s="5"/>
      <c r="BA672" s="40"/>
      <c r="BB672" s="5"/>
      <c r="BD672" s="40"/>
      <c r="BE672" s="5"/>
      <c r="BG672" s="40"/>
      <c r="BH672" s="5"/>
      <c r="BJ672" s="40"/>
      <c r="BK672" s="5"/>
      <c r="BM672" s="40"/>
      <c r="BN672" s="5"/>
      <c r="BP672" s="40"/>
      <c r="BQ672" s="5"/>
      <c r="BS672" s="40"/>
      <c r="BT672" s="5"/>
      <c r="BV672" s="40"/>
      <c r="BW672" s="5"/>
      <c r="BY672" s="40"/>
      <c r="BZ672" s="5"/>
      <c r="CB672" s="40"/>
      <c r="CC672" s="5"/>
      <c r="CE672" s="40"/>
      <c r="CF672" s="5"/>
      <c r="CH672" s="40"/>
      <c r="CI672" s="5"/>
      <c r="CK672" s="40"/>
      <c r="CL672" s="5"/>
      <c r="CN672" s="40"/>
      <c r="CO672" s="5"/>
      <c r="CQ672" s="40"/>
      <c r="CR672" s="5"/>
    </row>
    <row r="673">
      <c r="AL673" s="40"/>
      <c r="AM673" s="5"/>
      <c r="AO673" s="40"/>
      <c r="AP673" s="5"/>
      <c r="AR673" s="40"/>
      <c r="AS673" s="5"/>
      <c r="AU673" s="40"/>
      <c r="AV673" s="5"/>
      <c r="AX673" s="40"/>
      <c r="AY673" s="5"/>
      <c r="BA673" s="40"/>
      <c r="BB673" s="5"/>
      <c r="BD673" s="40"/>
      <c r="BE673" s="5"/>
      <c r="BG673" s="40"/>
      <c r="BH673" s="5"/>
      <c r="BJ673" s="40"/>
      <c r="BK673" s="5"/>
      <c r="BM673" s="40"/>
      <c r="BN673" s="5"/>
      <c r="BP673" s="40"/>
      <c r="BQ673" s="5"/>
      <c r="BS673" s="40"/>
      <c r="BT673" s="5"/>
      <c r="BV673" s="40"/>
      <c r="BW673" s="5"/>
      <c r="BY673" s="40"/>
      <c r="BZ673" s="5"/>
      <c r="CB673" s="40"/>
      <c r="CC673" s="5"/>
      <c r="CE673" s="40"/>
      <c r="CF673" s="5"/>
      <c r="CH673" s="40"/>
      <c r="CI673" s="5"/>
      <c r="CK673" s="40"/>
      <c r="CL673" s="5"/>
      <c r="CN673" s="40"/>
      <c r="CO673" s="5"/>
      <c r="CQ673" s="40"/>
      <c r="CR673" s="5"/>
    </row>
    <row r="674">
      <c r="AL674" s="40"/>
      <c r="AM674" s="5"/>
      <c r="AO674" s="40"/>
      <c r="AP674" s="5"/>
      <c r="AR674" s="40"/>
      <c r="AS674" s="5"/>
      <c r="AU674" s="40"/>
      <c r="AV674" s="5"/>
      <c r="AX674" s="40"/>
      <c r="AY674" s="5"/>
      <c r="BA674" s="40"/>
      <c r="BB674" s="5"/>
      <c r="BD674" s="40"/>
      <c r="BE674" s="5"/>
      <c r="BG674" s="40"/>
      <c r="BH674" s="5"/>
      <c r="BJ674" s="40"/>
      <c r="BK674" s="5"/>
      <c r="BM674" s="40"/>
      <c r="BN674" s="5"/>
      <c r="BP674" s="40"/>
      <c r="BQ674" s="5"/>
      <c r="BS674" s="40"/>
      <c r="BT674" s="5"/>
      <c r="BV674" s="40"/>
      <c r="BW674" s="5"/>
      <c r="BY674" s="40"/>
      <c r="BZ674" s="5"/>
      <c r="CB674" s="40"/>
      <c r="CC674" s="5"/>
      <c r="CE674" s="40"/>
      <c r="CF674" s="5"/>
      <c r="CH674" s="40"/>
      <c r="CI674" s="5"/>
      <c r="CK674" s="40"/>
      <c r="CL674" s="5"/>
      <c r="CN674" s="40"/>
      <c r="CO674" s="5"/>
      <c r="CQ674" s="40"/>
      <c r="CR674" s="5"/>
    </row>
    <row r="675">
      <c r="AL675" s="40"/>
      <c r="AM675" s="5"/>
      <c r="AO675" s="40"/>
      <c r="AP675" s="5"/>
      <c r="AR675" s="40"/>
      <c r="AS675" s="5"/>
      <c r="AU675" s="40"/>
      <c r="AV675" s="5"/>
      <c r="AX675" s="40"/>
      <c r="AY675" s="5"/>
      <c r="BA675" s="40"/>
      <c r="BB675" s="5"/>
      <c r="BD675" s="40"/>
      <c r="BE675" s="5"/>
      <c r="BG675" s="40"/>
      <c r="BH675" s="5"/>
      <c r="BJ675" s="40"/>
      <c r="BK675" s="5"/>
      <c r="BM675" s="40"/>
      <c r="BN675" s="5"/>
      <c r="BP675" s="40"/>
      <c r="BQ675" s="5"/>
      <c r="BS675" s="40"/>
      <c r="BT675" s="5"/>
      <c r="BV675" s="40"/>
      <c r="BW675" s="5"/>
      <c r="BY675" s="40"/>
      <c r="BZ675" s="5"/>
      <c r="CB675" s="40"/>
      <c r="CC675" s="5"/>
      <c r="CE675" s="40"/>
      <c r="CF675" s="5"/>
      <c r="CH675" s="40"/>
      <c r="CI675" s="5"/>
      <c r="CK675" s="40"/>
      <c r="CL675" s="5"/>
      <c r="CN675" s="40"/>
      <c r="CO675" s="5"/>
      <c r="CQ675" s="40"/>
      <c r="CR675" s="5"/>
    </row>
    <row r="676">
      <c r="AL676" s="40"/>
      <c r="AM676" s="5"/>
      <c r="AO676" s="40"/>
      <c r="AP676" s="5"/>
      <c r="AR676" s="40"/>
      <c r="AS676" s="5"/>
      <c r="AU676" s="40"/>
      <c r="AV676" s="5"/>
      <c r="AX676" s="40"/>
      <c r="AY676" s="5"/>
      <c r="BA676" s="40"/>
      <c r="BB676" s="5"/>
      <c r="BD676" s="40"/>
      <c r="BE676" s="5"/>
      <c r="BG676" s="40"/>
      <c r="BH676" s="5"/>
      <c r="BJ676" s="40"/>
      <c r="BK676" s="5"/>
      <c r="BM676" s="40"/>
      <c r="BN676" s="5"/>
      <c r="BP676" s="40"/>
      <c r="BQ676" s="5"/>
      <c r="BS676" s="40"/>
      <c r="BT676" s="5"/>
      <c r="BV676" s="40"/>
      <c r="BW676" s="5"/>
      <c r="BY676" s="40"/>
      <c r="BZ676" s="5"/>
      <c r="CB676" s="40"/>
      <c r="CC676" s="5"/>
      <c r="CE676" s="40"/>
      <c r="CF676" s="5"/>
      <c r="CH676" s="40"/>
      <c r="CI676" s="5"/>
      <c r="CK676" s="40"/>
      <c r="CL676" s="5"/>
      <c r="CN676" s="40"/>
      <c r="CO676" s="5"/>
      <c r="CQ676" s="40"/>
      <c r="CR676" s="5"/>
    </row>
    <row r="677">
      <c r="AL677" s="40"/>
      <c r="AM677" s="5"/>
      <c r="AO677" s="40"/>
      <c r="AP677" s="5"/>
      <c r="AR677" s="40"/>
      <c r="AS677" s="5"/>
      <c r="AU677" s="40"/>
      <c r="AV677" s="5"/>
      <c r="AX677" s="40"/>
      <c r="AY677" s="5"/>
      <c r="BA677" s="40"/>
      <c r="BB677" s="5"/>
      <c r="BD677" s="40"/>
      <c r="BE677" s="5"/>
      <c r="BG677" s="40"/>
      <c r="BH677" s="5"/>
      <c r="BJ677" s="40"/>
      <c r="BK677" s="5"/>
      <c r="BM677" s="40"/>
      <c r="BN677" s="5"/>
      <c r="BP677" s="40"/>
      <c r="BQ677" s="5"/>
      <c r="BS677" s="40"/>
      <c r="BT677" s="5"/>
      <c r="BV677" s="40"/>
      <c r="BW677" s="5"/>
      <c r="BY677" s="40"/>
      <c r="BZ677" s="5"/>
      <c r="CB677" s="40"/>
      <c r="CC677" s="5"/>
      <c r="CE677" s="40"/>
      <c r="CF677" s="5"/>
      <c r="CH677" s="40"/>
      <c r="CI677" s="5"/>
      <c r="CK677" s="40"/>
      <c r="CL677" s="5"/>
      <c r="CN677" s="40"/>
      <c r="CO677" s="5"/>
      <c r="CQ677" s="40"/>
      <c r="CR677" s="5"/>
    </row>
    <row r="678">
      <c r="AL678" s="40"/>
      <c r="AM678" s="5"/>
      <c r="AO678" s="40"/>
      <c r="AP678" s="5"/>
      <c r="AR678" s="40"/>
      <c r="AS678" s="5"/>
      <c r="AU678" s="40"/>
      <c r="AV678" s="5"/>
      <c r="AX678" s="40"/>
      <c r="AY678" s="5"/>
      <c r="BA678" s="40"/>
      <c r="BB678" s="5"/>
      <c r="BD678" s="40"/>
      <c r="BE678" s="5"/>
      <c r="BG678" s="40"/>
      <c r="BH678" s="5"/>
      <c r="BJ678" s="40"/>
      <c r="BK678" s="5"/>
      <c r="BM678" s="40"/>
      <c r="BN678" s="5"/>
      <c r="BP678" s="40"/>
      <c r="BQ678" s="5"/>
      <c r="BS678" s="40"/>
      <c r="BT678" s="5"/>
      <c r="BV678" s="40"/>
      <c r="BW678" s="5"/>
      <c r="BY678" s="40"/>
      <c r="BZ678" s="5"/>
      <c r="CB678" s="40"/>
      <c r="CC678" s="5"/>
      <c r="CE678" s="40"/>
      <c r="CF678" s="5"/>
      <c r="CH678" s="40"/>
      <c r="CI678" s="5"/>
      <c r="CK678" s="40"/>
      <c r="CL678" s="5"/>
      <c r="CN678" s="40"/>
      <c r="CO678" s="5"/>
      <c r="CQ678" s="40"/>
      <c r="CR678" s="5"/>
    </row>
    <row r="679">
      <c r="AL679" s="40"/>
      <c r="AM679" s="5"/>
      <c r="AO679" s="40"/>
      <c r="AP679" s="5"/>
      <c r="AR679" s="40"/>
      <c r="AS679" s="5"/>
      <c r="AU679" s="40"/>
      <c r="AV679" s="5"/>
      <c r="AX679" s="40"/>
      <c r="AY679" s="5"/>
      <c r="BA679" s="40"/>
      <c r="BB679" s="5"/>
      <c r="BD679" s="40"/>
      <c r="BE679" s="5"/>
      <c r="BG679" s="40"/>
      <c r="BH679" s="5"/>
      <c r="BJ679" s="40"/>
      <c r="BK679" s="5"/>
      <c r="BM679" s="40"/>
      <c r="BN679" s="5"/>
      <c r="BP679" s="40"/>
      <c r="BQ679" s="5"/>
      <c r="BS679" s="40"/>
      <c r="BT679" s="5"/>
      <c r="BV679" s="40"/>
      <c r="BW679" s="5"/>
      <c r="BY679" s="40"/>
      <c r="BZ679" s="5"/>
      <c r="CB679" s="40"/>
      <c r="CC679" s="5"/>
      <c r="CE679" s="40"/>
      <c r="CF679" s="5"/>
      <c r="CH679" s="40"/>
      <c r="CI679" s="5"/>
      <c r="CK679" s="40"/>
      <c r="CL679" s="5"/>
      <c r="CN679" s="40"/>
      <c r="CO679" s="5"/>
      <c r="CQ679" s="40"/>
      <c r="CR679" s="5"/>
    </row>
    <row r="680">
      <c r="AL680" s="40"/>
      <c r="AM680" s="5"/>
      <c r="AO680" s="40"/>
      <c r="AP680" s="5"/>
      <c r="AR680" s="40"/>
      <c r="AS680" s="5"/>
      <c r="AU680" s="40"/>
      <c r="AV680" s="5"/>
      <c r="AX680" s="40"/>
      <c r="AY680" s="5"/>
      <c r="BA680" s="40"/>
      <c r="BB680" s="5"/>
      <c r="BD680" s="40"/>
      <c r="BE680" s="5"/>
      <c r="BG680" s="40"/>
      <c r="BH680" s="5"/>
      <c r="BJ680" s="40"/>
      <c r="BK680" s="5"/>
      <c r="BM680" s="40"/>
      <c r="BN680" s="5"/>
      <c r="BP680" s="40"/>
      <c r="BQ680" s="5"/>
      <c r="BS680" s="40"/>
      <c r="BT680" s="5"/>
      <c r="BV680" s="40"/>
      <c r="BW680" s="5"/>
      <c r="BY680" s="40"/>
      <c r="BZ680" s="5"/>
      <c r="CB680" s="40"/>
      <c r="CC680" s="5"/>
      <c r="CE680" s="40"/>
      <c r="CF680" s="5"/>
      <c r="CH680" s="40"/>
      <c r="CI680" s="5"/>
      <c r="CK680" s="40"/>
      <c r="CL680" s="5"/>
      <c r="CN680" s="40"/>
      <c r="CO680" s="5"/>
      <c r="CQ680" s="40"/>
      <c r="CR680" s="5"/>
    </row>
    <row r="681">
      <c r="AL681" s="40"/>
      <c r="AM681" s="5"/>
      <c r="AO681" s="40"/>
      <c r="AP681" s="5"/>
      <c r="AR681" s="40"/>
      <c r="AS681" s="5"/>
      <c r="AU681" s="40"/>
      <c r="AV681" s="5"/>
      <c r="AX681" s="40"/>
      <c r="AY681" s="5"/>
      <c r="BA681" s="40"/>
      <c r="BB681" s="5"/>
      <c r="BD681" s="40"/>
      <c r="BE681" s="5"/>
      <c r="BG681" s="40"/>
      <c r="BH681" s="5"/>
      <c r="BJ681" s="40"/>
      <c r="BK681" s="5"/>
      <c r="BM681" s="40"/>
      <c r="BN681" s="5"/>
      <c r="BP681" s="40"/>
      <c r="BQ681" s="5"/>
      <c r="BS681" s="40"/>
      <c r="BT681" s="5"/>
      <c r="BV681" s="40"/>
      <c r="BW681" s="5"/>
      <c r="BY681" s="40"/>
      <c r="BZ681" s="5"/>
      <c r="CB681" s="40"/>
      <c r="CC681" s="5"/>
      <c r="CE681" s="40"/>
      <c r="CF681" s="5"/>
      <c r="CH681" s="40"/>
      <c r="CI681" s="5"/>
      <c r="CK681" s="40"/>
      <c r="CL681" s="5"/>
      <c r="CN681" s="40"/>
      <c r="CO681" s="5"/>
      <c r="CQ681" s="40"/>
      <c r="CR681" s="5"/>
    </row>
    <row r="682">
      <c r="AL682" s="40"/>
      <c r="AM682" s="5"/>
      <c r="AO682" s="40"/>
      <c r="AP682" s="5"/>
      <c r="AR682" s="40"/>
      <c r="AS682" s="5"/>
      <c r="AU682" s="40"/>
      <c r="AV682" s="5"/>
      <c r="AX682" s="40"/>
      <c r="AY682" s="5"/>
      <c r="BA682" s="40"/>
      <c r="BB682" s="5"/>
      <c r="BD682" s="40"/>
      <c r="BE682" s="5"/>
      <c r="BG682" s="40"/>
      <c r="BH682" s="5"/>
      <c r="BJ682" s="40"/>
      <c r="BK682" s="5"/>
      <c r="BM682" s="40"/>
      <c r="BN682" s="5"/>
      <c r="BP682" s="40"/>
      <c r="BQ682" s="5"/>
      <c r="BS682" s="40"/>
      <c r="BT682" s="5"/>
      <c r="BV682" s="40"/>
      <c r="BW682" s="5"/>
      <c r="BY682" s="40"/>
      <c r="BZ682" s="5"/>
      <c r="CB682" s="40"/>
      <c r="CC682" s="5"/>
      <c r="CE682" s="40"/>
      <c r="CF682" s="5"/>
      <c r="CH682" s="40"/>
      <c r="CI682" s="5"/>
      <c r="CK682" s="40"/>
      <c r="CL682" s="5"/>
      <c r="CN682" s="40"/>
      <c r="CO682" s="5"/>
      <c r="CQ682" s="40"/>
      <c r="CR682" s="5"/>
    </row>
    <row r="683">
      <c r="AL683" s="40"/>
      <c r="AM683" s="5"/>
      <c r="AO683" s="40"/>
      <c r="AP683" s="5"/>
      <c r="AR683" s="40"/>
      <c r="AS683" s="5"/>
      <c r="AU683" s="40"/>
      <c r="AV683" s="5"/>
      <c r="AX683" s="40"/>
      <c r="AY683" s="5"/>
      <c r="BA683" s="40"/>
      <c r="BB683" s="5"/>
      <c r="BD683" s="40"/>
      <c r="BE683" s="5"/>
      <c r="BG683" s="40"/>
      <c r="BH683" s="5"/>
      <c r="BJ683" s="40"/>
      <c r="BK683" s="5"/>
      <c r="BM683" s="40"/>
      <c r="BN683" s="5"/>
      <c r="BP683" s="40"/>
      <c r="BQ683" s="5"/>
      <c r="BS683" s="40"/>
      <c r="BT683" s="5"/>
      <c r="BV683" s="40"/>
      <c r="BW683" s="5"/>
      <c r="BY683" s="40"/>
      <c r="BZ683" s="5"/>
      <c r="CB683" s="40"/>
      <c r="CC683" s="5"/>
      <c r="CE683" s="40"/>
      <c r="CF683" s="5"/>
      <c r="CH683" s="40"/>
      <c r="CI683" s="5"/>
      <c r="CK683" s="40"/>
      <c r="CL683" s="5"/>
      <c r="CN683" s="40"/>
      <c r="CO683" s="5"/>
      <c r="CQ683" s="40"/>
      <c r="CR683" s="5"/>
    </row>
    <row r="684">
      <c r="AL684" s="40"/>
      <c r="AM684" s="5"/>
      <c r="AO684" s="40"/>
      <c r="AP684" s="5"/>
      <c r="AR684" s="40"/>
      <c r="AS684" s="5"/>
      <c r="AU684" s="40"/>
      <c r="AV684" s="5"/>
      <c r="AX684" s="40"/>
      <c r="AY684" s="5"/>
      <c r="BA684" s="40"/>
      <c r="BB684" s="5"/>
      <c r="BD684" s="40"/>
      <c r="BE684" s="5"/>
      <c r="BG684" s="40"/>
      <c r="BH684" s="5"/>
      <c r="BJ684" s="40"/>
      <c r="BK684" s="5"/>
      <c r="BM684" s="40"/>
      <c r="BN684" s="5"/>
      <c r="BP684" s="40"/>
      <c r="BQ684" s="5"/>
      <c r="BS684" s="40"/>
      <c r="BT684" s="5"/>
      <c r="BV684" s="40"/>
      <c r="BW684" s="5"/>
      <c r="BY684" s="40"/>
      <c r="BZ684" s="5"/>
      <c r="CB684" s="40"/>
      <c r="CC684" s="5"/>
      <c r="CE684" s="40"/>
      <c r="CF684" s="5"/>
      <c r="CH684" s="40"/>
      <c r="CI684" s="5"/>
      <c r="CK684" s="40"/>
      <c r="CL684" s="5"/>
      <c r="CN684" s="40"/>
      <c r="CO684" s="5"/>
      <c r="CQ684" s="40"/>
      <c r="CR684" s="5"/>
    </row>
    <row r="685">
      <c r="AL685" s="40"/>
      <c r="AM685" s="5"/>
      <c r="AO685" s="40"/>
      <c r="AP685" s="5"/>
      <c r="AR685" s="40"/>
      <c r="AS685" s="5"/>
      <c r="AU685" s="40"/>
      <c r="AV685" s="5"/>
      <c r="AX685" s="40"/>
      <c r="AY685" s="5"/>
      <c r="BA685" s="40"/>
      <c r="BB685" s="5"/>
      <c r="BD685" s="40"/>
      <c r="BE685" s="5"/>
      <c r="BG685" s="40"/>
      <c r="BH685" s="5"/>
      <c r="BJ685" s="40"/>
      <c r="BK685" s="5"/>
      <c r="BM685" s="40"/>
      <c r="BN685" s="5"/>
      <c r="BP685" s="40"/>
      <c r="BQ685" s="5"/>
      <c r="BS685" s="40"/>
      <c r="BT685" s="5"/>
      <c r="BV685" s="40"/>
      <c r="BW685" s="5"/>
      <c r="BY685" s="40"/>
      <c r="BZ685" s="5"/>
      <c r="CB685" s="40"/>
      <c r="CC685" s="5"/>
      <c r="CE685" s="40"/>
      <c r="CF685" s="5"/>
      <c r="CH685" s="40"/>
      <c r="CI685" s="5"/>
      <c r="CK685" s="40"/>
      <c r="CL685" s="5"/>
      <c r="CN685" s="40"/>
      <c r="CO685" s="5"/>
      <c r="CQ685" s="40"/>
      <c r="CR685" s="5"/>
    </row>
    <row r="686">
      <c r="AL686" s="40"/>
      <c r="AM686" s="5"/>
      <c r="AO686" s="40"/>
      <c r="AP686" s="5"/>
      <c r="AR686" s="40"/>
      <c r="AS686" s="5"/>
      <c r="AU686" s="40"/>
      <c r="AV686" s="5"/>
      <c r="AX686" s="40"/>
      <c r="AY686" s="5"/>
      <c r="BA686" s="40"/>
      <c r="BB686" s="5"/>
      <c r="BD686" s="40"/>
      <c r="BE686" s="5"/>
      <c r="BG686" s="40"/>
      <c r="BH686" s="5"/>
      <c r="BJ686" s="40"/>
      <c r="BK686" s="5"/>
      <c r="BM686" s="40"/>
      <c r="BN686" s="5"/>
      <c r="BP686" s="40"/>
      <c r="BQ686" s="5"/>
      <c r="BS686" s="40"/>
      <c r="BT686" s="5"/>
      <c r="BV686" s="40"/>
      <c r="BW686" s="5"/>
      <c r="BY686" s="40"/>
      <c r="BZ686" s="5"/>
      <c r="CB686" s="40"/>
      <c r="CC686" s="5"/>
      <c r="CE686" s="40"/>
      <c r="CF686" s="5"/>
      <c r="CH686" s="40"/>
      <c r="CI686" s="5"/>
      <c r="CK686" s="40"/>
      <c r="CL686" s="5"/>
      <c r="CN686" s="40"/>
      <c r="CO686" s="5"/>
      <c r="CQ686" s="40"/>
      <c r="CR686" s="5"/>
    </row>
    <row r="687">
      <c r="AL687" s="40"/>
      <c r="AM687" s="5"/>
      <c r="AO687" s="40"/>
      <c r="AP687" s="5"/>
      <c r="AR687" s="40"/>
      <c r="AS687" s="5"/>
      <c r="AU687" s="40"/>
      <c r="AV687" s="5"/>
      <c r="AX687" s="40"/>
      <c r="AY687" s="5"/>
      <c r="BA687" s="40"/>
      <c r="BB687" s="5"/>
      <c r="BD687" s="40"/>
      <c r="BE687" s="5"/>
      <c r="BG687" s="40"/>
      <c r="BH687" s="5"/>
      <c r="BJ687" s="40"/>
      <c r="BK687" s="5"/>
      <c r="BM687" s="40"/>
      <c r="BN687" s="5"/>
      <c r="BP687" s="40"/>
      <c r="BQ687" s="5"/>
      <c r="BS687" s="40"/>
      <c r="BT687" s="5"/>
      <c r="BV687" s="40"/>
      <c r="BW687" s="5"/>
      <c r="BY687" s="40"/>
      <c r="BZ687" s="5"/>
      <c r="CB687" s="40"/>
      <c r="CC687" s="5"/>
      <c r="CE687" s="40"/>
      <c r="CF687" s="5"/>
      <c r="CH687" s="40"/>
      <c r="CI687" s="5"/>
      <c r="CK687" s="40"/>
      <c r="CL687" s="5"/>
      <c r="CN687" s="40"/>
      <c r="CO687" s="5"/>
      <c r="CQ687" s="40"/>
      <c r="CR687" s="5"/>
    </row>
    <row r="688">
      <c r="AL688" s="40"/>
      <c r="AM688" s="5"/>
      <c r="AO688" s="40"/>
      <c r="AP688" s="5"/>
      <c r="AR688" s="40"/>
      <c r="AS688" s="5"/>
      <c r="AU688" s="40"/>
      <c r="AV688" s="5"/>
      <c r="AX688" s="40"/>
      <c r="AY688" s="5"/>
      <c r="BA688" s="40"/>
      <c r="BB688" s="5"/>
      <c r="BD688" s="40"/>
      <c r="BE688" s="5"/>
      <c r="BG688" s="40"/>
      <c r="BH688" s="5"/>
      <c r="BJ688" s="40"/>
      <c r="BK688" s="5"/>
      <c r="BM688" s="40"/>
      <c r="BN688" s="5"/>
      <c r="BP688" s="40"/>
      <c r="BQ688" s="5"/>
      <c r="BS688" s="40"/>
      <c r="BT688" s="5"/>
      <c r="BV688" s="40"/>
      <c r="BW688" s="5"/>
      <c r="BY688" s="40"/>
      <c r="BZ688" s="5"/>
      <c r="CB688" s="40"/>
      <c r="CC688" s="5"/>
      <c r="CE688" s="40"/>
      <c r="CF688" s="5"/>
      <c r="CH688" s="40"/>
      <c r="CI688" s="5"/>
      <c r="CK688" s="40"/>
      <c r="CL688" s="5"/>
      <c r="CN688" s="40"/>
      <c r="CO688" s="5"/>
      <c r="CQ688" s="40"/>
      <c r="CR688" s="5"/>
    </row>
    <row r="689">
      <c r="AL689" s="40"/>
      <c r="AM689" s="5"/>
      <c r="AO689" s="40"/>
      <c r="AP689" s="5"/>
      <c r="AR689" s="40"/>
      <c r="AS689" s="5"/>
      <c r="AU689" s="40"/>
      <c r="AV689" s="5"/>
      <c r="AX689" s="40"/>
      <c r="AY689" s="5"/>
      <c r="BA689" s="40"/>
      <c r="BB689" s="5"/>
      <c r="BD689" s="40"/>
      <c r="BE689" s="5"/>
      <c r="BG689" s="40"/>
      <c r="BH689" s="5"/>
      <c r="BJ689" s="40"/>
      <c r="BK689" s="5"/>
      <c r="BM689" s="40"/>
      <c r="BN689" s="5"/>
      <c r="BP689" s="40"/>
      <c r="BQ689" s="5"/>
      <c r="BS689" s="40"/>
      <c r="BT689" s="5"/>
      <c r="BV689" s="40"/>
      <c r="BW689" s="5"/>
      <c r="BY689" s="40"/>
      <c r="BZ689" s="5"/>
      <c r="CB689" s="40"/>
      <c r="CC689" s="5"/>
      <c r="CE689" s="40"/>
      <c r="CF689" s="5"/>
      <c r="CH689" s="40"/>
      <c r="CI689" s="5"/>
      <c r="CK689" s="40"/>
      <c r="CL689" s="5"/>
      <c r="CN689" s="40"/>
      <c r="CO689" s="5"/>
      <c r="CQ689" s="40"/>
      <c r="CR689" s="5"/>
    </row>
    <row r="690">
      <c r="AL690" s="40"/>
      <c r="AM690" s="5"/>
      <c r="AO690" s="40"/>
      <c r="AP690" s="5"/>
      <c r="AR690" s="40"/>
      <c r="AS690" s="5"/>
      <c r="AU690" s="40"/>
      <c r="AV690" s="5"/>
      <c r="AX690" s="40"/>
      <c r="AY690" s="5"/>
      <c r="BA690" s="40"/>
      <c r="BB690" s="5"/>
      <c r="BD690" s="40"/>
      <c r="BE690" s="5"/>
      <c r="BG690" s="40"/>
      <c r="BH690" s="5"/>
      <c r="BJ690" s="40"/>
      <c r="BK690" s="5"/>
      <c r="BM690" s="40"/>
      <c r="BN690" s="5"/>
      <c r="BP690" s="40"/>
      <c r="BQ690" s="5"/>
      <c r="BS690" s="40"/>
      <c r="BT690" s="5"/>
      <c r="BV690" s="40"/>
      <c r="BW690" s="5"/>
      <c r="BY690" s="40"/>
      <c r="BZ690" s="5"/>
      <c r="CB690" s="40"/>
      <c r="CC690" s="5"/>
      <c r="CE690" s="40"/>
      <c r="CF690" s="5"/>
      <c r="CH690" s="40"/>
      <c r="CI690" s="5"/>
      <c r="CK690" s="40"/>
      <c r="CL690" s="5"/>
      <c r="CN690" s="40"/>
      <c r="CO690" s="5"/>
      <c r="CQ690" s="40"/>
      <c r="CR690" s="5"/>
    </row>
    <row r="691">
      <c r="AL691" s="40"/>
      <c r="AM691" s="5"/>
      <c r="AO691" s="40"/>
      <c r="AP691" s="5"/>
      <c r="AR691" s="40"/>
      <c r="AS691" s="5"/>
      <c r="AU691" s="40"/>
      <c r="AV691" s="5"/>
      <c r="AX691" s="40"/>
      <c r="AY691" s="5"/>
      <c r="BA691" s="40"/>
      <c r="BB691" s="5"/>
      <c r="BD691" s="40"/>
      <c r="BE691" s="5"/>
      <c r="BG691" s="40"/>
      <c r="BH691" s="5"/>
      <c r="BJ691" s="40"/>
      <c r="BK691" s="5"/>
      <c r="BM691" s="40"/>
      <c r="BN691" s="5"/>
      <c r="BP691" s="40"/>
      <c r="BQ691" s="5"/>
      <c r="BS691" s="40"/>
      <c r="BT691" s="5"/>
      <c r="BV691" s="40"/>
      <c r="BW691" s="5"/>
      <c r="BY691" s="40"/>
      <c r="BZ691" s="5"/>
      <c r="CB691" s="40"/>
      <c r="CC691" s="5"/>
      <c r="CE691" s="40"/>
      <c r="CF691" s="5"/>
      <c r="CH691" s="40"/>
      <c r="CI691" s="5"/>
      <c r="CK691" s="40"/>
      <c r="CL691" s="5"/>
      <c r="CN691" s="40"/>
      <c r="CO691" s="5"/>
      <c r="CQ691" s="40"/>
      <c r="CR691" s="5"/>
    </row>
    <row r="692">
      <c r="AL692" s="40"/>
      <c r="AM692" s="5"/>
      <c r="AO692" s="40"/>
      <c r="AP692" s="5"/>
      <c r="AR692" s="40"/>
      <c r="AS692" s="5"/>
      <c r="AU692" s="40"/>
      <c r="AV692" s="5"/>
      <c r="AX692" s="40"/>
      <c r="AY692" s="5"/>
      <c r="BA692" s="40"/>
      <c r="BB692" s="5"/>
      <c r="BD692" s="40"/>
      <c r="BE692" s="5"/>
      <c r="BG692" s="40"/>
      <c r="BH692" s="5"/>
      <c r="BJ692" s="40"/>
      <c r="BK692" s="5"/>
      <c r="BM692" s="40"/>
      <c r="BN692" s="5"/>
      <c r="BP692" s="40"/>
      <c r="BQ692" s="5"/>
      <c r="BS692" s="40"/>
      <c r="BT692" s="5"/>
      <c r="BV692" s="40"/>
      <c r="BW692" s="5"/>
      <c r="BY692" s="40"/>
      <c r="BZ692" s="5"/>
      <c r="CB692" s="40"/>
      <c r="CC692" s="5"/>
      <c r="CE692" s="40"/>
      <c r="CF692" s="5"/>
      <c r="CH692" s="40"/>
      <c r="CI692" s="5"/>
      <c r="CK692" s="40"/>
      <c r="CL692" s="5"/>
      <c r="CN692" s="40"/>
      <c r="CO692" s="5"/>
      <c r="CQ692" s="40"/>
      <c r="CR692" s="5"/>
    </row>
    <row r="693">
      <c r="AL693" s="40"/>
      <c r="AM693" s="5"/>
      <c r="AO693" s="40"/>
      <c r="AP693" s="5"/>
      <c r="AR693" s="40"/>
      <c r="AS693" s="5"/>
      <c r="AU693" s="40"/>
      <c r="AV693" s="5"/>
      <c r="AX693" s="40"/>
      <c r="AY693" s="5"/>
      <c r="BA693" s="40"/>
      <c r="BB693" s="5"/>
      <c r="BD693" s="40"/>
      <c r="BE693" s="5"/>
      <c r="BG693" s="40"/>
      <c r="BH693" s="5"/>
      <c r="BJ693" s="40"/>
      <c r="BK693" s="5"/>
      <c r="BM693" s="40"/>
      <c r="BN693" s="5"/>
      <c r="BP693" s="40"/>
      <c r="BQ693" s="5"/>
      <c r="BS693" s="40"/>
      <c r="BT693" s="5"/>
      <c r="BV693" s="40"/>
      <c r="BW693" s="5"/>
      <c r="BY693" s="40"/>
      <c r="BZ693" s="5"/>
      <c r="CB693" s="40"/>
      <c r="CC693" s="5"/>
      <c r="CE693" s="40"/>
      <c r="CF693" s="5"/>
      <c r="CH693" s="40"/>
      <c r="CI693" s="5"/>
      <c r="CK693" s="40"/>
      <c r="CL693" s="5"/>
      <c r="CN693" s="40"/>
      <c r="CO693" s="5"/>
      <c r="CQ693" s="40"/>
      <c r="CR693" s="5"/>
    </row>
    <row r="694">
      <c r="AL694" s="40"/>
      <c r="AM694" s="5"/>
      <c r="AO694" s="40"/>
      <c r="AP694" s="5"/>
      <c r="AR694" s="40"/>
      <c r="AS694" s="5"/>
      <c r="AU694" s="40"/>
      <c r="AV694" s="5"/>
      <c r="AX694" s="40"/>
      <c r="AY694" s="5"/>
      <c r="BA694" s="40"/>
      <c r="BB694" s="5"/>
      <c r="BD694" s="40"/>
      <c r="BE694" s="5"/>
      <c r="BG694" s="40"/>
      <c r="BH694" s="5"/>
      <c r="BJ694" s="40"/>
      <c r="BK694" s="5"/>
      <c r="BM694" s="40"/>
      <c r="BN694" s="5"/>
      <c r="BP694" s="40"/>
      <c r="BQ694" s="5"/>
      <c r="BS694" s="40"/>
      <c r="BT694" s="5"/>
      <c r="BV694" s="40"/>
      <c r="BW694" s="5"/>
      <c r="BY694" s="40"/>
      <c r="BZ694" s="5"/>
      <c r="CB694" s="40"/>
      <c r="CC694" s="5"/>
      <c r="CE694" s="40"/>
      <c r="CF694" s="5"/>
      <c r="CH694" s="40"/>
      <c r="CI694" s="5"/>
      <c r="CK694" s="40"/>
      <c r="CL694" s="5"/>
      <c r="CN694" s="40"/>
      <c r="CO694" s="5"/>
      <c r="CQ694" s="40"/>
      <c r="CR694" s="5"/>
    </row>
    <row r="695">
      <c r="AL695" s="40"/>
      <c r="AM695" s="5"/>
      <c r="AO695" s="40"/>
      <c r="AP695" s="5"/>
      <c r="AR695" s="40"/>
      <c r="AS695" s="5"/>
      <c r="AU695" s="40"/>
      <c r="AV695" s="5"/>
      <c r="AX695" s="40"/>
      <c r="AY695" s="5"/>
      <c r="BA695" s="40"/>
      <c r="BB695" s="5"/>
      <c r="BD695" s="40"/>
      <c r="BE695" s="5"/>
      <c r="BG695" s="40"/>
      <c r="BH695" s="5"/>
      <c r="BJ695" s="40"/>
      <c r="BK695" s="5"/>
      <c r="BM695" s="40"/>
      <c r="BN695" s="5"/>
      <c r="BP695" s="40"/>
      <c r="BQ695" s="5"/>
      <c r="BS695" s="40"/>
      <c r="BT695" s="5"/>
      <c r="BV695" s="40"/>
      <c r="BW695" s="5"/>
      <c r="BY695" s="40"/>
      <c r="BZ695" s="5"/>
      <c r="CB695" s="40"/>
      <c r="CC695" s="5"/>
      <c r="CE695" s="40"/>
      <c r="CF695" s="5"/>
      <c r="CH695" s="40"/>
      <c r="CI695" s="5"/>
      <c r="CK695" s="40"/>
      <c r="CL695" s="5"/>
      <c r="CN695" s="40"/>
      <c r="CO695" s="5"/>
      <c r="CQ695" s="40"/>
      <c r="CR695" s="5"/>
    </row>
    <row r="696">
      <c r="AL696" s="40"/>
      <c r="AM696" s="5"/>
      <c r="AO696" s="40"/>
      <c r="AP696" s="5"/>
      <c r="AR696" s="40"/>
      <c r="AS696" s="5"/>
      <c r="AU696" s="40"/>
      <c r="AV696" s="5"/>
      <c r="AX696" s="40"/>
      <c r="AY696" s="5"/>
      <c r="BA696" s="40"/>
      <c r="BB696" s="5"/>
      <c r="BD696" s="40"/>
      <c r="BE696" s="5"/>
      <c r="BG696" s="40"/>
      <c r="BH696" s="5"/>
      <c r="BJ696" s="40"/>
      <c r="BK696" s="5"/>
      <c r="BM696" s="40"/>
      <c r="BN696" s="5"/>
      <c r="BP696" s="40"/>
      <c r="BQ696" s="5"/>
      <c r="BS696" s="40"/>
      <c r="BT696" s="5"/>
      <c r="BV696" s="40"/>
      <c r="BW696" s="5"/>
      <c r="BY696" s="40"/>
      <c r="BZ696" s="5"/>
      <c r="CB696" s="40"/>
      <c r="CC696" s="5"/>
      <c r="CE696" s="40"/>
      <c r="CF696" s="5"/>
      <c r="CH696" s="40"/>
      <c r="CI696" s="5"/>
      <c r="CK696" s="40"/>
      <c r="CL696" s="5"/>
      <c r="CN696" s="40"/>
      <c r="CO696" s="5"/>
      <c r="CQ696" s="40"/>
      <c r="CR696" s="5"/>
    </row>
    <row r="697">
      <c r="AL697" s="40"/>
      <c r="AM697" s="5"/>
      <c r="AO697" s="40"/>
      <c r="AP697" s="5"/>
      <c r="AR697" s="40"/>
      <c r="AS697" s="5"/>
      <c r="AU697" s="40"/>
      <c r="AV697" s="5"/>
      <c r="AX697" s="40"/>
      <c r="AY697" s="5"/>
      <c r="BA697" s="40"/>
      <c r="BB697" s="5"/>
      <c r="BD697" s="40"/>
      <c r="BE697" s="5"/>
      <c r="BG697" s="40"/>
      <c r="BH697" s="5"/>
      <c r="BJ697" s="40"/>
      <c r="BK697" s="5"/>
      <c r="BM697" s="40"/>
      <c r="BN697" s="5"/>
      <c r="BP697" s="40"/>
      <c r="BQ697" s="5"/>
      <c r="BS697" s="40"/>
      <c r="BT697" s="5"/>
      <c r="BV697" s="40"/>
      <c r="BW697" s="5"/>
      <c r="BY697" s="40"/>
      <c r="BZ697" s="5"/>
      <c r="CB697" s="40"/>
      <c r="CC697" s="5"/>
      <c r="CE697" s="40"/>
      <c r="CF697" s="5"/>
      <c r="CH697" s="40"/>
      <c r="CI697" s="5"/>
      <c r="CK697" s="40"/>
      <c r="CL697" s="5"/>
      <c r="CN697" s="40"/>
      <c r="CO697" s="5"/>
      <c r="CQ697" s="40"/>
      <c r="CR697" s="5"/>
    </row>
    <row r="698">
      <c r="AL698" s="40"/>
      <c r="AM698" s="5"/>
      <c r="AO698" s="40"/>
      <c r="AP698" s="5"/>
      <c r="AR698" s="40"/>
      <c r="AS698" s="5"/>
      <c r="AU698" s="40"/>
      <c r="AV698" s="5"/>
      <c r="AX698" s="40"/>
      <c r="AY698" s="5"/>
      <c r="BA698" s="40"/>
      <c r="BB698" s="5"/>
      <c r="BD698" s="40"/>
      <c r="BE698" s="5"/>
      <c r="BG698" s="40"/>
      <c r="BH698" s="5"/>
      <c r="BJ698" s="40"/>
      <c r="BK698" s="5"/>
      <c r="BM698" s="40"/>
      <c r="BN698" s="5"/>
      <c r="BP698" s="40"/>
      <c r="BQ698" s="5"/>
      <c r="BS698" s="40"/>
      <c r="BT698" s="5"/>
      <c r="BV698" s="40"/>
      <c r="BW698" s="5"/>
      <c r="BY698" s="40"/>
      <c r="BZ698" s="5"/>
      <c r="CB698" s="40"/>
      <c r="CC698" s="5"/>
      <c r="CE698" s="40"/>
      <c r="CF698" s="5"/>
      <c r="CH698" s="40"/>
      <c r="CI698" s="5"/>
      <c r="CK698" s="40"/>
      <c r="CL698" s="5"/>
      <c r="CN698" s="40"/>
      <c r="CO698" s="5"/>
      <c r="CQ698" s="40"/>
      <c r="CR698" s="5"/>
    </row>
    <row r="699">
      <c r="AL699" s="40"/>
      <c r="AM699" s="5"/>
      <c r="AO699" s="40"/>
      <c r="AP699" s="5"/>
      <c r="AR699" s="40"/>
      <c r="AS699" s="5"/>
      <c r="AU699" s="40"/>
      <c r="AV699" s="5"/>
      <c r="AX699" s="40"/>
      <c r="AY699" s="5"/>
      <c r="BA699" s="40"/>
      <c r="BB699" s="5"/>
      <c r="BD699" s="40"/>
      <c r="BE699" s="5"/>
      <c r="BG699" s="40"/>
      <c r="BH699" s="5"/>
      <c r="BJ699" s="40"/>
      <c r="BK699" s="5"/>
      <c r="BM699" s="40"/>
      <c r="BN699" s="5"/>
      <c r="BP699" s="40"/>
      <c r="BQ699" s="5"/>
      <c r="BS699" s="40"/>
      <c r="BT699" s="5"/>
      <c r="BV699" s="40"/>
      <c r="BW699" s="5"/>
      <c r="BY699" s="40"/>
      <c r="BZ699" s="5"/>
      <c r="CB699" s="40"/>
      <c r="CC699" s="5"/>
      <c r="CE699" s="40"/>
      <c r="CF699" s="5"/>
      <c r="CH699" s="40"/>
      <c r="CI699" s="5"/>
      <c r="CK699" s="40"/>
      <c r="CL699" s="5"/>
      <c r="CN699" s="40"/>
      <c r="CO699" s="5"/>
      <c r="CQ699" s="40"/>
      <c r="CR699" s="5"/>
    </row>
    <row r="700">
      <c r="AL700" s="40"/>
      <c r="AM700" s="5"/>
      <c r="AO700" s="40"/>
      <c r="AP700" s="5"/>
      <c r="AR700" s="40"/>
      <c r="AS700" s="5"/>
      <c r="AU700" s="40"/>
      <c r="AV700" s="5"/>
      <c r="AX700" s="40"/>
      <c r="AY700" s="5"/>
      <c r="BA700" s="40"/>
      <c r="BB700" s="5"/>
      <c r="BD700" s="40"/>
      <c r="BE700" s="5"/>
      <c r="BG700" s="40"/>
      <c r="BH700" s="5"/>
      <c r="BJ700" s="40"/>
      <c r="BK700" s="5"/>
      <c r="BM700" s="40"/>
      <c r="BN700" s="5"/>
      <c r="BP700" s="40"/>
      <c r="BQ700" s="5"/>
      <c r="BS700" s="40"/>
      <c r="BT700" s="5"/>
      <c r="BV700" s="40"/>
      <c r="BW700" s="5"/>
      <c r="BY700" s="40"/>
      <c r="BZ700" s="5"/>
      <c r="CB700" s="40"/>
      <c r="CC700" s="5"/>
      <c r="CE700" s="40"/>
      <c r="CF700" s="5"/>
      <c r="CH700" s="40"/>
      <c r="CI700" s="5"/>
      <c r="CK700" s="40"/>
      <c r="CL700" s="5"/>
      <c r="CN700" s="40"/>
      <c r="CO700" s="5"/>
      <c r="CQ700" s="40"/>
      <c r="CR700" s="5"/>
    </row>
    <row r="701">
      <c r="AL701" s="40"/>
      <c r="AM701" s="5"/>
      <c r="AO701" s="40"/>
      <c r="AP701" s="5"/>
      <c r="AR701" s="40"/>
      <c r="AS701" s="5"/>
      <c r="AU701" s="40"/>
      <c r="AV701" s="5"/>
      <c r="AX701" s="40"/>
      <c r="AY701" s="5"/>
      <c r="BA701" s="40"/>
      <c r="BB701" s="5"/>
      <c r="BD701" s="40"/>
      <c r="BE701" s="5"/>
      <c r="BG701" s="40"/>
      <c r="BH701" s="5"/>
      <c r="BJ701" s="40"/>
      <c r="BK701" s="5"/>
      <c r="BM701" s="40"/>
      <c r="BN701" s="5"/>
      <c r="BP701" s="40"/>
      <c r="BQ701" s="5"/>
      <c r="BS701" s="40"/>
      <c r="BT701" s="5"/>
      <c r="BV701" s="40"/>
      <c r="BW701" s="5"/>
      <c r="BY701" s="40"/>
      <c r="BZ701" s="5"/>
      <c r="CB701" s="40"/>
      <c r="CC701" s="5"/>
      <c r="CE701" s="40"/>
      <c r="CF701" s="5"/>
      <c r="CH701" s="40"/>
      <c r="CI701" s="5"/>
      <c r="CK701" s="40"/>
      <c r="CL701" s="5"/>
      <c r="CN701" s="40"/>
      <c r="CO701" s="5"/>
      <c r="CQ701" s="40"/>
      <c r="CR701" s="5"/>
    </row>
    <row r="702">
      <c r="AL702" s="40"/>
      <c r="AM702" s="5"/>
      <c r="AO702" s="40"/>
      <c r="AP702" s="5"/>
      <c r="AR702" s="40"/>
      <c r="AS702" s="5"/>
      <c r="AU702" s="40"/>
      <c r="AV702" s="5"/>
      <c r="AX702" s="40"/>
      <c r="AY702" s="5"/>
      <c r="BA702" s="40"/>
      <c r="BB702" s="5"/>
      <c r="BD702" s="40"/>
      <c r="BE702" s="5"/>
      <c r="BG702" s="40"/>
      <c r="BH702" s="5"/>
      <c r="BJ702" s="40"/>
      <c r="BK702" s="5"/>
      <c r="BM702" s="40"/>
      <c r="BN702" s="5"/>
      <c r="BP702" s="40"/>
      <c r="BQ702" s="5"/>
      <c r="BS702" s="40"/>
      <c r="BT702" s="5"/>
      <c r="BV702" s="40"/>
      <c r="BW702" s="5"/>
      <c r="BY702" s="40"/>
      <c r="BZ702" s="5"/>
      <c r="CB702" s="40"/>
      <c r="CC702" s="5"/>
      <c r="CE702" s="40"/>
      <c r="CF702" s="5"/>
      <c r="CH702" s="40"/>
      <c r="CI702" s="5"/>
      <c r="CK702" s="40"/>
      <c r="CL702" s="5"/>
      <c r="CN702" s="40"/>
      <c r="CO702" s="5"/>
      <c r="CQ702" s="40"/>
      <c r="CR702" s="5"/>
    </row>
    <row r="703">
      <c r="AL703" s="40"/>
      <c r="AM703" s="5"/>
      <c r="AO703" s="40"/>
      <c r="AP703" s="5"/>
      <c r="AR703" s="40"/>
      <c r="AS703" s="5"/>
      <c r="AU703" s="40"/>
      <c r="AV703" s="5"/>
      <c r="AX703" s="40"/>
      <c r="AY703" s="5"/>
      <c r="BA703" s="40"/>
      <c r="BB703" s="5"/>
      <c r="BD703" s="40"/>
      <c r="BE703" s="5"/>
      <c r="BG703" s="40"/>
      <c r="BH703" s="5"/>
      <c r="BJ703" s="40"/>
      <c r="BK703" s="5"/>
      <c r="BM703" s="40"/>
      <c r="BN703" s="5"/>
      <c r="BP703" s="40"/>
      <c r="BQ703" s="5"/>
      <c r="BS703" s="40"/>
      <c r="BT703" s="5"/>
      <c r="BV703" s="40"/>
      <c r="BW703" s="5"/>
      <c r="BY703" s="40"/>
      <c r="BZ703" s="5"/>
      <c r="CB703" s="40"/>
      <c r="CC703" s="5"/>
      <c r="CE703" s="40"/>
      <c r="CF703" s="5"/>
      <c r="CH703" s="40"/>
      <c r="CI703" s="5"/>
      <c r="CK703" s="40"/>
      <c r="CL703" s="5"/>
      <c r="CN703" s="40"/>
      <c r="CO703" s="5"/>
      <c r="CQ703" s="40"/>
      <c r="CR703" s="5"/>
    </row>
    <row r="704">
      <c r="AL704" s="40"/>
      <c r="AM704" s="5"/>
      <c r="AO704" s="40"/>
      <c r="AP704" s="5"/>
      <c r="AR704" s="40"/>
      <c r="AS704" s="5"/>
      <c r="AU704" s="40"/>
      <c r="AV704" s="5"/>
      <c r="AX704" s="40"/>
      <c r="AY704" s="5"/>
      <c r="BA704" s="40"/>
      <c r="BB704" s="5"/>
      <c r="BD704" s="40"/>
      <c r="BE704" s="5"/>
      <c r="BG704" s="40"/>
      <c r="BH704" s="5"/>
      <c r="BJ704" s="40"/>
      <c r="BK704" s="5"/>
      <c r="BM704" s="40"/>
      <c r="BN704" s="5"/>
      <c r="BP704" s="40"/>
      <c r="BQ704" s="5"/>
      <c r="BS704" s="40"/>
      <c r="BT704" s="5"/>
      <c r="BV704" s="40"/>
      <c r="BW704" s="5"/>
      <c r="BY704" s="40"/>
      <c r="BZ704" s="5"/>
      <c r="CB704" s="40"/>
      <c r="CC704" s="5"/>
      <c r="CE704" s="40"/>
      <c r="CF704" s="5"/>
      <c r="CH704" s="40"/>
      <c r="CI704" s="5"/>
      <c r="CK704" s="40"/>
      <c r="CL704" s="5"/>
      <c r="CN704" s="40"/>
      <c r="CO704" s="5"/>
      <c r="CQ704" s="40"/>
      <c r="CR704" s="5"/>
    </row>
    <row r="705">
      <c r="AL705" s="40"/>
      <c r="AM705" s="5"/>
      <c r="AO705" s="40"/>
      <c r="AP705" s="5"/>
      <c r="AR705" s="40"/>
      <c r="AS705" s="5"/>
      <c r="AU705" s="40"/>
      <c r="AV705" s="5"/>
      <c r="AX705" s="40"/>
      <c r="AY705" s="5"/>
      <c r="BA705" s="40"/>
      <c r="BB705" s="5"/>
      <c r="BD705" s="40"/>
      <c r="BE705" s="5"/>
      <c r="BG705" s="40"/>
      <c r="BH705" s="5"/>
      <c r="BJ705" s="40"/>
      <c r="BK705" s="5"/>
      <c r="BM705" s="40"/>
      <c r="BN705" s="5"/>
      <c r="BP705" s="40"/>
      <c r="BQ705" s="5"/>
      <c r="BS705" s="40"/>
      <c r="BT705" s="5"/>
      <c r="BV705" s="40"/>
      <c r="BW705" s="5"/>
      <c r="BY705" s="40"/>
      <c r="BZ705" s="5"/>
      <c r="CB705" s="40"/>
      <c r="CC705" s="5"/>
      <c r="CE705" s="40"/>
      <c r="CF705" s="5"/>
      <c r="CH705" s="40"/>
      <c r="CI705" s="5"/>
      <c r="CK705" s="40"/>
      <c r="CL705" s="5"/>
      <c r="CN705" s="40"/>
      <c r="CO705" s="5"/>
      <c r="CQ705" s="40"/>
      <c r="CR705" s="5"/>
    </row>
    <row r="706">
      <c r="AL706" s="40"/>
      <c r="AM706" s="5"/>
      <c r="AO706" s="40"/>
      <c r="AP706" s="5"/>
      <c r="AR706" s="40"/>
      <c r="AS706" s="5"/>
      <c r="AU706" s="40"/>
      <c r="AV706" s="5"/>
      <c r="AX706" s="40"/>
      <c r="AY706" s="5"/>
      <c r="BA706" s="40"/>
      <c r="BB706" s="5"/>
      <c r="BD706" s="40"/>
      <c r="BE706" s="5"/>
      <c r="BG706" s="40"/>
      <c r="BH706" s="5"/>
      <c r="BJ706" s="40"/>
      <c r="BK706" s="5"/>
      <c r="BM706" s="40"/>
      <c r="BN706" s="5"/>
      <c r="BP706" s="40"/>
      <c r="BQ706" s="5"/>
      <c r="BS706" s="40"/>
      <c r="BT706" s="5"/>
      <c r="BV706" s="40"/>
      <c r="BW706" s="5"/>
      <c r="BY706" s="40"/>
      <c r="BZ706" s="5"/>
      <c r="CB706" s="40"/>
      <c r="CC706" s="5"/>
      <c r="CE706" s="40"/>
      <c r="CF706" s="5"/>
      <c r="CH706" s="40"/>
      <c r="CI706" s="5"/>
      <c r="CK706" s="40"/>
      <c r="CL706" s="5"/>
      <c r="CN706" s="40"/>
      <c r="CO706" s="5"/>
      <c r="CQ706" s="40"/>
      <c r="CR706" s="5"/>
    </row>
    <row r="707">
      <c r="AL707" s="40"/>
      <c r="AM707" s="5"/>
      <c r="AO707" s="40"/>
      <c r="AP707" s="5"/>
      <c r="AR707" s="40"/>
      <c r="AS707" s="5"/>
      <c r="AU707" s="40"/>
      <c r="AV707" s="5"/>
      <c r="AX707" s="40"/>
      <c r="AY707" s="5"/>
      <c r="BA707" s="40"/>
      <c r="BB707" s="5"/>
      <c r="BD707" s="40"/>
      <c r="BE707" s="5"/>
      <c r="BG707" s="40"/>
      <c r="BH707" s="5"/>
      <c r="BJ707" s="40"/>
      <c r="BK707" s="5"/>
      <c r="BM707" s="40"/>
      <c r="BN707" s="5"/>
      <c r="BP707" s="40"/>
      <c r="BQ707" s="5"/>
      <c r="BS707" s="40"/>
      <c r="BT707" s="5"/>
      <c r="BV707" s="40"/>
      <c r="BW707" s="5"/>
      <c r="BY707" s="40"/>
      <c r="BZ707" s="5"/>
      <c r="CB707" s="40"/>
      <c r="CC707" s="5"/>
      <c r="CE707" s="40"/>
      <c r="CF707" s="5"/>
      <c r="CH707" s="40"/>
      <c r="CI707" s="5"/>
      <c r="CK707" s="40"/>
      <c r="CL707" s="5"/>
      <c r="CN707" s="40"/>
      <c r="CO707" s="5"/>
      <c r="CQ707" s="40"/>
      <c r="CR707" s="5"/>
    </row>
    <row r="708">
      <c r="AL708" s="40"/>
      <c r="AM708" s="5"/>
      <c r="AO708" s="40"/>
      <c r="AP708" s="5"/>
      <c r="AR708" s="40"/>
      <c r="AS708" s="5"/>
      <c r="AU708" s="40"/>
      <c r="AV708" s="5"/>
      <c r="AX708" s="40"/>
      <c r="AY708" s="5"/>
      <c r="BA708" s="40"/>
      <c r="BB708" s="5"/>
      <c r="BD708" s="40"/>
      <c r="BE708" s="5"/>
      <c r="BG708" s="40"/>
      <c r="BH708" s="5"/>
      <c r="BJ708" s="40"/>
      <c r="BK708" s="5"/>
      <c r="BM708" s="40"/>
      <c r="BN708" s="5"/>
      <c r="BP708" s="40"/>
      <c r="BQ708" s="5"/>
      <c r="BS708" s="40"/>
      <c r="BT708" s="5"/>
      <c r="BV708" s="40"/>
      <c r="BW708" s="5"/>
      <c r="BY708" s="40"/>
      <c r="BZ708" s="5"/>
      <c r="CB708" s="40"/>
      <c r="CC708" s="5"/>
      <c r="CE708" s="40"/>
      <c r="CF708" s="5"/>
      <c r="CH708" s="40"/>
      <c r="CI708" s="5"/>
      <c r="CK708" s="40"/>
      <c r="CL708" s="5"/>
      <c r="CN708" s="40"/>
      <c r="CO708" s="5"/>
      <c r="CQ708" s="40"/>
      <c r="CR708" s="5"/>
    </row>
    <row r="709">
      <c r="AL709" s="40"/>
      <c r="AM709" s="5"/>
      <c r="AO709" s="40"/>
      <c r="AP709" s="5"/>
      <c r="AR709" s="40"/>
      <c r="AS709" s="5"/>
      <c r="AU709" s="40"/>
      <c r="AV709" s="5"/>
      <c r="AX709" s="40"/>
      <c r="AY709" s="5"/>
      <c r="BA709" s="40"/>
      <c r="BB709" s="5"/>
      <c r="BD709" s="40"/>
      <c r="BE709" s="5"/>
      <c r="BG709" s="40"/>
      <c r="BH709" s="5"/>
      <c r="BJ709" s="40"/>
      <c r="BK709" s="5"/>
      <c r="BM709" s="40"/>
      <c r="BN709" s="5"/>
      <c r="BP709" s="40"/>
      <c r="BQ709" s="5"/>
      <c r="BS709" s="40"/>
      <c r="BT709" s="5"/>
      <c r="BV709" s="40"/>
      <c r="BW709" s="5"/>
      <c r="BY709" s="40"/>
      <c r="BZ709" s="5"/>
      <c r="CB709" s="40"/>
      <c r="CC709" s="5"/>
      <c r="CE709" s="40"/>
      <c r="CF709" s="5"/>
      <c r="CH709" s="40"/>
      <c r="CI709" s="5"/>
      <c r="CK709" s="40"/>
      <c r="CL709" s="5"/>
      <c r="CN709" s="40"/>
      <c r="CO709" s="5"/>
      <c r="CQ709" s="40"/>
      <c r="CR709" s="5"/>
    </row>
    <row r="710">
      <c r="AL710" s="40"/>
      <c r="AM710" s="5"/>
      <c r="AO710" s="40"/>
      <c r="AP710" s="5"/>
      <c r="AR710" s="40"/>
      <c r="AS710" s="5"/>
      <c r="AU710" s="40"/>
      <c r="AV710" s="5"/>
      <c r="AX710" s="40"/>
      <c r="AY710" s="5"/>
      <c r="BA710" s="40"/>
      <c r="BB710" s="5"/>
      <c r="BD710" s="40"/>
      <c r="BE710" s="5"/>
      <c r="BG710" s="40"/>
      <c r="BH710" s="5"/>
      <c r="BJ710" s="40"/>
      <c r="BK710" s="5"/>
      <c r="BM710" s="40"/>
      <c r="BN710" s="5"/>
      <c r="BP710" s="40"/>
      <c r="BQ710" s="5"/>
      <c r="BS710" s="40"/>
      <c r="BT710" s="5"/>
      <c r="BV710" s="40"/>
      <c r="BW710" s="5"/>
      <c r="BY710" s="40"/>
      <c r="BZ710" s="5"/>
      <c r="CB710" s="40"/>
      <c r="CC710" s="5"/>
      <c r="CE710" s="40"/>
      <c r="CF710" s="5"/>
      <c r="CH710" s="40"/>
      <c r="CI710" s="5"/>
      <c r="CK710" s="40"/>
      <c r="CL710" s="5"/>
      <c r="CN710" s="40"/>
      <c r="CO710" s="5"/>
      <c r="CQ710" s="40"/>
      <c r="CR710" s="5"/>
    </row>
    <row r="711">
      <c r="AL711" s="40"/>
      <c r="AM711" s="5"/>
      <c r="AO711" s="40"/>
      <c r="AP711" s="5"/>
      <c r="AR711" s="40"/>
      <c r="AS711" s="5"/>
      <c r="AU711" s="40"/>
      <c r="AV711" s="5"/>
      <c r="AX711" s="40"/>
      <c r="AY711" s="5"/>
      <c r="BA711" s="40"/>
      <c r="BB711" s="5"/>
      <c r="BD711" s="40"/>
      <c r="BE711" s="5"/>
      <c r="BG711" s="40"/>
      <c r="BH711" s="5"/>
      <c r="BJ711" s="40"/>
      <c r="BK711" s="5"/>
      <c r="BM711" s="40"/>
      <c r="BN711" s="5"/>
      <c r="BP711" s="40"/>
      <c r="BQ711" s="5"/>
      <c r="BS711" s="40"/>
      <c r="BT711" s="5"/>
      <c r="BV711" s="40"/>
      <c r="BW711" s="5"/>
      <c r="BY711" s="40"/>
      <c r="BZ711" s="5"/>
      <c r="CB711" s="40"/>
      <c r="CC711" s="5"/>
      <c r="CE711" s="40"/>
      <c r="CF711" s="5"/>
      <c r="CH711" s="40"/>
      <c r="CI711" s="5"/>
      <c r="CK711" s="40"/>
      <c r="CL711" s="5"/>
      <c r="CN711" s="40"/>
      <c r="CO711" s="5"/>
      <c r="CQ711" s="40"/>
      <c r="CR711" s="5"/>
    </row>
    <row r="712">
      <c r="AL712" s="40"/>
      <c r="AM712" s="5"/>
      <c r="AO712" s="40"/>
      <c r="AP712" s="5"/>
      <c r="AR712" s="40"/>
      <c r="AS712" s="5"/>
      <c r="AU712" s="40"/>
      <c r="AV712" s="5"/>
      <c r="AX712" s="40"/>
      <c r="AY712" s="5"/>
      <c r="BA712" s="40"/>
      <c r="BB712" s="5"/>
      <c r="BD712" s="40"/>
      <c r="BE712" s="5"/>
      <c r="BG712" s="40"/>
      <c r="BH712" s="5"/>
      <c r="BJ712" s="40"/>
      <c r="BK712" s="5"/>
      <c r="BM712" s="40"/>
      <c r="BN712" s="5"/>
      <c r="BP712" s="40"/>
      <c r="BQ712" s="5"/>
      <c r="BS712" s="40"/>
      <c r="BT712" s="5"/>
      <c r="BV712" s="40"/>
      <c r="BW712" s="5"/>
      <c r="BY712" s="40"/>
      <c r="BZ712" s="5"/>
      <c r="CB712" s="40"/>
      <c r="CC712" s="5"/>
      <c r="CE712" s="40"/>
      <c r="CF712" s="5"/>
      <c r="CH712" s="40"/>
      <c r="CI712" s="5"/>
      <c r="CK712" s="40"/>
      <c r="CL712" s="5"/>
      <c r="CN712" s="40"/>
      <c r="CO712" s="5"/>
      <c r="CQ712" s="40"/>
      <c r="CR712" s="5"/>
    </row>
    <row r="713">
      <c r="AL713" s="40"/>
      <c r="AM713" s="5"/>
      <c r="AO713" s="40"/>
      <c r="AP713" s="5"/>
      <c r="AR713" s="40"/>
      <c r="AS713" s="5"/>
      <c r="AU713" s="40"/>
      <c r="AV713" s="5"/>
      <c r="AX713" s="40"/>
      <c r="AY713" s="5"/>
      <c r="BA713" s="40"/>
      <c r="BB713" s="5"/>
      <c r="BD713" s="40"/>
      <c r="BE713" s="5"/>
      <c r="BG713" s="40"/>
      <c r="BH713" s="5"/>
      <c r="BJ713" s="40"/>
      <c r="BK713" s="5"/>
      <c r="BM713" s="40"/>
      <c r="BN713" s="5"/>
      <c r="BP713" s="40"/>
      <c r="BQ713" s="5"/>
      <c r="BS713" s="40"/>
      <c r="BT713" s="5"/>
      <c r="BV713" s="40"/>
      <c r="BW713" s="5"/>
      <c r="BY713" s="40"/>
      <c r="BZ713" s="5"/>
      <c r="CB713" s="40"/>
      <c r="CC713" s="5"/>
      <c r="CE713" s="40"/>
      <c r="CF713" s="5"/>
      <c r="CH713" s="40"/>
      <c r="CI713" s="5"/>
      <c r="CK713" s="40"/>
      <c r="CL713" s="5"/>
      <c r="CN713" s="40"/>
      <c r="CO713" s="5"/>
      <c r="CQ713" s="40"/>
      <c r="CR713" s="5"/>
    </row>
    <row r="714">
      <c r="AL714" s="40"/>
      <c r="AM714" s="5"/>
      <c r="AO714" s="40"/>
      <c r="AP714" s="5"/>
      <c r="AR714" s="40"/>
      <c r="AS714" s="5"/>
      <c r="AU714" s="40"/>
      <c r="AV714" s="5"/>
      <c r="AX714" s="40"/>
      <c r="AY714" s="5"/>
      <c r="BA714" s="40"/>
      <c r="BB714" s="5"/>
      <c r="BD714" s="40"/>
      <c r="BE714" s="5"/>
      <c r="BG714" s="40"/>
      <c r="BH714" s="5"/>
      <c r="BJ714" s="40"/>
      <c r="BK714" s="5"/>
      <c r="BM714" s="40"/>
      <c r="BN714" s="5"/>
      <c r="BP714" s="40"/>
      <c r="BQ714" s="5"/>
      <c r="BS714" s="40"/>
      <c r="BT714" s="5"/>
      <c r="BV714" s="40"/>
      <c r="BW714" s="5"/>
      <c r="BY714" s="40"/>
      <c r="BZ714" s="5"/>
      <c r="CB714" s="40"/>
      <c r="CC714" s="5"/>
      <c r="CE714" s="40"/>
      <c r="CF714" s="5"/>
      <c r="CH714" s="40"/>
      <c r="CI714" s="5"/>
      <c r="CK714" s="40"/>
      <c r="CL714" s="5"/>
      <c r="CN714" s="40"/>
      <c r="CO714" s="5"/>
      <c r="CQ714" s="40"/>
      <c r="CR714" s="5"/>
    </row>
    <row r="715">
      <c r="AL715" s="40"/>
      <c r="AM715" s="5"/>
      <c r="AO715" s="40"/>
      <c r="AP715" s="5"/>
      <c r="AR715" s="40"/>
      <c r="AS715" s="5"/>
      <c r="AU715" s="40"/>
      <c r="AV715" s="5"/>
      <c r="AX715" s="40"/>
      <c r="AY715" s="5"/>
      <c r="BA715" s="40"/>
      <c r="BB715" s="5"/>
      <c r="BD715" s="40"/>
      <c r="BE715" s="5"/>
      <c r="BG715" s="40"/>
      <c r="BH715" s="5"/>
      <c r="BJ715" s="40"/>
      <c r="BK715" s="5"/>
      <c r="BM715" s="40"/>
      <c r="BN715" s="5"/>
      <c r="BP715" s="40"/>
      <c r="BQ715" s="5"/>
      <c r="BS715" s="40"/>
      <c r="BT715" s="5"/>
      <c r="BV715" s="40"/>
      <c r="BW715" s="5"/>
      <c r="BY715" s="40"/>
      <c r="BZ715" s="5"/>
      <c r="CB715" s="40"/>
      <c r="CC715" s="5"/>
      <c r="CE715" s="40"/>
      <c r="CF715" s="5"/>
      <c r="CH715" s="40"/>
      <c r="CI715" s="5"/>
      <c r="CK715" s="40"/>
      <c r="CL715" s="5"/>
      <c r="CN715" s="40"/>
      <c r="CO715" s="5"/>
      <c r="CQ715" s="40"/>
      <c r="CR715" s="5"/>
    </row>
    <row r="716">
      <c r="AL716" s="40"/>
      <c r="AM716" s="5"/>
      <c r="AO716" s="40"/>
      <c r="AP716" s="5"/>
      <c r="AR716" s="40"/>
      <c r="AS716" s="5"/>
      <c r="AU716" s="40"/>
      <c r="AV716" s="5"/>
      <c r="AX716" s="40"/>
      <c r="AY716" s="5"/>
      <c r="BA716" s="40"/>
      <c r="BB716" s="5"/>
      <c r="BD716" s="40"/>
      <c r="BE716" s="5"/>
      <c r="BG716" s="40"/>
      <c r="BH716" s="5"/>
      <c r="BJ716" s="40"/>
      <c r="BK716" s="5"/>
      <c r="BM716" s="40"/>
      <c r="BN716" s="5"/>
      <c r="BP716" s="40"/>
      <c r="BQ716" s="5"/>
      <c r="BS716" s="40"/>
      <c r="BT716" s="5"/>
      <c r="BV716" s="40"/>
      <c r="BW716" s="5"/>
      <c r="BY716" s="40"/>
      <c r="BZ716" s="5"/>
      <c r="CB716" s="40"/>
      <c r="CC716" s="5"/>
      <c r="CE716" s="40"/>
      <c r="CF716" s="5"/>
      <c r="CH716" s="40"/>
      <c r="CI716" s="5"/>
      <c r="CK716" s="40"/>
      <c r="CL716" s="5"/>
      <c r="CN716" s="40"/>
      <c r="CO716" s="5"/>
      <c r="CQ716" s="40"/>
      <c r="CR716" s="5"/>
    </row>
    <row r="717">
      <c r="AL717" s="40"/>
      <c r="AM717" s="5"/>
      <c r="AO717" s="40"/>
      <c r="AP717" s="5"/>
      <c r="AR717" s="40"/>
      <c r="AS717" s="5"/>
      <c r="AU717" s="40"/>
      <c r="AV717" s="5"/>
      <c r="AX717" s="40"/>
      <c r="AY717" s="5"/>
      <c r="BA717" s="40"/>
      <c r="BB717" s="5"/>
      <c r="BD717" s="40"/>
      <c r="BE717" s="5"/>
      <c r="BG717" s="40"/>
      <c r="BH717" s="5"/>
      <c r="BJ717" s="40"/>
      <c r="BK717" s="5"/>
      <c r="BM717" s="40"/>
      <c r="BN717" s="5"/>
      <c r="BP717" s="40"/>
      <c r="BQ717" s="5"/>
      <c r="BS717" s="40"/>
      <c r="BT717" s="5"/>
      <c r="BV717" s="40"/>
      <c r="BW717" s="5"/>
      <c r="BY717" s="40"/>
      <c r="BZ717" s="5"/>
      <c r="CB717" s="40"/>
      <c r="CC717" s="5"/>
      <c r="CE717" s="40"/>
      <c r="CF717" s="5"/>
      <c r="CH717" s="40"/>
      <c r="CI717" s="5"/>
      <c r="CK717" s="40"/>
      <c r="CL717" s="5"/>
      <c r="CN717" s="40"/>
      <c r="CO717" s="5"/>
      <c r="CQ717" s="40"/>
      <c r="CR717" s="5"/>
    </row>
    <row r="718">
      <c r="AL718" s="40"/>
      <c r="AM718" s="5"/>
      <c r="AO718" s="40"/>
      <c r="AP718" s="5"/>
      <c r="AR718" s="40"/>
      <c r="AS718" s="5"/>
      <c r="AU718" s="40"/>
      <c r="AV718" s="5"/>
      <c r="AX718" s="40"/>
      <c r="AY718" s="5"/>
      <c r="BA718" s="40"/>
      <c r="BB718" s="5"/>
      <c r="BD718" s="40"/>
      <c r="BE718" s="5"/>
      <c r="BG718" s="40"/>
      <c r="BH718" s="5"/>
      <c r="BJ718" s="40"/>
      <c r="BK718" s="5"/>
      <c r="BM718" s="40"/>
      <c r="BN718" s="5"/>
      <c r="BP718" s="40"/>
      <c r="BQ718" s="5"/>
      <c r="BS718" s="40"/>
      <c r="BT718" s="5"/>
      <c r="BV718" s="40"/>
      <c r="BW718" s="5"/>
      <c r="BY718" s="40"/>
      <c r="BZ718" s="5"/>
      <c r="CB718" s="40"/>
      <c r="CC718" s="5"/>
      <c r="CE718" s="40"/>
      <c r="CF718" s="5"/>
      <c r="CH718" s="40"/>
      <c r="CI718" s="5"/>
      <c r="CK718" s="40"/>
      <c r="CL718" s="5"/>
      <c r="CN718" s="40"/>
      <c r="CO718" s="5"/>
      <c r="CQ718" s="40"/>
      <c r="CR718" s="5"/>
    </row>
    <row r="719">
      <c r="AL719" s="40"/>
      <c r="AM719" s="5"/>
      <c r="AO719" s="40"/>
      <c r="AP719" s="5"/>
      <c r="AR719" s="40"/>
      <c r="AS719" s="5"/>
      <c r="AU719" s="40"/>
      <c r="AV719" s="5"/>
      <c r="AX719" s="40"/>
      <c r="AY719" s="5"/>
      <c r="BA719" s="40"/>
      <c r="BB719" s="5"/>
      <c r="BD719" s="40"/>
      <c r="BE719" s="5"/>
      <c r="BG719" s="40"/>
      <c r="BH719" s="5"/>
      <c r="BJ719" s="40"/>
      <c r="BK719" s="5"/>
      <c r="BM719" s="40"/>
      <c r="BN719" s="5"/>
      <c r="BP719" s="40"/>
      <c r="BQ719" s="5"/>
      <c r="BS719" s="40"/>
      <c r="BT719" s="5"/>
      <c r="BV719" s="40"/>
      <c r="BW719" s="5"/>
      <c r="BY719" s="40"/>
      <c r="BZ719" s="5"/>
      <c r="CB719" s="40"/>
      <c r="CC719" s="5"/>
      <c r="CE719" s="40"/>
      <c r="CF719" s="5"/>
      <c r="CH719" s="40"/>
      <c r="CI719" s="5"/>
      <c r="CK719" s="40"/>
      <c r="CL719" s="5"/>
      <c r="CN719" s="40"/>
      <c r="CO719" s="5"/>
      <c r="CQ719" s="40"/>
      <c r="CR719" s="5"/>
    </row>
    <row r="720">
      <c r="AL720" s="40"/>
      <c r="AM720" s="5"/>
      <c r="AO720" s="40"/>
      <c r="AP720" s="5"/>
      <c r="AR720" s="40"/>
      <c r="AS720" s="5"/>
      <c r="AU720" s="40"/>
      <c r="AV720" s="5"/>
      <c r="AX720" s="40"/>
      <c r="AY720" s="5"/>
      <c r="BA720" s="40"/>
      <c r="BB720" s="5"/>
      <c r="BD720" s="40"/>
      <c r="BE720" s="5"/>
      <c r="BG720" s="40"/>
      <c r="BH720" s="5"/>
      <c r="BJ720" s="40"/>
      <c r="BK720" s="5"/>
      <c r="BM720" s="40"/>
      <c r="BN720" s="5"/>
      <c r="BP720" s="40"/>
      <c r="BQ720" s="5"/>
      <c r="BS720" s="40"/>
      <c r="BT720" s="5"/>
      <c r="BV720" s="40"/>
      <c r="BW720" s="5"/>
      <c r="BY720" s="40"/>
      <c r="BZ720" s="5"/>
      <c r="CB720" s="40"/>
      <c r="CC720" s="5"/>
      <c r="CE720" s="40"/>
      <c r="CF720" s="5"/>
      <c r="CH720" s="40"/>
      <c r="CI720" s="5"/>
      <c r="CK720" s="40"/>
      <c r="CL720" s="5"/>
      <c r="CN720" s="40"/>
      <c r="CO720" s="5"/>
      <c r="CQ720" s="40"/>
      <c r="CR720" s="5"/>
    </row>
    <row r="721">
      <c r="AL721" s="40"/>
      <c r="AM721" s="5"/>
      <c r="AO721" s="40"/>
      <c r="AP721" s="5"/>
      <c r="AR721" s="40"/>
      <c r="AS721" s="5"/>
      <c r="AU721" s="40"/>
      <c r="AV721" s="5"/>
      <c r="AX721" s="40"/>
      <c r="AY721" s="5"/>
      <c r="BA721" s="40"/>
      <c r="BB721" s="5"/>
      <c r="BD721" s="40"/>
      <c r="BE721" s="5"/>
      <c r="BG721" s="40"/>
      <c r="BH721" s="5"/>
      <c r="BJ721" s="40"/>
      <c r="BK721" s="5"/>
      <c r="BM721" s="40"/>
      <c r="BN721" s="5"/>
      <c r="BP721" s="40"/>
      <c r="BQ721" s="5"/>
      <c r="BS721" s="40"/>
      <c r="BT721" s="5"/>
      <c r="BV721" s="40"/>
      <c r="BW721" s="5"/>
      <c r="BY721" s="40"/>
      <c r="BZ721" s="5"/>
      <c r="CB721" s="40"/>
      <c r="CC721" s="5"/>
      <c r="CE721" s="40"/>
      <c r="CF721" s="5"/>
      <c r="CH721" s="40"/>
      <c r="CI721" s="5"/>
      <c r="CK721" s="40"/>
      <c r="CL721" s="5"/>
      <c r="CN721" s="40"/>
      <c r="CO721" s="5"/>
      <c r="CQ721" s="40"/>
      <c r="CR721" s="5"/>
    </row>
    <row r="722">
      <c r="AL722" s="40"/>
      <c r="AM722" s="5"/>
      <c r="AO722" s="40"/>
      <c r="AP722" s="5"/>
      <c r="AR722" s="40"/>
      <c r="AS722" s="5"/>
      <c r="AU722" s="40"/>
      <c r="AV722" s="5"/>
      <c r="AX722" s="40"/>
      <c r="AY722" s="5"/>
      <c r="BA722" s="40"/>
      <c r="BB722" s="5"/>
      <c r="BD722" s="40"/>
      <c r="BE722" s="5"/>
      <c r="BG722" s="40"/>
      <c r="BH722" s="5"/>
      <c r="BJ722" s="40"/>
      <c r="BK722" s="5"/>
      <c r="BM722" s="40"/>
      <c r="BN722" s="5"/>
      <c r="BP722" s="40"/>
      <c r="BQ722" s="5"/>
      <c r="BS722" s="40"/>
      <c r="BT722" s="5"/>
      <c r="BV722" s="40"/>
      <c r="BW722" s="5"/>
      <c r="BY722" s="40"/>
      <c r="BZ722" s="5"/>
      <c r="CB722" s="40"/>
      <c r="CC722" s="5"/>
      <c r="CE722" s="40"/>
      <c r="CF722" s="5"/>
      <c r="CH722" s="40"/>
      <c r="CI722" s="5"/>
      <c r="CK722" s="40"/>
      <c r="CL722" s="5"/>
      <c r="CN722" s="40"/>
      <c r="CO722" s="5"/>
      <c r="CQ722" s="40"/>
      <c r="CR722" s="5"/>
    </row>
    <row r="723">
      <c r="AL723" s="40"/>
      <c r="AM723" s="5"/>
      <c r="AO723" s="40"/>
      <c r="AP723" s="5"/>
      <c r="AR723" s="40"/>
      <c r="AS723" s="5"/>
      <c r="AU723" s="40"/>
      <c r="AV723" s="5"/>
      <c r="AX723" s="40"/>
      <c r="AY723" s="5"/>
      <c r="BA723" s="40"/>
      <c r="BB723" s="5"/>
      <c r="BD723" s="40"/>
      <c r="BE723" s="5"/>
      <c r="BG723" s="40"/>
      <c r="BH723" s="5"/>
      <c r="BJ723" s="40"/>
      <c r="BK723" s="5"/>
      <c r="BM723" s="40"/>
      <c r="BN723" s="5"/>
      <c r="BP723" s="40"/>
      <c r="BQ723" s="5"/>
      <c r="BS723" s="40"/>
      <c r="BT723" s="5"/>
      <c r="BV723" s="40"/>
      <c r="BW723" s="5"/>
      <c r="BY723" s="40"/>
      <c r="BZ723" s="5"/>
      <c r="CB723" s="40"/>
      <c r="CC723" s="5"/>
      <c r="CE723" s="40"/>
      <c r="CF723" s="5"/>
      <c r="CH723" s="40"/>
      <c r="CI723" s="5"/>
      <c r="CK723" s="40"/>
      <c r="CL723" s="5"/>
      <c r="CN723" s="40"/>
      <c r="CO723" s="5"/>
      <c r="CQ723" s="40"/>
      <c r="CR723" s="5"/>
    </row>
    <row r="724">
      <c r="AL724" s="40"/>
      <c r="AM724" s="5"/>
      <c r="AO724" s="40"/>
      <c r="AP724" s="5"/>
      <c r="AR724" s="40"/>
      <c r="AS724" s="5"/>
      <c r="AU724" s="40"/>
      <c r="AV724" s="5"/>
      <c r="AX724" s="40"/>
      <c r="AY724" s="5"/>
      <c r="BA724" s="40"/>
      <c r="BB724" s="5"/>
      <c r="BD724" s="40"/>
      <c r="BE724" s="5"/>
      <c r="BG724" s="40"/>
      <c r="BH724" s="5"/>
      <c r="BJ724" s="40"/>
      <c r="BK724" s="5"/>
      <c r="BM724" s="40"/>
      <c r="BN724" s="5"/>
      <c r="BP724" s="40"/>
      <c r="BQ724" s="5"/>
      <c r="BS724" s="40"/>
      <c r="BT724" s="5"/>
      <c r="BV724" s="40"/>
      <c r="BW724" s="5"/>
      <c r="BY724" s="40"/>
      <c r="BZ724" s="5"/>
      <c r="CB724" s="40"/>
      <c r="CC724" s="5"/>
      <c r="CE724" s="40"/>
      <c r="CF724" s="5"/>
      <c r="CH724" s="40"/>
      <c r="CI724" s="5"/>
      <c r="CK724" s="40"/>
      <c r="CL724" s="5"/>
      <c r="CN724" s="40"/>
      <c r="CO724" s="5"/>
      <c r="CQ724" s="40"/>
      <c r="CR724" s="5"/>
    </row>
    <row r="725">
      <c r="AL725" s="40"/>
      <c r="AM725" s="5"/>
      <c r="AO725" s="40"/>
      <c r="AP725" s="5"/>
      <c r="AR725" s="40"/>
      <c r="AS725" s="5"/>
      <c r="AU725" s="40"/>
      <c r="AV725" s="5"/>
      <c r="AX725" s="40"/>
      <c r="AY725" s="5"/>
      <c r="BA725" s="40"/>
      <c r="BB725" s="5"/>
      <c r="BD725" s="40"/>
      <c r="BE725" s="5"/>
      <c r="BG725" s="40"/>
      <c r="BH725" s="5"/>
      <c r="BJ725" s="40"/>
      <c r="BK725" s="5"/>
      <c r="BM725" s="40"/>
      <c r="BN725" s="5"/>
      <c r="BP725" s="40"/>
      <c r="BQ725" s="5"/>
      <c r="BS725" s="40"/>
      <c r="BT725" s="5"/>
      <c r="BV725" s="40"/>
      <c r="BW725" s="5"/>
      <c r="BY725" s="40"/>
      <c r="BZ725" s="5"/>
      <c r="CB725" s="40"/>
      <c r="CC725" s="5"/>
      <c r="CE725" s="40"/>
      <c r="CF725" s="5"/>
      <c r="CH725" s="40"/>
      <c r="CI725" s="5"/>
      <c r="CK725" s="40"/>
      <c r="CL725" s="5"/>
      <c r="CN725" s="40"/>
      <c r="CO725" s="5"/>
      <c r="CQ725" s="40"/>
      <c r="CR725" s="5"/>
    </row>
    <row r="726">
      <c r="AL726" s="40"/>
      <c r="AM726" s="5"/>
      <c r="AO726" s="40"/>
      <c r="AP726" s="5"/>
      <c r="AR726" s="40"/>
      <c r="AS726" s="5"/>
      <c r="AU726" s="40"/>
      <c r="AV726" s="5"/>
      <c r="AX726" s="40"/>
      <c r="AY726" s="5"/>
      <c r="BA726" s="40"/>
      <c r="BB726" s="5"/>
      <c r="BD726" s="40"/>
      <c r="BE726" s="5"/>
      <c r="BG726" s="40"/>
      <c r="BH726" s="5"/>
      <c r="BJ726" s="40"/>
      <c r="BK726" s="5"/>
      <c r="BM726" s="40"/>
      <c r="BN726" s="5"/>
      <c r="BP726" s="40"/>
      <c r="BQ726" s="5"/>
      <c r="BS726" s="40"/>
      <c r="BT726" s="5"/>
      <c r="BV726" s="40"/>
      <c r="BW726" s="5"/>
      <c r="BY726" s="40"/>
      <c r="BZ726" s="5"/>
      <c r="CB726" s="40"/>
      <c r="CC726" s="5"/>
      <c r="CE726" s="40"/>
      <c r="CF726" s="5"/>
      <c r="CH726" s="40"/>
      <c r="CI726" s="5"/>
      <c r="CK726" s="40"/>
      <c r="CL726" s="5"/>
      <c r="CN726" s="40"/>
      <c r="CO726" s="5"/>
      <c r="CQ726" s="40"/>
      <c r="CR726" s="5"/>
    </row>
    <row r="727">
      <c r="AL727" s="40"/>
      <c r="AM727" s="5"/>
      <c r="AO727" s="40"/>
      <c r="AP727" s="5"/>
      <c r="AR727" s="40"/>
      <c r="AS727" s="5"/>
      <c r="AU727" s="40"/>
      <c r="AV727" s="5"/>
      <c r="AX727" s="40"/>
      <c r="AY727" s="5"/>
      <c r="BA727" s="40"/>
      <c r="BB727" s="5"/>
      <c r="BD727" s="40"/>
      <c r="BE727" s="5"/>
      <c r="BG727" s="40"/>
      <c r="BH727" s="5"/>
      <c r="BJ727" s="40"/>
      <c r="BK727" s="5"/>
      <c r="BM727" s="40"/>
      <c r="BN727" s="5"/>
      <c r="BP727" s="40"/>
      <c r="BQ727" s="5"/>
      <c r="BS727" s="40"/>
      <c r="BT727" s="5"/>
      <c r="BV727" s="40"/>
      <c r="BW727" s="5"/>
      <c r="BY727" s="40"/>
      <c r="BZ727" s="5"/>
      <c r="CB727" s="40"/>
      <c r="CC727" s="5"/>
      <c r="CE727" s="40"/>
      <c r="CF727" s="5"/>
      <c r="CH727" s="40"/>
      <c r="CI727" s="5"/>
      <c r="CK727" s="40"/>
      <c r="CL727" s="5"/>
      <c r="CN727" s="40"/>
      <c r="CO727" s="5"/>
      <c r="CQ727" s="40"/>
      <c r="CR727" s="5"/>
    </row>
    <row r="728">
      <c r="AL728" s="40"/>
      <c r="AM728" s="5"/>
      <c r="AO728" s="40"/>
      <c r="AP728" s="5"/>
      <c r="AR728" s="40"/>
      <c r="AS728" s="5"/>
      <c r="AU728" s="40"/>
      <c r="AV728" s="5"/>
      <c r="AX728" s="40"/>
      <c r="AY728" s="5"/>
      <c r="BA728" s="40"/>
      <c r="BB728" s="5"/>
      <c r="BD728" s="40"/>
      <c r="BE728" s="5"/>
      <c r="BG728" s="40"/>
      <c r="BH728" s="5"/>
      <c r="BJ728" s="40"/>
      <c r="BK728" s="5"/>
      <c r="BM728" s="40"/>
      <c r="BN728" s="5"/>
      <c r="BP728" s="40"/>
      <c r="BQ728" s="5"/>
      <c r="BS728" s="40"/>
      <c r="BT728" s="5"/>
      <c r="BV728" s="40"/>
      <c r="BW728" s="5"/>
      <c r="BY728" s="40"/>
      <c r="BZ728" s="5"/>
      <c r="CB728" s="40"/>
      <c r="CC728" s="5"/>
      <c r="CE728" s="40"/>
      <c r="CF728" s="5"/>
      <c r="CH728" s="40"/>
      <c r="CI728" s="5"/>
      <c r="CK728" s="40"/>
      <c r="CL728" s="5"/>
      <c r="CN728" s="40"/>
      <c r="CO728" s="5"/>
      <c r="CQ728" s="40"/>
      <c r="CR728" s="5"/>
    </row>
    <row r="729">
      <c r="AL729" s="40"/>
      <c r="AM729" s="5"/>
      <c r="AO729" s="40"/>
      <c r="AP729" s="5"/>
      <c r="AR729" s="40"/>
      <c r="AS729" s="5"/>
      <c r="AU729" s="40"/>
      <c r="AV729" s="5"/>
      <c r="AX729" s="40"/>
      <c r="AY729" s="5"/>
      <c r="BA729" s="40"/>
      <c r="BB729" s="5"/>
      <c r="BD729" s="40"/>
      <c r="BE729" s="5"/>
      <c r="BG729" s="40"/>
      <c r="BH729" s="5"/>
      <c r="BJ729" s="40"/>
      <c r="BK729" s="5"/>
      <c r="BM729" s="40"/>
      <c r="BN729" s="5"/>
      <c r="BP729" s="40"/>
      <c r="BQ729" s="5"/>
      <c r="BS729" s="40"/>
      <c r="BT729" s="5"/>
      <c r="BV729" s="40"/>
      <c r="BW729" s="5"/>
      <c r="BY729" s="40"/>
      <c r="BZ729" s="5"/>
      <c r="CB729" s="40"/>
      <c r="CC729" s="5"/>
      <c r="CE729" s="40"/>
      <c r="CF729" s="5"/>
      <c r="CH729" s="40"/>
      <c r="CI729" s="5"/>
      <c r="CK729" s="40"/>
      <c r="CL729" s="5"/>
      <c r="CN729" s="40"/>
      <c r="CO729" s="5"/>
      <c r="CQ729" s="40"/>
      <c r="CR729" s="5"/>
    </row>
    <row r="730">
      <c r="AL730" s="40"/>
      <c r="AM730" s="5"/>
      <c r="AO730" s="40"/>
      <c r="AP730" s="5"/>
      <c r="AR730" s="40"/>
      <c r="AS730" s="5"/>
      <c r="AU730" s="40"/>
      <c r="AV730" s="5"/>
      <c r="AX730" s="40"/>
      <c r="AY730" s="5"/>
      <c r="BA730" s="40"/>
      <c r="BB730" s="5"/>
      <c r="BD730" s="40"/>
      <c r="BE730" s="5"/>
      <c r="BG730" s="40"/>
      <c r="BH730" s="5"/>
      <c r="BJ730" s="40"/>
      <c r="BK730" s="5"/>
      <c r="BM730" s="40"/>
      <c r="BN730" s="5"/>
      <c r="BP730" s="40"/>
      <c r="BQ730" s="5"/>
      <c r="BS730" s="40"/>
      <c r="BT730" s="5"/>
      <c r="BV730" s="40"/>
      <c r="BW730" s="5"/>
      <c r="BY730" s="40"/>
      <c r="BZ730" s="5"/>
      <c r="CB730" s="40"/>
      <c r="CC730" s="5"/>
      <c r="CE730" s="40"/>
      <c r="CF730" s="5"/>
      <c r="CH730" s="40"/>
      <c r="CI730" s="5"/>
      <c r="CK730" s="40"/>
      <c r="CL730" s="5"/>
      <c r="CN730" s="40"/>
      <c r="CO730" s="5"/>
      <c r="CQ730" s="40"/>
      <c r="CR730" s="5"/>
    </row>
    <row r="731">
      <c r="AL731" s="40"/>
      <c r="AM731" s="5"/>
      <c r="AO731" s="40"/>
      <c r="AP731" s="5"/>
      <c r="AR731" s="40"/>
      <c r="AS731" s="5"/>
      <c r="AU731" s="40"/>
      <c r="AV731" s="5"/>
      <c r="AX731" s="40"/>
      <c r="AY731" s="5"/>
      <c r="BA731" s="40"/>
      <c r="BB731" s="5"/>
      <c r="BD731" s="40"/>
      <c r="BE731" s="5"/>
      <c r="BG731" s="40"/>
      <c r="BH731" s="5"/>
      <c r="BJ731" s="40"/>
      <c r="BK731" s="5"/>
      <c r="BM731" s="40"/>
      <c r="BN731" s="5"/>
      <c r="BP731" s="40"/>
      <c r="BQ731" s="5"/>
      <c r="BS731" s="40"/>
      <c r="BT731" s="5"/>
      <c r="BV731" s="40"/>
      <c r="BW731" s="5"/>
      <c r="BY731" s="40"/>
      <c r="BZ731" s="5"/>
      <c r="CB731" s="40"/>
      <c r="CC731" s="5"/>
      <c r="CE731" s="40"/>
      <c r="CF731" s="5"/>
      <c r="CH731" s="40"/>
      <c r="CI731" s="5"/>
      <c r="CK731" s="40"/>
      <c r="CL731" s="5"/>
      <c r="CN731" s="40"/>
      <c r="CO731" s="5"/>
      <c r="CQ731" s="40"/>
      <c r="CR731" s="5"/>
    </row>
    <row r="732">
      <c r="AL732" s="40"/>
      <c r="AM732" s="5"/>
      <c r="AO732" s="40"/>
      <c r="AP732" s="5"/>
      <c r="AR732" s="40"/>
      <c r="AS732" s="5"/>
      <c r="AU732" s="40"/>
      <c r="AV732" s="5"/>
      <c r="AX732" s="40"/>
      <c r="AY732" s="5"/>
      <c r="BA732" s="40"/>
      <c r="BB732" s="5"/>
      <c r="BD732" s="40"/>
      <c r="BE732" s="5"/>
      <c r="BG732" s="40"/>
      <c r="BH732" s="5"/>
      <c r="BJ732" s="40"/>
      <c r="BK732" s="5"/>
      <c r="BM732" s="40"/>
      <c r="BN732" s="5"/>
      <c r="BP732" s="40"/>
      <c r="BQ732" s="5"/>
      <c r="BS732" s="40"/>
      <c r="BT732" s="5"/>
      <c r="BV732" s="40"/>
      <c r="BW732" s="5"/>
      <c r="BY732" s="40"/>
      <c r="BZ732" s="5"/>
      <c r="CB732" s="40"/>
      <c r="CC732" s="5"/>
      <c r="CE732" s="40"/>
      <c r="CF732" s="5"/>
      <c r="CH732" s="40"/>
      <c r="CI732" s="5"/>
      <c r="CK732" s="40"/>
      <c r="CL732" s="5"/>
      <c r="CN732" s="40"/>
      <c r="CO732" s="5"/>
      <c r="CQ732" s="40"/>
      <c r="CR732" s="5"/>
    </row>
    <row r="733">
      <c r="AL733" s="40"/>
      <c r="AM733" s="5"/>
      <c r="AO733" s="40"/>
      <c r="AP733" s="5"/>
      <c r="AR733" s="40"/>
      <c r="AS733" s="5"/>
      <c r="AU733" s="40"/>
      <c r="AV733" s="5"/>
      <c r="AX733" s="40"/>
      <c r="AY733" s="5"/>
      <c r="BA733" s="40"/>
      <c r="BB733" s="5"/>
      <c r="BD733" s="40"/>
      <c r="BE733" s="5"/>
      <c r="BG733" s="40"/>
      <c r="BH733" s="5"/>
      <c r="BJ733" s="40"/>
      <c r="BK733" s="5"/>
      <c r="BM733" s="40"/>
      <c r="BN733" s="5"/>
      <c r="BP733" s="40"/>
      <c r="BQ733" s="5"/>
      <c r="BS733" s="40"/>
      <c r="BT733" s="5"/>
      <c r="BV733" s="40"/>
      <c r="BW733" s="5"/>
      <c r="BY733" s="40"/>
      <c r="BZ733" s="5"/>
      <c r="CB733" s="40"/>
      <c r="CC733" s="5"/>
      <c r="CE733" s="40"/>
      <c r="CF733" s="5"/>
      <c r="CH733" s="40"/>
      <c r="CI733" s="5"/>
      <c r="CK733" s="40"/>
      <c r="CL733" s="5"/>
      <c r="CN733" s="40"/>
      <c r="CO733" s="5"/>
      <c r="CQ733" s="40"/>
      <c r="CR733" s="5"/>
    </row>
    <row r="734">
      <c r="AL734" s="40"/>
      <c r="AM734" s="5"/>
      <c r="AO734" s="40"/>
      <c r="AP734" s="5"/>
      <c r="AR734" s="40"/>
      <c r="AS734" s="5"/>
      <c r="AU734" s="40"/>
      <c r="AV734" s="5"/>
      <c r="AX734" s="40"/>
      <c r="AY734" s="5"/>
      <c r="BA734" s="40"/>
      <c r="BB734" s="5"/>
      <c r="BD734" s="40"/>
      <c r="BE734" s="5"/>
      <c r="BG734" s="40"/>
      <c r="BH734" s="5"/>
      <c r="BJ734" s="40"/>
      <c r="BK734" s="5"/>
      <c r="BM734" s="40"/>
      <c r="BN734" s="5"/>
      <c r="BP734" s="40"/>
      <c r="BQ734" s="5"/>
      <c r="BS734" s="40"/>
      <c r="BT734" s="5"/>
      <c r="BV734" s="40"/>
      <c r="BW734" s="5"/>
      <c r="BY734" s="40"/>
      <c r="BZ734" s="5"/>
      <c r="CB734" s="40"/>
      <c r="CC734" s="5"/>
      <c r="CE734" s="40"/>
      <c r="CF734" s="5"/>
      <c r="CH734" s="40"/>
      <c r="CI734" s="5"/>
      <c r="CK734" s="40"/>
      <c r="CL734" s="5"/>
      <c r="CN734" s="40"/>
      <c r="CO734" s="5"/>
      <c r="CQ734" s="40"/>
      <c r="CR734" s="5"/>
    </row>
    <row r="735">
      <c r="AL735" s="40"/>
      <c r="AM735" s="5"/>
      <c r="AO735" s="40"/>
      <c r="AP735" s="5"/>
      <c r="AR735" s="40"/>
      <c r="AS735" s="5"/>
      <c r="AU735" s="40"/>
      <c r="AV735" s="5"/>
      <c r="AX735" s="40"/>
      <c r="AY735" s="5"/>
      <c r="BA735" s="40"/>
      <c r="BB735" s="5"/>
      <c r="BD735" s="40"/>
      <c r="BE735" s="5"/>
      <c r="BG735" s="40"/>
      <c r="BH735" s="5"/>
      <c r="BJ735" s="40"/>
      <c r="BK735" s="5"/>
      <c r="BM735" s="40"/>
      <c r="BN735" s="5"/>
      <c r="BP735" s="40"/>
      <c r="BQ735" s="5"/>
      <c r="BS735" s="40"/>
      <c r="BT735" s="5"/>
      <c r="BV735" s="40"/>
      <c r="BW735" s="5"/>
      <c r="BY735" s="40"/>
      <c r="BZ735" s="5"/>
      <c r="CB735" s="40"/>
      <c r="CC735" s="5"/>
      <c r="CE735" s="40"/>
      <c r="CF735" s="5"/>
      <c r="CH735" s="40"/>
      <c r="CI735" s="5"/>
      <c r="CK735" s="40"/>
      <c r="CL735" s="5"/>
      <c r="CN735" s="40"/>
      <c r="CO735" s="5"/>
      <c r="CQ735" s="40"/>
      <c r="CR735" s="5"/>
    </row>
    <row r="736">
      <c r="AL736" s="40"/>
      <c r="AM736" s="5"/>
      <c r="AO736" s="40"/>
      <c r="AP736" s="5"/>
      <c r="AR736" s="40"/>
      <c r="AS736" s="5"/>
      <c r="AU736" s="40"/>
      <c r="AV736" s="5"/>
      <c r="AX736" s="40"/>
      <c r="AY736" s="5"/>
      <c r="BA736" s="40"/>
      <c r="BB736" s="5"/>
      <c r="BD736" s="40"/>
      <c r="BE736" s="5"/>
      <c r="BG736" s="40"/>
      <c r="BH736" s="5"/>
      <c r="BJ736" s="40"/>
      <c r="BK736" s="5"/>
      <c r="BM736" s="40"/>
      <c r="BN736" s="5"/>
      <c r="BP736" s="40"/>
      <c r="BQ736" s="5"/>
      <c r="BS736" s="40"/>
      <c r="BT736" s="5"/>
      <c r="BV736" s="40"/>
      <c r="BW736" s="5"/>
      <c r="BY736" s="40"/>
      <c r="BZ736" s="5"/>
      <c r="CB736" s="40"/>
      <c r="CC736" s="5"/>
      <c r="CE736" s="40"/>
      <c r="CF736" s="5"/>
      <c r="CH736" s="40"/>
      <c r="CI736" s="5"/>
      <c r="CK736" s="40"/>
      <c r="CL736" s="5"/>
      <c r="CN736" s="40"/>
      <c r="CO736" s="5"/>
      <c r="CQ736" s="40"/>
      <c r="CR736" s="5"/>
    </row>
    <row r="737">
      <c r="AL737" s="40"/>
      <c r="AM737" s="5"/>
      <c r="AO737" s="40"/>
      <c r="AP737" s="5"/>
      <c r="AR737" s="40"/>
      <c r="AS737" s="5"/>
      <c r="AU737" s="40"/>
      <c r="AV737" s="5"/>
      <c r="AX737" s="40"/>
      <c r="AY737" s="5"/>
      <c r="BA737" s="40"/>
      <c r="BB737" s="5"/>
      <c r="BD737" s="40"/>
      <c r="BE737" s="5"/>
      <c r="BG737" s="40"/>
      <c r="BH737" s="5"/>
      <c r="BJ737" s="40"/>
      <c r="BK737" s="5"/>
      <c r="BM737" s="40"/>
      <c r="BN737" s="5"/>
      <c r="BP737" s="40"/>
      <c r="BQ737" s="5"/>
      <c r="BS737" s="40"/>
      <c r="BT737" s="5"/>
      <c r="BV737" s="40"/>
      <c r="BW737" s="5"/>
      <c r="BY737" s="40"/>
      <c r="BZ737" s="5"/>
      <c r="CB737" s="40"/>
      <c r="CC737" s="5"/>
      <c r="CE737" s="40"/>
      <c r="CF737" s="5"/>
      <c r="CH737" s="40"/>
      <c r="CI737" s="5"/>
      <c r="CK737" s="40"/>
      <c r="CL737" s="5"/>
      <c r="CN737" s="40"/>
      <c r="CO737" s="5"/>
      <c r="CQ737" s="40"/>
      <c r="CR737" s="5"/>
    </row>
    <row r="738">
      <c r="AL738" s="40"/>
      <c r="AM738" s="5"/>
      <c r="AO738" s="40"/>
      <c r="AP738" s="5"/>
      <c r="AR738" s="40"/>
      <c r="AS738" s="5"/>
      <c r="AU738" s="40"/>
      <c r="AV738" s="5"/>
      <c r="AX738" s="40"/>
      <c r="AY738" s="5"/>
      <c r="BA738" s="40"/>
      <c r="BB738" s="5"/>
      <c r="BD738" s="40"/>
      <c r="BE738" s="5"/>
      <c r="BG738" s="40"/>
      <c r="BH738" s="5"/>
      <c r="BJ738" s="40"/>
      <c r="BK738" s="5"/>
      <c r="BM738" s="40"/>
      <c r="BN738" s="5"/>
      <c r="BP738" s="40"/>
      <c r="BQ738" s="5"/>
      <c r="BS738" s="40"/>
      <c r="BT738" s="5"/>
      <c r="BV738" s="40"/>
      <c r="BW738" s="5"/>
      <c r="BY738" s="40"/>
      <c r="BZ738" s="5"/>
      <c r="CB738" s="40"/>
      <c r="CC738" s="5"/>
      <c r="CE738" s="40"/>
      <c r="CF738" s="5"/>
      <c r="CH738" s="40"/>
      <c r="CI738" s="5"/>
      <c r="CK738" s="40"/>
      <c r="CL738" s="5"/>
      <c r="CN738" s="40"/>
      <c r="CO738" s="5"/>
      <c r="CQ738" s="40"/>
      <c r="CR738" s="5"/>
    </row>
    <row r="739">
      <c r="AL739" s="40"/>
      <c r="AM739" s="5"/>
      <c r="AO739" s="40"/>
      <c r="AP739" s="5"/>
      <c r="AR739" s="40"/>
      <c r="AS739" s="5"/>
      <c r="AU739" s="40"/>
      <c r="AV739" s="5"/>
      <c r="AX739" s="40"/>
      <c r="AY739" s="5"/>
      <c r="BA739" s="40"/>
      <c r="BB739" s="5"/>
      <c r="BD739" s="40"/>
      <c r="BE739" s="5"/>
      <c r="BG739" s="40"/>
      <c r="BH739" s="5"/>
      <c r="BJ739" s="40"/>
      <c r="BK739" s="5"/>
      <c r="BM739" s="40"/>
      <c r="BN739" s="5"/>
      <c r="BP739" s="40"/>
      <c r="BQ739" s="5"/>
      <c r="BS739" s="40"/>
      <c r="BT739" s="5"/>
      <c r="BV739" s="40"/>
      <c r="BW739" s="5"/>
      <c r="BY739" s="40"/>
      <c r="BZ739" s="5"/>
      <c r="CB739" s="40"/>
      <c r="CC739" s="5"/>
      <c r="CE739" s="40"/>
      <c r="CF739" s="5"/>
      <c r="CH739" s="40"/>
      <c r="CI739" s="5"/>
      <c r="CK739" s="40"/>
      <c r="CL739" s="5"/>
      <c r="CN739" s="40"/>
      <c r="CO739" s="5"/>
      <c r="CQ739" s="40"/>
      <c r="CR739" s="5"/>
    </row>
    <row r="740">
      <c r="AL740" s="40"/>
      <c r="AM740" s="5"/>
      <c r="AO740" s="40"/>
      <c r="AP740" s="5"/>
      <c r="AR740" s="40"/>
      <c r="AS740" s="5"/>
      <c r="AU740" s="40"/>
      <c r="AV740" s="5"/>
      <c r="AX740" s="40"/>
      <c r="AY740" s="5"/>
      <c r="BA740" s="40"/>
      <c r="BB740" s="5"/>
      <c r="BD740" s="40"/>
      <c r="BE740" s="5"/>
      <c r="BG740" s="40"/>
      <c r="BH740" s="5"/>
      <c r="BJ740" s="40"/>
      <c r="BK740" s="5"/>
      <c r="BM740" s="40"/>
      <c r="BN740" s="5"/>
      <c r="BP740" s="40"/>
      <c r="BQ740" s="5"/>
      <c r="BS740" s="40"/>
      <c r="BT740" s="5"/>
      <c r="BV740" s="40"/>
      <c r="BW740" s="5"/>
      <c r="BY740" s="40"/>
      <c r="BZ740" s="5"/>
      <c r="CB740" s="40"/>
      <c r="CC740" s="5"/>
      <c r="CE740" s="40"/>
      <c r="CF740" s="5"/>
      <c r="CH740" s="40"/>
      <c r="CI740" s="5"/>
      <c r="CK740" s="40"/>
      <c r="CL740" s="5"/>
      <c r="CN740" s="40"/>
      <c r="CO740" s="5"/>
      <c r="CQ740" s="40"/>
      <c r="CR740" s="5"/>
    </row>
    <row r="741">
      <c r="AL741" s="40"/>
      <c r="AM741" s="5"/>
      <c r="AO741" s="40"/>
      <c r="AP741" s="5"/>
      <c r="AR741" s="40"/>
      <c r="AS741" s="5"/>
      <c r="AU741" s="40"/>
      <c r="AV741" s="5"/>
      <c r="AX741" s="40"/>
      <c r="AY741" s="5"/>
      <c r="BA741" s="40"/>
      <c r="BB741" s="5"/>
      <c r="BD741" s="40"/>
      <c r="BE741" s="5"/>
      <c r="BG741" s="40"/>
      <c r="BH741" s="5"/>
      <c r="BJ741" s="40"/>
      <c r="BK741" s="5"/>
      <c r="BM741" s="40"/>
      <c r="BN741" s="5"/>
      <c r="BP741" s="40"/>
      <c r="BQ741" s="5"/>
      <c r="BS741" s="40"/>
      <c r="BT741" s="5"/>
      <c r="BV741" s="40"/>
      <c r="BW741" s="5"/>
      <c r="BY741" s="40"/>
      <c r="BZ741" s="5"/>
      <c r="CB741" s="40"/>
      <c r="CC741" s="5"/>
      <c r="CE741" s="40"/>
      <c r="CF741" s="5"/>
      <c r="CH741" s="40"/>
      <c r="CI741" s="5"/>
      <c r="CK741" s="40"/>
      <c r="CL741" s="5"/>
      <c r="CN741" s="40"/>
      <c r="CO741" s="5"/>
      <c r="CQ741" s="40"/>
      <c r="CR741" s="5"/>
    </row>
    <row r="742">
      <c r="AL742" s="40"/>
      <c r="AM742" s="5"/>
      <c r="AO742" s="40"/>
      <c r="AP742" s="5"/>
      <c r="AR742" s="40"/>
      <c r="AS742" s="5"/>
      <c r="AU742" s="40"/>
      <c r="AV742" s="5"/>
      <c r="AX742" s="40"/>
      <c r="AY742" s="5"/>
      <c r="BA742" s="40"/>
      <c r="BB742" s="5"/>
      <c r="BD742" s="40"/>
      <c r="BE742" s="5"/>
      <c r="BG742" s="40"/>
      <c r="BH742" s="5"/>
      <c r="BJ742" s="40"/>
      <c r="BK742" s="5"/>
      <c r="BM742" s="40"/>
      <c r="BN742" s="5"/>
      <c r="BP742" s="40"/>
      <c r="BQ742" s="5"/>
      <c r="BS742" s="40"/>
      <c r="BT742" s="5"/>
      <c r="BV742" s="40"/>
      <c r="BW742" s="5"/>
      <c r="BY742" s="40"/>
      <c r="BZ742" s="5"/>
      <c r="CB742" s="40"/>
      <c r="CC742" s="5"/>
      <c r="CE742" s="40"/>
      <c r="CF742" s="5"/>
      <c r="CH742" s="40"/>
      <c r="CI742" s="5"/>
      <c r="CK742" s="40"/>
      <c r="CL742" s="5"/>
      <c r="CN742" s="40"/>
      <c r="CO742" s="5"/>
      <c r="CQ742" s="40"/>
      <c r="CR742" s="5"/>
    </row>
    <row r="743">
      <c r="AL743" s="40"/>
      <c r="AM743" s="5"/>
      <c r="AO743" s="40"/>
      <c r="AP743" s="5"/>
      <c r="AR743" s="40"/>
      <c r="AS743" s="5"/>
      <c r="AU743" s="40"/>
      <c r="AV743" s="5"/>
      <c r="AX743" s="40"/>
      <c r="AY743" s="5"/>
      <c r="BA743" s="40"/>
      <c r="BB743" s="5"/>
      <c r="BD743" s="40"/>
      <c r="BE743" s="5"/>
      <c r="BG743" s="40"/>
      <c r="BH743" s="5"/>
      <c r="BJ743" s="40"/>
      <c r="BK743" s="5"/>
      <c r="BM743" s="40"/>
      <c r="BN743" s="5"/>
      <c r="BP743" s="40"/>
      <c r="BQ743" s="5"/>
      <c r="BS743" s="40"/>
      <c r="BT743" s="5"/>
      <c r="BV743" s="40"/>
      <c r="BW743" s="5"/>
      <c r="BY743" s="40"/>
      <c r="BZ743" s="5"/>
      <c r="CB743" s="40"/>
      <c r="CC743" s="5"/>
      <c r="CE743" s="40"/>
      <c r="CF743" s="5"/>
      <c r="CH743" s="40"/>
      <c r="CI743" s="5"/>
      <c r="CK743" s="40"/>
      <c r="CL743" s="5"/>
      <c r="CN743" s="40"/>
      <c r="CO743" s="5"/>
      <c r="CQ743" s="40"/>
      <c r="CR743" s="5"/>
    </row>
    <row r="744">
      <c r="AL744" s="40"/>
      <c r="AM744" s="5"/>
      <c r="AO744" s="40"/>
      <c r="AP744" s="5"/>
      <c r="AR744" s="40"/>
      <c r="AS744" s="5"/>
      <c r="AU744" s="40"/>
      <c r="AV744" s="5"/>
      <c r="AX744" s="40"/>
      <c r="AY744" s="5"/>
      <c r="BA744" s="40"/>
      <c r="BB744" s="5"/>
      <c r="BD744" s="40"/>
      <c r="BE744" s="5"/>
      <c r="BG744" s="40"/>
      <c r="BH744" s="5"/>
      <c r="BJ744" s="40"/>
      <c r="BK744" s="5"/>
      <c r="BM744" s="40"/>
      <c r="BN744" s="5"/>
      <c r="BP744" s="40"/>
      <c r="BQ744" s="5"/>
      <c r="BS744" s="40"/>
      <c r="BT744" s="5"/>
      <c r="BV744" s="40"/>
      <c r="BW744" s="5"/>
      <c r="BY744" s="40"/>
      <c r="BZ744" s="5"/>
      <c r="CB744" s="40"/>
      <c r="CC744" s="5"/>
      <c r="CE744" s="40"/>
      <c r="CF744" s="5"/>
      <c r="CH744" s="40"/>
      <c r="CI744" s="5"/>
      <c r="CK744" s="40"/>
      <c r="CL744" s="5"/>
      <c r="CN744" s="40"/>
      <c r="CO744" s="5"/>
      <c r="CQ744" s="40"/>
      <c r="CR744" s="5"/>
    </row>
    <row r="745">
      <c r="AL745" s="40"/>
      <c r="AM745" s="5"/>
      <c r="AO745" s="40"/>
      <c r="AP745" s="5"/>
      <c r="AR745" s="40"/>
      <c r="AS745" s="5"/>
      <c r="AU745" s="40"/>
      <c r="AV745" s="5"/>
      <c r="AX745" s="40"/>
      <c r="AY745" s="5"/>
      <c r="BA745" s="40"/>
      <c r="BB745" s="5"/>
      <c r="BD745" s="40"/>
      <c r="BE745" s="5"/>
      <c r="BG745" s="40"/>
      <c r="BH745" s="5"/>
      <c r="BJ745" s="40"/>
      <c r="BK745" s="5"/>
      <c r="BM745" s="40"/>
      <c r="BN745" s="5"/>
      <c r="BP745" s="40"/>
      <c r="BQ745" s="5"/>
      <c r="BS745" s="40"/>
      <c r="BT745" s="5"/>
      <c r="BV745" s="40"/>
      <c r="BW745" s="5"/>
      <c r="BY745" s="40"/>
      <c r="BZ745" s="5"/>
      <c r="CB745" s="40"/>
      <c r="CC745" s="5"/>
      <c r="CE745" s="40"/>
      <c r="CF745" s="5"/>
      <c r="CH745" s="40"/>
      <c r="CI745" s="5"/>
      <c r="CK745" s="40"/>
      <c r="CL745" s="5"/>
      <c r="CN745" s="40"/>
      <c r="CO745" s="5"/>
      <c r="CQ745" s="40"/>
      <c r="CR745" s="5"/>
    </row>
    <row r="746">
      <c r="AL746" s="40"/>
      <c r="AM746" s="5"/>
      <c r="AO746" s="40"/>
      <c r="AP746" s="5"/>
      <c r="AR746" s="40"/>
      <c r="AS746" s="5"/>
      <c r="AU746" s="40"/>
      <c r="AV746" s="5"/>
      <c r="AX746" s="40"/>
      <c r="AY746" s="5"/>
      <c r="BA746" s="40"/>
      <c r="BB746" s="5"/>
      <c r="BD746" s="40"/>
      <c r="BE746" s="5"/>
      <c r="BG746" s="40"/>
      <c r="BH746" s="5"/>
      <c r="BJ746" s="40"/>
      <c r="BK746" s="5"/>
      <c r="BM746" s="40"/>
      <c r="BN746" s="5"/>
      <c r="BP746" s="40"/>
      <c r="BQ746" s="5"/>
      <c r="BS746" s="40"/>
      <c r="BT746" s="5"/>
      <c r="BV746" s="40"/>
      <c r="BW746" s="5"/>
      <c r="BY746" s="40"/>
      <c r="BZ746" s="5"/>
      <c r="CB746" s="40"/>
      <c r="CC746" s="5"/>
      <c r="CE746" s="40"/>
      <c r="CF746" s="5"/>
      <c r="CH746" s="40"/>
      <c r="CI746" s="5"/>
      <c r="CK746" s="40"/>
      <c r="CL746" s="5"/>
      <c r="CN746" s="40"/>
      <c r="CO746" s="5"/>
      <c r="CQ746" s="40"/>
      <c r="CR746" s="5"/>
    </row>
    <row r="747">
      <c r="AL747" s="40"/>
      <c r="AM747" s="5"/>
      <c r="AO747" s="40"/>
      <c r="AP747" s="5"/>
      <c r="AR747" s="40"/>
      <c r="AS747" s="5"/>
      <c r="AU747" s="40"/>
      <c r="AV747" s="5"/>
      <c r="AX747" s="40"/>
      <c r="AY747" s="5"/>
      <c r="BA747" s="40"/>
      <c r="BB747" s="5"/>
      <c r="BD747" s="40"/>
      <c r="BE747" s="5"/>
      <c r="BG747" s="40"/>
      <c r="BH747" s="5"/>
      <c r="BJ747" s="40"/>
      <c r="BK747" s="5"/>
      <c r="BM747" s="40"/>
      <c r="BN747" s="5"/>
      <c r="BP747" s="40"/>
      <c r="BQ747" s="5"/>
      <c r="BS747" s="40"/>
      <c r="BT747" s="5"/>
      <c r="BV747" s="40"/>
      <c r="BW747" s="5"/>
      <c r="BY747" s="40"/>
      <c r="BZ747" s="5"/>
      <c r="CB747" s="40"/>
      <c r="CC747" s="5"/>
      <c r="CE747" s="40"/>
      <c r="CF747" s="5"/>
      <c r="CH747" s="40"/>
      <c r="CI747" s="5"/>
      <c r="CK747" s="40"/>
      <c r="CL747" s="5"/>
      <c r="CN747" s="40"/>
      <c r="CO747" s="5"/>
      <c r="CQ747" s="40"/>
      <c r="CR747" s="5"/>
    </row>
    <row r="748">
      <c r="AL748" s="40"/>
      <c r="AM748" s="5"/>
      <c r="AO748" s="40"/>
      <c r="AP748" s="5"/>
      <c r="AR748" s="40"/>
      <c r="AS748" s="5"/>
      <c r="AU748" s="40"/>
      <c r="AV748" s="5"/>
      <c r="AX748" s="40"/>
      <c r="AY748" s="5"/>
      <c r="BA748" s="40"/>
      <c r="BB748" s="5"/>
      <c r="BD748" s="40"/>
      <c r="BE748" s="5"/>
      <c r="BG748" s="40"/>
      <c r="BH748" s="5"/>
      <c r="BJ748" s="40"/>
      <c r="BK748" s="5"/>
      <c r="BM748" s="40"/>
      <c r="BN748" s="5"/>
      <c r="BP748" s="40"/>
      <c r="BQ748" s="5"/>
      <c r="BS748" s="40"/>
      <c r="BT748" s="5"/>
      <c r="BV748" s="40"/>
      <c r="BW748" s="5"/>
      <c r="BY748" s="40"/>
      <c r="BZ748" s="5"/>
      <c r="CB748" s="40"/>
      <c r="CC748" s="5"/>
      <c r="CE748" s="40"/>
      <c r="CF748" s="5"/>
      <c r="CH748" s="40"/>
      <c r="CI748" s="5"/>
      <c r="CK748" s="40"/>
      <c r="CL748" s="5"/>
      <c r="CN748" s="40"/>
      <c r="CO748" s="5"/>
      <c r="CQ748" s="40"/>
      <c r="CR748" s="5"/>
    </row>
    <row r="749">
      <c r="AL749" s="40"/>
      <c r="AM749" s="5"/>
      <c r="AO749" s="40"/>
      <c r="AP749" s="5"/>
      <c r="AR749" s="40"/>
      <c r="AS749" s="5"/>
      <c r="AU749" s="40"/>
      <c r="AV749" s="5"/>
      <c r="AX749" s="40"/>
      <c r="AY749" s="5"/>
      <c r="BA749" s="40"/>
      <c r="BB749" s="5"/>
      <c r="BD749" s="40"/>
      <c r="BE749" s="5"/>
      <c r="BG749" s="40"/>
      <c r="BH749" s="5"/>
      <c r="BJ749" s="40"/>
      <c r="BK749" s="5"/>
      <c r="BM749" s="40"/>
      <c r="BN749" s="5"/>
      <c r="BP749" s="40"/>
      <c r="BQ749" s="5"/>
      <c r="BS749" s="40"/>
      <c r="BT749" s="5"/>
      <c r="BV749" s="40"/>
      <c r="BW749" s="5"/>
      <c r="BY749" s="40"/>
      <c r="BZ749" s="5"/>
      <c r="CB749" s="40"/>
      <c r="CC749" s="5"/>
      <c r="CE749" s="40"/>
      <c r="CF749" s="5"/>
      <c r="CH749" s="40"/>
      <c r="CI749" s="5"/>
      <c r="CK749" s="40"/>
      <c r="CL749" s="5"/>
      <c r="CN749" s="40"/>
      <c r="CO749" s="5"/>
      <c r="CQ749" s="40"/>
      <c r="CR749" s="5"/>
    </row>
    <row r="750">
      <c r="AL750" s="40"/>
      <c r="AM750" s="5"/>
      <c r="AO750" s="40"/>
      <c r="AP750" s="5"/>
      <c r="AR750" s="40"/>
      <c r="AS750" s="5"/>
      <c r="AU750" s="40"/>
      <c r="AV750" s="5"/>
      <c r="AX750" s="40"/>
      <c r="AY750" s="5"/>
      <c r="BA750" s="40"/>
      <c r="BB750" s="5"/>
      <c r="BD750" s="40"/>
      <c r="BE750" s="5"/>
      <c r="BG750" s="40"/>
      <c r="BH750" s="5"/>
      <c r="BJ750" s="40"/>
      <c r="BK750" s="5"/>
      <c r="BM750" s="40"/>
      <c r="BN750" s="5"/>
      <c r="BP750" s="40"/>
      <c r="BQ750" s="5"/>
      <c r="BS750" s="40"/>
      <c r="BT750" s="5"/>
      <c r="BV750" s="40"/>
      <c r="BW750" s="5"/>
      <c r="BY750" s="40"/>
      <c r="BZ750" s="5"/>
      <c r="CB750" s="40"/>
      <c r="CC750" s="5"/>
      <c r="CE750" s="40"/>
      <c r="CF750" s="5"/>
      <c r="CH750" s="40"/>
      <c r="CI750" s="5"/>
      <c r="CK750" s="40"/>
      <c r="CL750" s="5"/>
      <c r="CN750" s="40"/>
      <c r="CO750" s="5"/>
      <c r="CQ750" s="40"/>
      <c r="CR750" s="5"/>
    </row>
    <row r="751">
      <c r="AL751" s="40"/>
      <c r="AM751" s="5"/>
      <c r="AO751" s="40"/>
      <c r="AP751" s="5"/>
      <c r="AR751" s="40"/>
      <c r="AS751" s="5"/>
      <c r="AU751" s="40"/>
      <c r="AV751" s="5"/>
      <c r="AX751" s="40"/>
      <c r="AY751" s="5"/>
      <c r="BA751" s="40"/>
      <c r="BB751" s="5"/>
      <c r="BD751" s="40"/>
      <c r="BE751" s="5"/>
      <c r="BG751" s="40"/>
      <c r="BH751" s="5"/>
      <c r="BJ751" s="40"/>
      <c r="BK751" s="5"/>
      <c r="BM751" s="40"/>
      <c r="BN751" s="5"/>
      <c r="BP751" s="40"/>
      <c r="BQ751" s="5"/>
      <c r="BS751" s="40"/>
      <c r="BT751" s="5"/>
      <c r="BV751" s="40"/>
      <c r="BW751" s="5"/>
      <c r="BY751" s="40"/>
      <c r="BZ751" s="5"/>
      <c r="CB751" s="40"/>
      <c r="CC751" s="5"/>
      <c r="CE751" s="40"/>
      <c r="CF751" s="5"/>
      <c r="CH751" s="40"/>
      <c r="CI751" s="5"/>
      <c r="CK751" s="40"/>
      <c r="CL751" s="5"/>
      <c r="CN751" s="40"/>
      <c r="CO751" s="5"/>
      <c r="CQ751" s="40"/>
      <c r="CR751" s="5"/>
    </row>
    <row r="752">
      <c r="AL752" s="40"/>
      <c r="AM752" s="5"/>
      <c r="AO752" s="40"/>
      <c r="AP752" s="5"/>
      <c r="AR752" s="40"/>
      <c r="AS752" s="5"/>
      <c r="AU752" s="40"/>
      <c r="AV752" s="5"/>
      <c r="AX752" s="40"/>
      <c r="AY752" s="5"/>
      <c r="BA752" s="40"/>
      <c r="BB752" s="5"/>
      <c r="BD752" s="40"/>
      <c r="BE752" s="5"/>
      <c r="BG752" s="40"/>
      <c r="BH752" s="5"/>
      <c r="BJ752" s="40"/>
      <c r="BK752" s="5"/>
      <c r="BM752" s="40"/>
      <c r="BN752" s="5"/>
      <c r="BP752" s="40"/>
      <c r="BQ752" s="5"/>
      <c r="BS752" s="40"/>
      <c r="BT752" s="5"/>
      <c r="BV752" s="40"/>
      <c r="BW752" s="5"/>
      <c r="BY752" s="40"/>
      <c r="BZ752" s="5"/>
      <c r="CB752" s="40"/>
      <c r="CC752" s="5"/>
      <c r="CE752" s="40"/>
      <c r="CF752" s="5"/>
      <c r="CH752" s="40"/>
      <c r="CI752" s="5"/>
      <c r="CK752" s="40"/>
      <c r="CL752" s="5"/>
      <c r="CN752" s="40"/>
      <c r="CO752" s="5"/>
      <c r="CQ752" s="40"/>
      <c r="CR752" s="5"/>
    </row>
    <row r="753">
      <c r="AL753" s="40"/>
      <c r="AM753" s="5"/>
      <c r="AO753" s="40"/>
      <c r="AP753" s="5"/>
      <c r="AR753" s="40"/>
      <c r="AS753" s="5"/>
      <c r="AU753" s="40"/>
      <c r="AV753" s="5"/>
      <c r="AX753" s="40"/>
      <c r="AY753" s="5"/>
      <c r="BA753" s="40"/>
      <c r="BB753" s="5"/>
      <c r="BD753" s="40"/>
      <c r="BE753" s="5"/>
      <c r="BG753" s="40"/>
      <c r="BH753" s="5"/>
      <c r="BJ753" s="40"/>
      <c r="BK753" s="5"/>
      <c r="BM753" s="40"/>
      <c r="BN753" s="5"/>
      <c r="BP753" s="40"/>
      <c r="BQ753" s="5"/>
      <c r="BS753" s="40"/>
      <c r="BT753" s="5"/>
      <c r="BV753" s="40"/>
      <c r="BW753" s="5"/>
      <c r="BY753" s="40"/>
      <c r="BZ753" s="5"/>
      <c r="CB753" s="40"/>
      <c r="CC753" s="5"/>
      <c r="CE753" s="40"/>
      <c r="CF753" s="5"/>
      <c r="CH753" s="40"/>
      <c r="CI753" s="5"/>
      <c r="CK753" s="40"/>
      <c r="CL753" s="5"/>
      <c r="CN753" s="40"/>
      <c r="CO753" s="5"/>
      <c r="CQ753" s="40"/>
      <c r="CR753" s="5"/>
    </row>
    <row r="754">
      <c r="AL754" s="40"/>
      <c r="AM754" s="5"/>
      <c r="AO754" s="40"/>
      <c r="AP754" s="5"/>
      <c r="AR754" s="40"/>
      <c r="AS754" s="5"/>
      <c r="AU754" s="40"/>
      <c r="AV754" s="5"/>
      <c r="AX754" s="40"/>
      <c r="AY754" s="5"/>
      <c r="BA754" s="40"/>
      <c r="BB754" s="5"/>
      <c r="BD754" s="40"/>
      <c r="BE754" s="5"/>
      <c r="BG754" s="40"/>
      <c r="BH754" s="5"/>
      <c r="BJ754" s="40"/>
      <c r="BK754" s="5"/>
      <c r="BM754" s="40"/>
      <c r="BN754" s="5"/>
      <c r="BP754" s="40"/>
      <c r="BQ754" s="5"/>
      <c r="BS754" s="40"/>
      <c r="BT754" s="5"/>
      <c r="BV754" s="40"/>
      <c r="BW754" s="5"/>
      <c r="BY754" s="40"/>
      <c r="BZ754" s="5"/>
      <c r="CB754" s="40"/>
      <c r="CC754" s="5"/>
      <c r="CE754" s="40"/>
      <c r="CF754" s="5"/>
      <c r="CH754" s="40"/>
      <c r="CI754" s="5"/>
      <c r="CK754" s="40"/>
      <c r="CL754" s="5"/>
      <c r="CN754" s="40"/>
      <c r="CO754" s="5"/>
      <c r="CQ754" s="40"/>
      <c r="CR754" s="5"/>
    </row>
    <row r="755">
      <c r="AL755" s="40"/>
      <c r="AM755" s="5"/>
      <c r="AO755" s="40"/>
      <c r="AP755" s="5"/>
      <c r="AR755" s="40"/>
      <c r="AS755" s="5"/>
      <c r="AU755" s="40"/>
      <c r="AV755" s="5"/>
      <c r="AX755" s="40"/>
      <c r="AY755" s="5"/>
      <c r="BA755" s="40"/>
      <c r="BB755" s="5"/>
      <c r="BD755" s="40"/>
      <c r="BE755" s="5"/>
      <c r="BG755" s="40"/>
      <c r="BH755" s="5"/>
      <c r="BJ755" s="40"/>
      <c r="BK755" s="5"/>
      <c r="BM755" s="40"/>
      <c r="BN755" s="5"/>
      <c r="BP755" s="40"/>
      <c r="BQ755" s="5"/>
      <c r="BS755" s="40"/>
      <c r="BT755" s="5"/>
      <c r="BV755" s="40"/>
      <c r="BW755" s="5"/>
      <c r="BY755" s="40"/>
      <c r="BZ755" s="5"/>
      <c r="CB755" s="40"/>
      <c r="CC755" s="5"/>
      <c r="CE755" s="40"/>
      <c r="CF755" s="5"/>
      <c r="CH755" s="40"/>
      <c r="CI755" s="5"/>
      <c r="CK755" s="40"/>
      <c r="CL755" s="5"/>
      <c r="CN755" s="40"/>
      <c r="CO755" s="5"/>
      <c r="CQ755" s="40"/>
      <c r="CR755" s="5"/>
    </row>
    <row r="756">
      <c r="AL756" s="40"/>
      <c r="AM756" s="5"/>
      <c r="AO756" s="40"/>
      <c r="AP756" s="5"/>
      <c r="AR756" s="40"/>
      <c r="AS756" s="5"/>
      <c r="AU756" s="40"/>
      <c r="AV756" s="5"/>
      <c r="AX756" s="40"/>
      <c r="AY756" s="5"/>
      <c r="BA756" s="40"/>
      <c r="BB756" s="5"/>
      <c r="BD756" s="40"/>
      <c r="BE756" s="5"/>
      <c r="BG756" s="40"/>
      <c r="BH756" s="5"/>
      <c r="BJ756" s="40"/>
      <c r="BK756" s="5"/>
      <c r="BM756" s="40"/>
      <c r="BN756" s="5"/>
      <c r="BP756" s="40"/>
      <c r="BQ756" s="5"/>
      <c r="BS756" s="40"/>
      <c r="BT756" s="5"/>
      <c r="BV756" s="40"/>
      <c r="BW756" s="5"/>
      <c r="BY756" s="40"/>
      <c r="BZ756" s="5"/>
      <c r="CB756" s="40"/>
      <c r="CC756" s="5"/>
      <c r="CE756" s="40"/>
      <c r="CF756" s="5"/>
      <c r="CH756" s="40"/>
      <c r="CI756" s="5"/>
      <c r="CK756" s="40"/>
      <c r="CL756" s="5"/>
      <c r="CN756" s="40"/>
      <c r="CO756" s="5"/>
      <c r="CQ756" s="40"/>
      <c r="CR756" s="5"/>
    </row>
    <row r="757">
      <c r="AL757" s="40"/>
      <c r="AM757" s="5"/>
      <c r="AO757" s="40"/>
      <c r="AP757" s="5"/>
      <c r="AR757" s="40"/>
      <c r="AS757" s="5"/>
      <c r="AU757" s="40"/>
      <c r="AV757" s="5"/>
      <c r="AX757" s="40"/>
      <c r="AY757" s="5"/>
      <c r="BA757" s="40"/>
      <c r="BB757" s="5"/>
      <c r="BD757" s="40"/>
      <c r="BE757" s="5"/>
      <c r="BG757" s="40"/>
      <c r="BH757" s="5"/>
      <c r="BJ757" s="40"/>
      <c r="BK757" s="5"/>
      <c r="BM757" s="40"/>
      <c r="BN757" s="5"/>
      <c r="BP757" s="40"/>
      <c r="BQ757" s="5"/>
      <c r="BS757" s="40"/>
      <c r="BT757" s="5"/>
      <c r="BV757" s="40"/>
      <c r="BW757" s="5"/>
      <c r="BY757" s="40"/>
      <c r="BZ757" s="5"/>
      <c r="CB757" s="40"/>
      <c r="CC757" s="5"/>
      <c r="CE757" s="40"/>
      <c r="CF757" s="5"/>
      <c r="CH757" s="40"/>
      <c r="CI757" s="5"/>
      <c r="CK757" s="40"/>
      <c r="CL757" s="5"/>
      <c r="CN757" s="40"/>
      <c r="CO757" s="5"/>
      <c r="CQ757" s="40"/>
      <c r="CR757" s="5"/>
    </row>
    <row r="758">
      <c r="AL758" s="40"/>
      <c r="AM758" s="5"/>
      <c r="AO758" s="40"/>
      <c r="AP758" s="5"/>
      <c r="AR758" s="40"/>
      <c r="AS758" s="5"/>
      <c r="AU758" s="40"/>
      <c r="AV758" s="5"/>
      <c r="AX758" s="40"/>
      <c r="AY758" s="5"/>
      <c r="BA758" s="40"/>
      <c r="BB758" s="5"/>
      <c r="BD758" s="40"/>
      <c r="BE758" s="5"/>
      <c r="BG758" s="40"/>
      <c r="BH758" s="5"/>
      <c r="BJ758" s="40"/>
      <c r="BK758" s="5"/>
      <c r="BM758" s="40"/>
      <c r="BN758" s="5"/>
      <c r="BP758" s="40"/>
      <c r="BQ758" s="5"/>
      <c r="BS758" s="40"/>
      <c r="BT758" s="5"/>
      <c r="BV758" s="40"/>
      <c r="BW758" s="5"/>
      <c r="BY758" s="40"/>
      <c r="BZ758" s="5"/>
      <c r="CB758" s="40"/>
      <c r="CC758" s="5"/>
      <c r="CE758" s="40"/>
      <c r="CF758" s="5"/>
      <c r="CH758" s="40"/>
      <c r="CI758" s="5"/>
      <c r="CK758" s="40"/>
      <c r="CL758" s="5"/>
      <c r="CN758" s="40"/>
      <c r="CO758" s="5"/>
      <c r="CQ758" s="40"/>
      <c r="CR758" s="5"/>
    </row>
    <row r="759">
      <c r="AL759" s="40"/>
      <c r="AM759" s="5"/>
      <c r="AO759" s="40"/>
      <c r="AP759" s="5"/>
      <c r="AR759" s="40"/>
      <c r="AS759" s="5"/>
      <c r="AU759" s="40"/>
      <c r="AV759" s="5"/>
      <c r="AX759" s="40"/>
      <c r="AY759" s="5"/>
      <c r="BA759" s="40"/>
      <c r="BB759" s="5"/>
      <c r="BD759" s="40"/>
      <c r="BE759" s="5"/>
      <c r="BG759" s="40"/>
      <c r="BH759" s="5"/>
      <c r="BJ759" s="40"/>
      <c r="BK759" s="5"/>
      <c r="BM759" s="40"/>
      <c r="BN759" s="5"/>
      <c r="BP759" s="40"/>
      <c r="BQ759" s="5"/>
      <c r="BS759" s="40"/>
      <c r="BT759" s="5"/>
      <c r="BV759" s="40"/>
      <c r="BW759" s="5"/>
      <c r="BY759" s="40"/>
      <c r="BZ759" s="5"/>
      <c r="CB759" s="40"/>
      <c r="CC759" s="5"/>
      <c r="CE759" s="40"/>
      <c r="CF759" s="5"/>
      <c r="CH759" s="40"/>
      <c r="CI759" s="5"/>
      <c r="CK759" s="40"/>
      <c r="CL759" s="5"/>
      <c r="CN759" s="40"/>
      <c r="CO759" s="5"/>
      <c r="CQ759" s="40"/>
      <c r="CR759" s="5"/>
    </row>
    <row r="760">
      <c r="AL760" s="40"/>
      <c r="AM760" s="5"/>
      <c r="AO760" s="40"/>
      <c r="AP760" s="5"/>
      <c r="AR760" s="40"/>
      <c r="AS760" s="5"/>
      <c r="AU760" s="40"/>
      <c r="AV760" s="5"/>
      <c r="AX760" s="40"/>
      <c r="AY760" s="5"/>
      <c r="BA760" s="40"/>
      <c r="BB760" s="5"/>
      <c r="BD760" s="40"/>
      <c r="BE760" s="5"/>
      <c r="BG760" s="40"/>
      <c r="BH760" s="5"/>
      <c r="BJ760" s="40"/>
      <c r="BK760" s="5"/>
      <c r="BM760" s="40"/>
      <c r="BN760" s="5"/>
      <c r="BP760" s="40"/>
      <c r="BQ760" s="5"/>
      <c r="BS760" s="40"/>
      <c r="BT760" s="5"/>
      <c r="BV760" s="40"/>
      <c r="BW760" s="5"/>
      <c r="BY760" s="40"/>
      <c r="BZ760" s="5"/>
      <c r="CB760" s="40"/>
      <c r="CC760" s="5"/>
      <c r="CE760" s="40"/>
      <c r="CF760" s="5"/>
      <c r="CH760" s="40"/>
      <c r="CI760" s="5"/>
      <c r="CK760" s="40"/>
      <c r="CL760" s="5"/>
      <c r="CN760" s="40"/>
      <c r="CO760" s="5"/>
      <c r="CQ760" s="40"/>
      <c r="CR760" s="5"/>
    </row>
    <row r="761">
      <c r="AL761" s="40"/>
      <c r="AM761" s="5"/>
      <c r="AO761" s="40"/>
      <c r="AP761" s="5"/>
      <c r="AR761" s="40"/>
      <c r="AS761" s="5"/>
      <c r="AU761" s="40"/>
      <c r="AV761" s="5"/>
      <c r="AX761" s="40"/>
      <c r="AY761" s="5"/>
      <c r="BA761" s="40"/>
      <c r="BB761" s="5"/>
      <c r="BD761" s="40"/>
      <c r="BE761" s="5"/>
      <c r="BG761" s="40"/>
      <c r="BH761" s="5"/>
      <c r="BJ761" s="40"/>
      <c r="BK761" s="5"/>
      <c r="BM761" s="40"/>
      <c r="BN761" s="5"/>
      <c r="BP761" s="40"/>
      <c r="BQ761" s="5"/>
      <c r="BS761" s="40"/>
      <c r="BT761" s="5"/>
      <c r="BV761" s="40"/>
      <c r="BW761" s="5"/>
      <c r="BY761" s="40"/>
      <c r="BZ761" s="5"/>
      <c r="CB761" s="40"/>
      <c r="CC761" s="5"/>
      <c r="CE761" s="40"/>
      <c r="CF761" s="5"/>
      <c r="CH761" s="40"/>
      <c r="CI761" s="5"/>
      <c r="CK761" s="40"/>
      <c r="CL761" s="5"/>
      <c r="CN761" s="40"/>
      <c r="CO761" s="5"/>
      <c r="CQ761" s="40"/>
      <c r="CR761" s="5"/>
    </row>
    <row r="762">
      <c r="AL762" s="40"/>
      <c r="AM762" s="5"/>
      <c r="AO762" s="40"/>
      <c r="AP762" s="5"/>
      <c r="AR762" s="40"/>
      <c r="AS762" s="5"/>
      <c r="AU762" s="40"/>
      <c r="AV762" s="5"/>
      <c r="AX762" s="40"/>
      <c r="AY762" s="5"/>
      <c r="BA762" s="40"/>
      <c r="BB762" s="5"/>
      <c r="BD762" s="40"/>
      <c r="BE762" s="5"/>
      <c r="BG762" s="40"/>
      <c r="BH762" s="5"/>
      <c r="BJ762" s="40"/>
      <c r="BK762" s="5"/>
      <c r="BM762" s="40"/>
      <c r="BN762" s="5"/>
      <c r="BP762" s="40"/>
      <c r="BQ762" s="5"/>
      <c r="BS762" s="40"/>
      <c r="BT762" s="5"/>
      <c r="BV762" s="40"/>
      <c r="BW762" s="5"/>
      <c r="BY762" s="40"/>
      <c r="BZ762" s="5"/>
      <c r="CB762" s="40"/>
      <c r="CC762" s="5"/>
      <c r="CE762" s="40"/>
      <c r="CF762" s="5"/>
      <c r="CH762" s="40"/>
      <c r="CI762" s="5"/>
      <c r="CK762" s="40"/>
      <c r="CL762" s="5"/>
      <c r="CN762" s="40"/>
      <c r="CO762" s="5"/>
      <c r="CQ762" s="40"/>
      <c r="CR762" s="5"/>
    </row>
    <row r="763">
      <c r="AL763" s="40"/>
      <c r="AM763" s="5"/>
      <c r="AO763" s="40"/>
      <c r="AP763" s="5"/>
      <c r="AR763" s="40"/>
      <c r="AS763" s="5"/>
      <c r="AU763" s="40"/>
      <c r="AV763" s="5"/>
      <c r="AX763" s="40"/>
      <c r="AY763" s="5"/>
      <c r="BA763" s="40"/>
      <c r="BB763" s="5"/>
      <c r="BD763" s="40"/>
      <c r="BE763" s="5"/>
      <c r="BG763" s="40"/>
      <c r="BH763" s="5"/>
      <c r="BJ763" s="40"/>
      <c r="BK763" s="5"/>
      <c r="BM763" s="40"/>
      <c r="BN763" s="5"/>
      <c r="BP763" s="40"/>
      <c r="BQ763" s="5"/>
      <c r="BS763" s="40"/>
      <c r="BT763" s="5"/>
      <c r="BV763" s="40"/>
      <c r="BW763" s="5"/>
      <c r="BY763" s="40"/>
      <c r="BZ763" s="5"/>
      <c r="CB763" s="40"/>
      <c r="CC763" s="5"/>
      <c r="CE763" s="40"/>
      <c r="CF763" s="5"/>
      <c r="CH763" s="40"/>
      <c r="CI763" s="5"/>
      <c r="CK763" s="40"/>
      <c r="CL763" s="5"/>
      <c r="CN763" s="40"/>
      <c r="CO763" s="5"/>
      <c r="CQ763" s="40"/>
      <c r="CR763" s="5"/>
    </row>
    <row r="764">
      <c r="AL764" s="40"/>
      <c r="AM764" s="5"/>
      <c r="AO764" s="40"/>
      <c r="AP764" s="5"/>
      <c r="AR764" s="40"/>
      <c r="AS764" s="5"/>
      <c r="AU764" s="40"/>
      <c r="AV764" s="5"/>
      <c r="AX764" s="40"/>
      <c r="AY764" s="5"/>
      <c r="BA764" s="40"/>
      <c r="BB764" s="5"/>
      <c r="BD764" s="40"/>
      <c r="BE764" s="5"/>
      <c r="BG764" s="40"/>
      <c r="BH764" s="5"/>
      <c r="BJ764" s="40"/>
      <c r="BK764" s="5"/>
      <c r="BM764" s="40"/>
      <c r="BN764" s="5"/>
      <c r="BP764" s="40"/>
      <c r="BQ764" s="5"/>
      <c r="BS764" s="40"/>
      <c r="BT764" s="5"/>
      <c r="BV764" s="40"/>
      <c r="BW764" s="5"/>
      <c r="BY764" s="40"/>
      <c r="BZ764" s="5"/>
      <c r="CB764" s="40"/>
      <c r="CC764" s="5"/>
      <c r="CE764" s="40"/>
      <c r="CF764" s="5"/>
      <c r="CH764" s="40"/>
      <c r="CI764" s="5"/>
      <c r="CK764" s="40"/>
      <c r="CL764" s="5"/>
      <c r="CN764" s="40"/>
      <c r="CO764" s="5"/>
      <c r="CQ764" s="40"/>
      <c r="CR764" s="5"/>
    </row>
    <row r="765">
      <c r="AL765" s="40"/>
      <c r="AM765" s="5"/>
      <c r="AO765" s="40"/>
      <c r="AP765" s="5"/>
      <c r="AR765" s="40"/>
      <c r="AS765" s="5"/>
      <c r="AU765" s="40"/>
      <c r="AV765" s="5"/>
      <c r="AX765" s="40"/>
      <c r="AY765" s="5"/>
      <c r="BA765" s="40"/>
      <c r="BB765" s="5"/>
      <c r="BD765" s="40"/>
      <c r="BE765" s="5"/>
      <c r="BG765" s="40"/>
      <c r="BH765" s="5"/>
      <c r="BJ765" s="40"/>
      <c r="BK765" s="5"/>
      <c r="BM765" s="40"/>
      <c r="BN765" s="5"/>
      <c r="BP765" s="40"/>
      <c r="BQ765" s="5"/>
      <c r="BS765" s="40"/>
      <c r="BT765" s="5"/>
      <c r="BV765" s="40"/>
      <c r="BW765" s="5"/>
      <c r="BY765" s="40"/>
      <c r="BZ765" s="5"/>
      <c r="CB765" s="40"/>
      <c r="CC765" s="5"/>
      <c r="CE765" s="40"/>
      <c r="CF765" s="5"/>
      <c r="CH765" s="40"/>
      <c r="CI765" s="5"/>
      <c r="CK765" s="40"/>
      <c r="CL765" s="5"/>
      <c r="CN765" s="40"/>
      <c r="CO765" s="5"/>
      <c r="CQ765" s="40"/>
      <c r="CR765" s="5"/>
    </row>
    <row r="766">
      <c r="AL766" s="40"/>
      <c r="AM766" s="5"/>
      <c r="AO766" s="40"/>
      <c r="AP766" s="5"/>
      <c r="AR766" s="40"/>
      <c r="AS766" s="5"/>
      <c r="AU766" s="40"/>
      <c r="AV766" s="5"/>
      <c r="AX766" s="40"/>
      <c r="AY766" s="5"/>
      <c r="BA766" s="40"/>
      <c r="BB766" s="5"/>
      <c r="BD766" s="40"/>
      <c r="BE766" s="5"/>
      <c r="BG766" s="40"/>
      <c r="BH766" s="5"/>
      <c r="BJ766" s="40"/>
      <c r="BK766" s="5"/>
      <c r="BM766" s="40"/>
      <c r="BN766" s="5"/>
      <c r="BP766" s="40"/>
      <c r="BQ766" s="5"/>
      <c r="BS766" s="40"/>
      <c r="BT766" s="5"/>
      <c r="BV766" s="40"/>
      <c r="BW766" s="5"/>
      <c r="BY766" s="40"/>
      <c r="BZ766" s="5"/>
      <c r="CB766" s="40"/>
      <c r="CC766" s="5"/>
      <c r="CE766" s="40"/>
      <c r="CF766" s="5"/>
      <c r="CH766" s="40"/>
      <c r="CI766" s="5"/>
      <c r="CK766" s="40"/>
      <c r="CL766" s="5"/>
      <c r="CN766" s="40"/>
      <c r="CO766" s="5"/>
      <c r="CQ766" s="40"/>
      <c r="CR766" s="5"/>
    </row>
    <row r="767">
      <c r="AL767" s="40"/>
      <c r="AM767" s="5"/>
      <c r="AO767" s="40"/>
      <c r="AP767" s="5"/>
      <c r="AR767" s="40"/>
      <c r="AS767" s="5"/>
      <c r="AU767" s="40"/>
      <c r="AV767" s="5"/>
      <c r="AX767" s="40"/>
      <c r="AY767" s="5"/>
      <c r="BA767" s="40"/>
      <c r="BB767" s="5"/>
      <c r="BD767" s="40"/>
      <c r="BE767" s="5"/>
      <c r="BG767" s="40"/>
      <c r="BH767" s="5"/>
      <c r="BJ767" s="40"/>
      <c r="BK767" s="5"/>
      <c r="BM767" s="40"/>
      <c r="BN767" s="5"/>
      <c r="BP767" s="40"/>
      <c r="BQ767" s="5"/>
      <c r="BS767" s="40"/>
      <c r="BT767" s="5"/>
      <c r="BV767" s="40"/>
      <c r="BW767" s="5"/>
      <c r="BY767" s="40"/>
      <c r="BZ767" s="5"/>
      <c r="CB767" s="40"/>
      <c r="CC767" s="5"/>
      <c r="CE767" s="40"/>
      <c r="CF767" s="5"/>
      <c r="CH767" s="40"/>
      <c r="CI767" s="5"/>
      <c r="CK767" s="40"/>
      <c r="CL767" s="5"/>
      <c r="CN767" s="40"/>
      <c r="CO767" s="5"/>
      <c r="CQ767" s="40"/>
      <c r="CR767" s="5"/>
    </row>
    <row r="768">
      <c r="AL768" s="40"/>
      <c r="AM768" s="5"/>
      <c r="AO768" s="40"/>
      <c r="AP768" s="5"/>
      <c r="AR768" s="40"/>
      <c r="AS768" s="5"/>
      <c r="AU768" s="40"/>
      <c r="AV768" s="5"/>
      <c r="AX768" s="40"/>
      <c r="AY768" s="5"/>
      <c r="BA768" s="40"/>
      <c r="BB768" s="5"/>
      <c r="BD768" s="40"/>
      <c r="BE768" s="5"/>
      <c r="BG768" s="40"/>
      <c r="BH768" s="5"/>
      <c r="BJ768" s="40"/>
      <c r="BK768" s="5"/>
      <c r="BM768" s="40"/>
      <c r="BN768" s="5"/>
      <c r="BP768" s="40"/>
      <c r="BQ768" s="5"/>
      <c r="BS768" s="40"/>
      <c r="BT768" s="5"/>
      <c r="BV768" s="40"/>
      <c r="BW768" s="5"/>
      <c r="BY768" s="40"/>
      <c r="BZ768" s="5"/>
      <c r="CB768" s="40"/>
      <c r="CC768" s="5"/>
      <c r="CE768" s="40"/>
      <c r="CF768" s="5"/>
      <c r="CH768" s="40"/>
      <c r="CI768" s="5"/>
      <c r="CK768" s="40"/>
      <c r="CL768" s="5"/>
      <c r="CN768" s="40"/>
      <c r="CO768" s="5"/>
      <c r="CQ768" s="40"/>
      <c r="CR768" s="5"/>
    </row>
    <row r="769">
      <c r="AL769" s="40"/>
      <c r="AM769" s="5"/>
      <c r="AO769" s="40"/>
      <c r="AP769" s="5"/>
      <c r="AR769" s="40"/>
      <c r="AS769" s="5"/>
      <c r="AU769" s="40"/>
      <c r="AV769" s="5"/>
      <c r="AX769" s="40"/>
      <c r="AY769" s="5"/>
      <c r="BA769" s="40"/>
      <c r="BB769" s="5"/>
      <c r="BD769" s="40"/>
      <c r="BE769" s="5"/>
      <c r="BG769" s="40"/>
      <c r="BH769" s="5"/>
      <c r="BJ769" s="40"/>
      <c r="BK769" s="5"/>
      <c r="BM769" s="40"/>
      <c r="BN769" s="5"/>
      <c r="BP769" s="40"/>
      <c r="BQ769" s="5"/>
      <c r="BS769" s="40"/>
      <c r="BT769" s="5"/>
      <c r="BV769" s="40"/>
      <c r="BW769" s="5"/>
      <c r="BY769" s="40"/>
      <c r="BZ769" s="5"/>
      <c r="CB769" s="40"/>
      <c r="CC769" s="5"/>
      <c r="CE769" s="40"/>
      <c r="CF769" s="5"/>
      <c r="CH769" s="40"/>
      <c r="CI769" s="5"/>
      <c r="CK769" s="40"/>
      <c r="CL769" s="5"/>
      <c r="CN769" s="40"/>
      <c r="CO769" s="5"/>
      <c r="CQ769" s="40"/>
      <c r="CR769" s="5"/>
    </row>
    <row r="770">
      <c r="AL770" s="40"/>
      <c r="AM770" s="5"/>
      <c r="AO770" s="40"/>
      <c r="AP770" s="5"/>
      <c r="AR770" s="40"/>
      <c r="AS770" s="5"/>
      <c r="AU770" s="40"/>
      <c r="AV770" s="5"/>
      <c r="AX770" s="40"/>
      <c r="AY770" s="5"/>
      <c r="BA770" s="40"/>
      <c r="BB770" s="5"/>
      <c r="BD770" s="40"/>
      <c r="BE770" s="5"/>
      <c r="BG770" s="40"/>
      <c r="BH770" s="5"/>
      <c r="BJ770" s="40"/>
      <c r="BK770" s="5"/>
      <c r="BM770" s="40"/>
      <c r="BN770" s="5"/>
      <c r="BP770" s="40"/>
      <c r="BQ770" s="5"/>
      <c r="BS770" s="40"/>
      <c r="BT770" s="5"/>
      <c r="BV770" s="40"/>
      <c r="BW770" s="5"/>
      <c r="BY770" s="40"/>
      <c r="BZ770" s="5"/>
      <c r="CB770" s="40"/>
      <c r="CC770" s="5"/>
      <c r="CE770" s="40"/>
      <c r="CF770" s="5"/>
      <c r="CH770" s="40"/>
      <c r="CI770" s="5"/>
      <c r="CK770" s="40"/>
      <c r="CL770" s="5"/>
      <c r="CN770" s="40"/>
      <c r="CO770" s="5"/>
      <c r="CQ770" s="40"/>
      <c r="CR770" s="5"/>
    </row>
    <row r="771">
      <c r="AL771" s="40"/>
      <c r="AM771" s="5"/>
      <c r="AO771" s="40"/>
      <c r="AP771" s="5"/>
      <c r="AR771" s="40"/>
      <c r="AS771" s="5"/>
      <c r="AU771" s="40"/>
      <c r="AV771" s="5"/>
      <c r="AX771" s="40"/>
      <c r="AY771" s="5"/>
      <c r="BA771" s="40"/>
      <c r="BB771" s="5"/>
      <c r="BD771" s="40"/>
      <c r="BE771" s="5"/>
      <c r="BG771" s="40"/>
      <c r="BH771" s="5"/>
      <c r="BJ771" s="40"/>
      <c r="BK771" s="5"/>
      <c r="BM771" s="40"/>
      <c r="BN771" s="5"/>
      <c r="BP771" s="40"/>
      <c r="BQ771" s="5"/>
      <c r="BS771" s="40"/>
      <c r="BT771" s="5"/>
      <c r="BV771" s="40"/>
      <c r="BW771" s="5"/>
      <c r="BY771" s="40"/>
      <c r="BZ771" s="5"/>
      <c r="CB771" s="40"/>
      <c r="CC771" s="5"/>
      <c r="CE771" s="40"/>
      <c r="CF771" s="5"/>
      <c r="CH771" s="40"/>
      <c r="CI771" s="5"/>
      <c r="CK771" s="40"/>
      <c r="CL771" s="5"/>
      <c r="CN771" s="40"/>
      <c r="CO771" s="5"/>
      <c r="CQ771" s="40"/>
      <c r="CR771" s="5"/>
    </row>
    <row r="772">
      <c r="AL772" s="40"/>
      <c r="AM772" s="5"/>
      <c r="AO772" s="40"/>
      <c r="AP772" s="5"/>
      <c r="AR772" s="40"/>
      <c r="AS772" s="5"/>
      <c r="AU772" s="40"/>
      <c r="AV772" s="5"/>
      <c r="AX772" s="40"/>
      <c r="AY772" s="5"/>
      <c r="BA772" s="40"/>
      <c r="BB772" s="5"/>
      <c r="BD772" s="40"/>
      <c r="BE772" s="5"/>
      <c r="BG772" s="40"/>
      <c r="BH772" s="5"/>
      <c r="BJ772" s="40"/>
      <c r="BK772" s="5"/>
      <c r="BM772" s="40"/>
      <c r="BN772" s="5"/>
      <c r="BP772" s="40"/>
      <c r="BQ772" s="5"/>
      <c r="BS772" s="40"/>
      <c r="BT772" s="5"/>
      <c r="BV772" s="40"/>
      <c r="BW772" s="5"/>
      <c r="BY772" s="40"/>
      <c r="BZ772" s="5"/>
      <c r="CB772" s="40"/>
      <c r="CC772" s="5"/>
      <c r="CE772" s="40"/>
      <c r="CF772" s="5"/>
      <c r="CH772" s="40"/>
      <c r="CI772" s="5"/>
      <c r="CK772" s="40"/>
      <c r="CL772" s="5"/>
      <c r="CN772" s="40"/>
      <c r="CO772" s="5"/>
      <c r="CQ772" s="40"/>
      <c r="CR772" s="5"/>
    </row>
    <row r="773">
      <c r="AL773" s="40"/>
      <c r="AM773" s="5"/>
      <c r="AO773" s="40"/>
      <c r="AP773" s="5"/>
      <c r="AR773" s="40"/>
      <c r="AS773" s="5"/>
      <c r="AU773" s="40"/>
      <c r="AV773" s="5"/>
      <c r="AX773" s="40"/>
      <c r="AY773" s="5"/>
      <c r="BA773" s="40"/>
      <c r="BB773" s="5"/>
      <c r="BD773" s="40"/>
      <c r="BE773" s="5"/>
      <c r="BG773" s="40"/>
      <c r="BH773" s="5"/>
      <c r="BJ773" s="40"/>
      <c r="BK773" s="5"/>
      <c r="BM773" s="40"/>
      <c r="BN773" s="5"/>
      <c r="BP773" s="40"/>
      <c r="BQ773" s="5"/>
      <c r="BS773" s="40"/>
      <c r="BT773" s="5"/>
      <c r="BV773" s="40"/>
      <c r="BW773" s="5"/>
      <c r="BY773" s="40"/>
      <c r="BZ773" s="5"/>
      <c r="CB773" s="40"/>
      <c r="CC773" s="5"/>
      <c r="CE773" s="40"/>
      <c r="CF773" s="5"/>
      <c r="CH773" s="40"/>
      <c r="CI773" s="5"/>
      <c r="CK773" s="40"/>
      <c r="CL773" s="5"/>
      <c r="CN773" s="40"/>
      <c r="CO773" s="5"/>
      <c r="CQ773" s="40"/>
      <c r="CR773" s="5"/>
    </row>
    <row r="774">
      <c r="AL774" s="40"/>
      <c r="AM774" s="5"/>
      <c r="AO774" s="40"/>
      <c r="AP774" s="5"/>
      <c r="AR774" s="40"/>
      <c r="AS774" s="5"/>
      <c r="AU774" s="40"/>
      <c r="AV774" s="5"/>
      <c r="AX774" s="40"/>
      <c r="AY774" s="5"/>
      <c r="BA774" s="40"/>
      <c r="BB774" s="5"/>
      <c r="BD774" s="40"/>
      <c r="BE774" s="5"/>
      <c r="BG774" s="40"/>
      <c r="BH774" s="5"/>
      <c r="BJ774" s="40"/>
      <c r="BK774" s="5"/>
      <c r="BM774" s="40"/>
      <c r="BN774" s="5"/>
      <c r="BP774" s="40"/>
      <c r="BQ774" s="5"/>
      <c r="BS774" s="40"/>
      <c r="BT774" s="5"/>
      <c r="BV774" s="40"/>
      <c r="BW774" s="5"/>
      <c r="BY774" s="40"/>
      <c r="BZ774" s="5"/>
      <c r="CB774" s="40"/>
      <c r="CC774" s="5"/>
      <c r="CE774" s="40"/>
      <c r="CF774" s="5"/>
      <c r="CH774" s="40"/>
      <c r="CI774" s="5"/>
      <c r="CK774" s="40"/>
      <c r="CL774" s="5"/>
      <c r="CN774" s="40"/>
      <c r="CO774" s="5"/>
      <c r="CQ774" s="40"/>
      <c r="CR774" s="5"/>
    </row>
    <row r="775">
      <c r="AL775" s="40"/>
      <c r="AM775" s="5"/>
      <c r="AO775" s="40"/>
      <c r="AP775" s="5"/>
      <c r="AR775" s="40"/>
      <c r="AS775" s="5"/>
      <c r="AU775" s="40"/>
      <c r="AV775" s="5"/>
      <c r="AX775" s="40"/>
      <c r="AY775" s="5"/>
      <c r="BA775" s="40"/>
      <c r="BB775" s="5"/>
      <c r="BD775" s="40"/>
      <c r="BE775" s="5"/>
      <c r="BG775" s="40"/>
      <c r="BH775" s="5"/>
      <c r="BJ775" s="40"/>
      <c r="BK775" s="5"/>
      <c r="BM775" s="40"/>
      <c r="BN775" s="5"/>
      <c r="BP775" s="40"/>
      <c r="BQ775" s="5"/>
      <c r="BS775" s="40"/>
      <c r="BT775" s="5"/>
      <c r="BV775" s="40"/>
      <c r="BW775" s="5"/>
      <c r="BY775" s="40"/>
      <c r="BZ775" s="5"/>
      <c r="CB775" s="40"/>
      <c r="CC775" s="5"/>
      <c r="CE775" s="40"/>
      <c r="CF775" s="5"/>
      <c r="CH775" s="40"/>
      <c r="CI775" s="5"/>
      <c r="CK775" s="40"/>
      <c r="CL775" s="5"/>
      <c r="CN775" s="40"/>
      <c r="CO775" s="5"/>
      <c r="CQ775" s="40"/>
      <c r="CR775" s="5"/>
    </row>
    <row r="776">
      <c r="AL776" s="40"/>
      <c r="AM776" s="5"/>
      <c r="AO776" s="40"/>
      <c r="AP776" s="5"/>
      <c r="AR776" s="40"/>
      <c r="AS776" s="5"/>
      <c r="AU776" s="40"/>
      <c r="AV776" s="5"/>
      <c r="AX776" s="40"/>
      <c r="AY776" s="5"/>
      <c r="BA776" s="40"/>
      <c r="BB776" s="5"/>
      <c r="BD776" s="40"/>
      <c r="BE776" s="5"/>
      <c r="BG776" s="40"/>
      <c r="BH776" s="5"/>
      <c r="BJ776" s="40"/>
      <c r="BK776" s="5"/>
      <c r="BM776" s="40"/>
      <c r="BN776" s="5"/>
      <c r="BP776" s="40"/>
      <c r="BQ776" s="5"/>
      <c r="BS776" s="40"/>
      <c r="BT776" s="5"/>
      <c r="BV776" s="40"/>
      <c r="BW776" s="5"/>
      <c r="BY776" s="40"/>
      <c r="BZ776" s="5"/>
      <c r="CB776" s="40"/>
      <c r="CC776" s="5"/>
      <c r="CE776" s="40"/>
      <c r="CF776" s="5"/>
      <c r="CH776" s="40"/>
      <c r="CI776" s="5"/>
      <c r="CK776" s="40"/>
      <c r="CL776" s="5"/>
      <c r="CN776" s="40"/>
      <c r="CO776" s="5"/>
      <c r="CQ776" s="40"/>
      <c r="CR776" s="5"/>
    </row>
    <row r="777">
      <c r="AL777" s="40"/>
      <c r="AM777" s="5"/>
      <c r="AO777" s="40"/>
      <c r="AP777" s="5"/>
      <c r="AR777" s="40"/>
      <c r="AS777" s="5"/>
      <c r="AU777" s="40"/>
      <c r="AV777" s="5"/>
      <c r="AX777" s="40"/>
      <c r="AY777" s="5"/>
      <c r="BA777" s="40"/>
      <c r="BB777" s="5"/>
      <c r="BD777" s="40"/>
      <c r="BE777" s="5"/>
      <c r="BG777" s="40"/>
      <c r="BH777" s="5"/>
      <c r="BJ777" s="40"/>
      <c r="BK777" s="5"/>
      <c r="BM777" s="40"/>
      <c r="BN777" s="5"/>
      <c r="BP777" s="40"/>
      <c r="BQ777" s="5"/>
      <c r="BS777" s="40"/>
      <c r="BT777" s="5"/>
      <c r="BV777" s="40"/>
      <c r="BW777" s="5"/>
      <c r="BY777" s="40"/>
      <c r="BZ777" s="5"/>
      <c r="CB777" s="40"/>
      <c r="CC777" s="5"/>
      <c r="CE777" s="40"/>
      <c r="CF777" s="5"/>
      <c r="CH777" s="40"/>
      <c r="CI777" s="5"/>
      <c r="CK777" s="40"/>
      <c r="CL777" s="5"/>
      <c r="CN777" s="40"/>
      <c r="CO777" s="5"/>
      <c r="CQ777" s="40"/>
      <c r="CR777" s="5"/>
    </row>
    <row r="778">
      <c r="AL778" s="40"/>
      <c r="AM778" s="5"/>
      <c r="AO778" s="40"/>
      <c r="AP778" s="5"/>
      <c r="AR778" s="40"/>
      <c r="AS778" s="5"/>
      <c r="AU778" s="40"/>
      <c r="AV778" s="5"/>
      <c r="AX778" s="40"/>
      <c r="AY778" s="5"/>
      <c r="BA778" s="40"/>
      <c r="BB778" s="5"/>
      <c r="BD778" s="40"/>
      <c r="BE778" s="5"/>
      <c r="BG778" s="40"/>
      <c r="BH778" s="5"/>
      <c r="BJ778" s="40"/>
      <c r="BK778" s="5"/>
      <c r="BM778" s="40"/>
      <c r="BN778" s="5"/>
      <c r="BP778" s="40"/>
      <c r="BQ778" s="5"/>
      <c r="BS778" s="40"/>
      <c r="BT778" s="5"/>
      <c r="BV778" s="40"/>
      <c r="BW778" s="5"/>
      <c r="BY778" s="40"/>
      <c r="BZ778" s="5"/>
      <c r="CB778" s="40"/>
      <c r="CC778" s="5"/>
      <c r="CE778" s="40"/>
      <c r="CF778" s="5"/>
      <c r="CH778" s="40"/>
      <c r="CI778" s="5"/>
      <c r="CK778" s="40"/>
      <c r="CL778" s="5"/>
      <c r="CN778" s="40"/>
      <c r="CO778" s="5"/>
      <c r="CQ778" s="40"/>
      <c r="CR778" s="5"/>
    </row>
    <row r="779">
      <c r="AL779" s="40"/>
      <c r="AM779" s="5"/>
      <c r="AO779" s="40"/>
      <c r="AP779" s="5"/>
      <c r="AR779" s="40"/>
      <c r="AS779" s="5"/>
      <c r="AU779" s="40"/>
      <c r="AV779" s="5"/>
      <c r="AX779" s="40"/>
      <c r="AY779" s="5"/>
      <c r="BA779" s="40"/>
      <c r="BB779" s="5"/>
      <c r="BD779" s="40"/>
      <c r="BE779" s="5"/>
      <c r="BG779" s="40"/>
      <c r="BH779" s="5"/>
      <c r="BJ779" s="40"/>
      <c r="BK779" s="5"/>
      <c r="BM779" s="40"/>
      <c r="BN779" s="5"/>
      <c r="BP779" s="40"/>
      <c r="BQ779" s="5"/>
      <c r="BS779" s="40"/>
      <c r="BT779" s="5"/>
      <c r="BV779" s="40"/>
      <c r="BW779" s="5"/>
      <c r="BY779" s="40"/>
      <c r="BZ779" s="5"/>
      <c r="CB779" s="40"/>
      <c r="CC779" s="5"/>
      <c r="CE779" s="40"/>
      <c r="CF779" s="5"/>
      <c r="CH779" s="40"/>
      <c r="CI779" s="5"/>
      <c r="CK779" s="40"/>
      <c r="CL779" s="5"/>
      <c r="CN779" s="40"/>
      <c r="CO779" s="5"/>
      <c r="CQ779" s="40"/>
      <c r="CR779" s="5"/>
    </row>
    <row r="780">
      <c r="AL780" s="40"/>
      <c r="AM780" s="5"/>
      <c r="AO780" s="40"/>
      <c r="AP780" s="5"/>
      <c r="AR780" s="40"/>
      <c r="AS780" s="5"/>
      <c r="AU780" s="40"/>
      <c r="AV780" s="5"/>
      <c r="AX780" s="40"/>
      <c r="AY780" s="5"/>
      <c r="BA780" s="40"/>
      <c r="BB780" s="5"/>
      <c r="BD780" s="40"/>
      <c r="BE780" s="5"/>
      <c r="BG780" s="40"/>
      <c r="BH780" s="5"/>
      <c r="BJ780" s="40"/>
      <c r="BK780" s="5"/>
      <c r="BM780" s="40"/>
      <c r="BN780" s="5"/>
      <c r="BP780" s="40"/>
      <c r="BQ780" s="5"/>
      <c r="BS780" s="40"/>
      <c r="BT780" s="5"/>
      <c r="BV780" s="40"/>
      <c r="BW780" s="5"/>
      <c r="BY780" s="40"/>
      <c r="BZ780" s="5"/>
      <c r="CB780" s="40"/>
      <c r="CC780" s="5"/>
      <c r="CE780" s="40"/>
      <c r="CF780" s="5"/>
      <c r="CH780" s="40"/>
      <c r="CI780" s="5"/>
      <c r="CK780" s="40"/>
      <c r="CL780" s="5"/>
      <c r="CN780" s="40"/>
      <c r="CO780" s="5"/>
      <c r="CQ780" s="40"/>
      <c r="CR780" s="5"/>
    </row>
    <row r="781">
      <c r="AL781" s="40"/>
      <c r="AM781" s="5"/>
      <c r="AO781" s="40"/>
      <c r="AP781" s="5"/>
      <c r="AR781" s="40"/>
      <c r="AS781" s="5"/>
      <c r="AU781" s="40"/>
      <c r="AV781" s="5"/>
      <c r="AX781" s="40"/>
      <c r="AY781" s="5"/>
      <c r="BA781" s="40"/>
      <c r="BB781" s="5"/>
      <c r="BD781" s="40"/>
      <c r="BE781" s="5"/>
      <c r="BG781" s="40"/>
      <c r="BH781" s="5"/>
      <c r="BJ781" s="40"/>
      <c r="BK781" s="5"/>
      <c r="BM781" s="40"/>
      <c r="BN781" s="5"/>
      <c r="BP781" s="40"/>
      <c r="BQ781" s="5"/>
      <c r="BS781" s="40"/>
      <c r="BT781" s="5"/>
      <c r="BV781" s="40"/>
      <c r="BW781" s="5"/>
      <c r="BY781" s="40"/>
      <c r="BZ781" s="5"/>
      <c r="CB781" s="40"/>
      <c r="CC781" s="5"/>
      <c r="CE781" s="40"/>
      <c r="CF781" s="5"/>
      <c r="CH781" s="40"/>
      <c r="CI781" s="5"/>
      <c r="CK781" s="40"/>
      <c r="CL781" s="5"/>
      <c r="CN781" s="40"/>
      <c r="CO781" s="5"/>
      <c r="CQ781" s="40"/>
      <c r="CR781" s="5"/>
    </row>
    <row r="782">
      <c r="AL782" s="40"/>
      <c r="AM782" s="5"/>
      <c r="AO782" s="40"/>
      <c r="AP782" s="5"/>
      <c r="AR782" s="40"/>
      <c r="AS782" s="5"/>
      <c r="AU782" s="40"/>
      <c r="AV782" s="5"/>
      <c r="AX782" s="40"/>
      <c r="AY782" s="5"/>
      <c r="BA782" s="40"/>
      <c r="BB782" s="5"/>
      <c r="BD782" s="40"/>
      <c r="BE782" s="5"/>
      <c r="BG782" s="40"/>
      <c r="BH782" s="5"/>
      <c r="BJ782" s="40"/>
      <c r="BK782" s="5"/>
      <c r="BM782" s="40"/>
      <c r="BN782" s="5"/>
      <c r="BP782" s="40"/>
      <c r="BQ782" s="5"/>
      <c r="BS782" s="40"/>
      <c r="BT782" s="5"/>
      <c r="BV782" s="40"/>
      <c r="BW782" s="5"/>
      <c r="BY782" s="40"/>
      <c r="BZ782" s="5"/>
      <c r="CB782" s="40"/>
      <c r="CC782" s="5"/>
      <c r="CE782" s="40"/>
      <c r="CF782" s="5"/>
      <c r="CH782" s="40"/>
      <c r="CI782" s="5"/>
      <c r="CK782" s="40"/>
      <c r="CL782" s="5"/>
      <c r="CN782" s="40"/>
      <c r="CO782" s="5"/>
      <c r="CQ782" s="40"/>
      <c r="CR782" s="5"/>
    </row>
    <row r="783">
      <c r="AL783" s="40"/>
      <c r="AM783" s="5"/>
      <c r="AO783" s="40"/>
      <c r="AP783" s="5"/>
      <c r="AR783" s="40"/>
      <c r="AS783" s="5"/>
      <c r="AU783" s="40"/>
      <c r="AV783" s="5"/>
      <c r="AX783" s="40"/>
      <c r="AY783" s="5"/>
      <c r="BA783" s="40"/>
      <c r="BB783" s="5"/>
      <c r="BD783" s="40"/>
      <c r="BE783" s="5"/>
      <c r="BG783" s="40"/>
      <c r="BH783" s="5"/>
      <c r="BJ783" s="40"/>
      <c r="BK783" s="5"/>
      <c r="BM783" s="40"/>
      <c r="BN783" s="5"/>
      <c r="BP783" s="40"/>
      <c r="BQ783" s="5"/>
      <c r="BS783" s="40"/>
      <c r="BT783" s="5"/>
      <c r="BV783" s="40"/>
      <c r="BW783" s="5"/>
      <c r="BY783" s="40"/>
      <c r="BZ783" s="5"/>
      <c r="CB783" s="40"/>
      <c r="CC783" s="5"/>
      <c r="CE783" s="40"/>
      <c r="CF783" s="5"/>
      <c r="CH783" s="40"/>
      <c r="CI783" s="5"/>
      <c r="CK783" s="40"/>
      <c r="CL783" s="5"/>
      <c r="CN783" s="40"/>
      <c r="CO783" s="5"/>
      <c r="CQ783" s="40"/>
      <c r="CR783" s="5"/>
    </row>
    <row r="784">
      <c r="AL784" s="40"/>
      <c r="AM784" s="5"/>
      <c r="AO784" s="40"/>
      <c r="AP784" s="5"/>
      <c r="AR784" s="40"/>
      <c r="AS784" s="5"/>
      <c r="AU784" s="40"/>
      <c r="AV784" s="5"/>
      <c r="AX784" s="40"/>
      <c r="AY784" s="5"/>
      <c r="BA784" s="40"/>
      <c r="BB784" s="5"/>
      <c r="BD784" s="40"/>
      <c r="BE784" s="5"/>
      <c r="BG784" s="40"/>
      <c r="BH784" s="5"/>
      <c r="BJ784" s="40"/>
      <c r="BK784" s="5"/>
      <c r="BM784" s="40"/>
      <c r="BN784" s="5"/>
      <c r="BP784" s="40"/>
      <c r="BQ784" s="5"/>
      <c r="BS784" s="40"/>
      <c r="BT784" s="5"/>
      <c r="BV784" s="40"/>
      <c r="BW784" s="5"/>
      <c r="BY784" s="40"/>
      <c r="BZ784" s="5"/>
      <c r="CB784" s="40"/>
      <c r="CC784" s="5"/>
      <c r="CE784" s="40"/>
      <c r="CF784" s="5"/>
      <c r="CH784" s="40"/>
      <c r="CI784" s="5"/>
      <c r="CK784" s="40"/>
      <c r="CL784" s="5"/>
      <c r="CN784" s="40"/>
      <c r="CO784" s="5"/>
      <c r="CQ784" s="40"/>
      <c r="CR784" s="5"/>
    </row>
    <row r="785">
      <c r="AL785" s="40"/>
      <c r="AM785" s="5"/>
      <c r="AO785" s="40"/>
      <c r="AP785" s="5"/>
      <c r="AR785" s="40"/>
      <c r="AS785" s="5"/>
      <c r="AU785" s="40"/>
      <c r="AV785" s="5"/>
      <c r="AX785" s="40"/>
      <c r="AY785" s="5"/>
      <c r="BA785" s="40"/>
      <c r="BB785" s="5"/>
      <c r="BD785" s="40"/>
      <c r="BE785" s="5"/>
      <c r="BG785" s="40"/>
      <c r="BH785" s="5"/>
      <c r="BJ785" s="40"/>
      <c r="BK785" s="5"/>
      <c r="BM785" s="40"/>
      <c r="BN785" s="5"/>
      <c r="BP785" s="40"/>
      <c r="BQ785" s="5"/>
      <c r="BS785" s="40"/>
      <c r="BT785" s="5"/>
      <c r="BV785" s="40"/>
      <c r="BW785" s="5"/>
      <c r="BY785" s="40"/>
      <c r="BZ785" s="5"/>
      <c r="CB785" s="40"/>
      <c r="CC785" s="5"/>
      <c r="CE785" s="40"/>
      <c r="CF785" s="5"/>
      <c r="CH785" s="40"/>
      <c r="CI785" s="5"/>
      <c r="CK785" s="40"/>
      <c r="CL785" s="5"/>
      <c r="CN785" s="40"/>
      <c r="CO785" s="5"/>
      <c r="CQ785" s="40"/>
      <c r="CR785" s="5"/>
    </row>
    <row r="786">
      <c r="AL786" s="40"/>
      <c r="AM786" s="5"/>
      <c r="AO786" s="40"/>
      <c r="AP786" s="5"/>
      <c r="AR786" s="40"/>
      <c r="AS786" s="5"/>
      <c r="AU786" s="40"/>
      <c r="AV786" s="5"/>
      <c r="AX786" s="40"/>
      <c r="AY786" s="5"/>
      <c r="BA786" s="40"/>
      <c r="BB786" s="5"/>
      <c r="BD786" s="40"/>
      <c r="BE786" s="5"/>
      <c r="BG786" s="40"/>
      <c r="BH786" s="5"/>
      <c r="BJ786" s="40"/>
      <c r="BK786" s="5"/>
      <c r="BM786" s="40"/>
      <c r="BN786" s="5"/>
      <c r="BP786" s="40"/>
      <c r="BQ786" s="5"/>
      <c r="BS786" s="40"/>
      <c r="BT786" s="5"/>
      <c r="BV786" s="40"/>
      <c r="BW786" s="5"/>
      <c r="BY786" s="40"/>
      <c r="BZ786" s="5"/>
      <c r="CB786" s="40"/>
      <c r="CC786" s="5"/>
      <c r="CE786" s="40"/>
      <c r="CF786" s="5"/>
      <c r="CH786" s="40"/>
      <c r="CI786" s="5"/>
      <c r="CK786" s="40"/>
      <c r="CL786" s="5"/>
      <c r="CN786" s="40"/>
      <c r="CO786" s="5"/>
      <c r="CQ786" s="40"/>
      <c r="CR786" s="5"/>
    </row>
    <row r="787">
      <c r="AL787" s="40"/>
      <c r="AM787" s="5"/>
      <c r="AO787" s="40"/>
      <c r="AP787" s="5"/>
      <c r="AR787" s="40"/>
      <c r="AS787" s="5"/>
      <c r="AU787" s="40"/>
      <c r="AV787" s="5"/>
      <c r="AX787" s="40"/>
      <c r="AY787" s="5"/>
      <c r="BA787" s="40"/>
      <c r="BB787" s="5"/>
      <c r="BD787" s="40"/>
      <c r="BE787" s="5"/>
      <c r="BG787" s="40"/>
      <c r="BH787" s="5"/>
      <c r="BJ787" s="40"/>
      <c r="BK787" s="5"/>
      <c r="BM787" s="40"/>
      <c r="BN787" s="5"/>
      <c r="BP787" s="40"/>
      <c r="BQ787" s="5"/>
      <c r="BS787" s="40"/>
      <c r="BT787" s="5"/>
      <c r="BV787" s="40"/>
      <c r="BW787" s="5"/>
      <c r="BY787" s="40"/>
      <c r="BZ787" s="5"/>
      <c r="CB787" s="40"/>
      <c r="CC787" s="5"/>
      <c r="CE787" s="40"/>
      <c r="CF787" s="5"/>
      <c r="CH787" s="40"/>
      <c r="CI787" s="5"/>
      <c r="CK787" s="40"/>
      <c r="CL787" s="5"/>
      <c r="CN787" s="40"/>
      <c r="CO787" s="5"/>
      <c r="CQ787" s="40"/>
      <c r="CR787" s="5"/>
    </row>
    <row r="788">
      <c r="AL788" s="40"/>
      <c r="AM788" s="5"/>
      <c r="AO788" s="40"/>
      <c r="AP788" s="5"/>
      <c r="AR788" s="40"/>
      <c r="AS788" s="5"/>
      <c r="AU788" s="40"/>
      <c r="AV788" s="5"/>
      <c r="AX788" s="40"/>
      <c r="AY788" s="5"/>
      <c r="BA788" s="40"/>
      <c r="BB788" s="5"/>
      <c r="BD788" s="40"/>
      <c r="BE788" s="5"/>
      <c r="BG788" s="40"/>
      <c r="BH788" s="5"/>
      <c r="BJ788" s="40"/>
      <c r="BK788" s="5"/>
      <c r="BM788" s="40"/>
      <c r="BN788" s="5"/>
      <c r="BP788" s="40"/>
      <c r="BQ788" s="5"/>
      <c r="BS788" s="40"/>
      <c r="BT788" s="5"/>
      <c r="BV788" s="40"/>
      <c r="BW788" s="5"/>
      <c r="BY788" s="40"/>
      <c r="BZ788" s="5"/>
      <c r="CB788" s="40"/>
      <c r="CC788" s="5"/>
      <c r="CE788" s="40"/>
      <c r="CF788" s="5"/>
      <c r="CH788" s="40"/>
      <c r="CI788" s="5"/>
      <c r="CK788" s="40"/>
      <c r="CL788" s="5"/>
      <c r="CN788" s="40"/>
      <c r="CO788" s="5"/>
      <c r="CQ788" s="40"/>
      <c r="CR788" s="5"/>
    </row>
    <row r="789">
      <c r="AL789" s="40"/>
      <c r="AM789" s="5"/>
      <c r="AO789" s="40"/>
      <c r="AP789" s="5"/>
      <c r="AR789" s="40"/>
      <c r="AS789" s="5"/>
      <c r="AU789" s="40"/>
      <c r="AV789" s="5"/>
      <c r="AX789" s="40"/>
      <c r="AY789" s="5"/>
      <c r="BA789" s="40"/>
      <c r="BB789" s="5"/>
      <c r="BD789" s="40"/>
      <c r="BE789" s="5"/>
      <c r="BG789" s="40"/>
      <c r="BH789" s="5"/>
      <c r="BJ789" s="40"/>
      <c r="BK789" s="5"/>
      <c r="BM789" s="40"/>
      <c r="BN789" s="5"/>
      <c r="BP789" s="40"/>
      <c r="BQ789" s="5"/>
      <c r="BS789" s="40"/>
      <c r="BT789" s="5"/>
      <c r="BV789" s="40"/>
      <c r="BW789" s="5"/>
      <c r="BY789" s="40"/>
      <c r="BZ789" s="5"/>
      <c r="CB789" s="40"/>
      <c r="CC789" s="5"/>
      <c r="CE789" s="40"/>
      <c r="CF789" s="5"/>
      <c r="CH789" s="40"/>
      <c r="CI789" s="5"/>
      <c r="CK789" s="40"/>
      <c r="CL789" s="5"/>
      <c r="CN789" s="40"/>
      <c r="CO789" s="5"/>
      <c r="CQ789" s="40"/>
      <c r="CR789" s="5"/>
    </row>
    <row r="790">
      <c r="AL790" s="40"/>
      <c r="AM790" s="5"/>
      <c r="AO790" s="40"/>
      <c r="AP790" s="5"/>
      <c r="AR790" s="40"/>
      <c r="AS790" s="5"/>
      <c r="AU790" s="40"/>
      <c r="AV790" s="5"/>
      <c r="AX790" s="40"/>
      <c r="AY790" s="5"/>
      <c r="BA790" s="40"/>
      <c r="BB790" s="5"/>
      <c r="BD790" s="40"/>
      <c r="BE790" s="5"/>
      <c r="BG790" s="40"/>
      <c r="BH790" s="5"/>
      <c r="BJ790" s="40"/>
      <c r="BK790" s="5"/>
      <c r="BM790" s="40"/>
      <c r="BN790" s="5"/>
      <c r="BP790" s="40"/>
      <c r="BQ790" s="5"/>
      <c r="BS790" s="40"/>
      <c r="BT790" s="5"/>
      <c r="BV790" s="40"/>
      <c r="BW790" s="5"/>
      <c r="BY790" s="40"/>
      <c r="BZ790" s="5"/>
      <c r="CB790" s="40"/>
      <c r="CC790" s="5"/>
      <c r="CE790" s="40"/>
      <c r="CF790" s="5"/>
      <c r="CH790" s="40"/>
      <c r="CI790" s="5"/>
      <c r="CK790" s="40"/>
      <c r="CL790" s="5"/>
      <c r="CN790" s="40"/>
      <c r="CO790" s="5"/>
      <c r="CQ790" s="40"/>
      <c r="CR790" s="5"/>
    </row>
    <row r="791">
      <c r="AL791" s="40"/>
      <c r="AM791" s="5"/>
      <c r="AO791" s="40"/>
      <c r="AP791" s="5"/>
      <c r="AR791" s="40"/>
      <c r="AS791" s="5"/>
      <c r="AU791" s="40"/>
      <c r="AV791" s="5"/>
      <c r="AX791" s="40"/>
      <c r="AY791" s="5"/>
      <c r="BA791" s="40"/>
      <c r="BB791" s="5"/>
      <c r="BD791" s="40"/>
      <c r="BE791" s="5"/>
      <c r="BG791" s="40"/>
      <c r="BH791" s="5"/>
      <c r="BJ791" s="40"/>
      <c r="BK791" s="5"/>
      <c r="BM791" s="40"/>
      <c r="BN791" s="5"/>
      <c r="BP791" s="40"/>
      <c r="BQ791" s="5"/>
      <c r="BS791" s="40"/>
      <c r="BT791" s="5"/>
      <c r="BV791" s="40"/>
      <c r="BW791" s="5"/>
      <c r="BY791" s="40"/>
      <c r="BZ791" s="5"/>
      <c r="CB791" s="40"/>
      <c r="CC791" s="5"/>
      <c r="CE791" s="40"/>
      <c r="CF791" s="5"/>
      <c r="CH791" s="40"/>
      <c r="CI791" s="5"/>
      <c r="CK791" s="40"/>
      <c r="CL791" s="5"/>
      <c r="CN791" s="40"/>
      <c r="CO791" s="5"/>
      <c r="CQ791" s="40"/>
      <c r="CR791" s="5"/>
    </row>
    <row r="792">
      <c r="AL792" s="40"/>
      <c r="AM792" s="5"/>
      <c r="AO792" s="40"/>
      <c r="AP792" s="5"/>
      <c r="AR792" s="40"/>
      <c r="AS792" s="5"/>
      <c r="AU792" s="40"/>
      <c r="AV792" s="5"/>
      <c r="AX792" s="40"/>
      <c r="AY792" s="5"/>
      <c r="BA792" s="40"/>
      <c r="BB792" s="5"/>
      <c r="BD792" s="40"/>
      <c r="BE792" s="5"/>
      <c r="BG792" s="40"/>
      <c r="BH792" s="5"/>
      <c r="BJ792" s="40"/>
      <c r="BK792" s="5"/>
      <c r="BM792" s="40"/>
      <c r="BN792" s="5"/>
      <c r="BP792" s="40"/>
      <c r="BQ792" s="5"/>
      <c r="BS792" s="40"/>
      <c r="BT792" s="5"/>
      <c r="BV792" s="40"/>
      <c r="BW792" s="5"/>
      <c r="BY792" s="40"/>
      <c r="BZ792" s="5"/>
      <c r="CB792" s="40"/>
      <c r="CC792" s="5"/>
      <c r="CE792" s="40"/>
      <c r="CF792" s="5"/>
      <c r="CH792" s="40"/>
      <c r="CI792" s="5"/>
      <c r="CK792" s="40"/>
      <c r="CL792" s="5"/>
      <c r="CN792" s="40"/>
      <c r="CO792" s="5"/>
      <c r="CQ792" s="40"/>
      <c r="CR792" s="5"/>
    </row>
    <row r="793">
      <c r="AL793" s="40"/>
      <c r="AM793" s="5"/>
      <c r="AO793" s="40"/>
      <c r="AP793" s="5"/>
      <c r="AR793" s="40"/>
      <c r="AS793" s="5"/>
      <c r="AU793" s="40"/>
      <c r="AV793" s="5"/>
      <c r="AX793" s="40"/>
      <c r="AY793" s="5"/>
      <c r="BA793" s="40"/>
      <c r="BB793" s="5"/>
      <c r="BD793" s="40"/>
      <c r="BE793" s="5"/>
      <c r="BG793" s="40"/>
      <c r="BH793" s="5"/>
      <c r="BJ793" s="40"/>
      <c r="BK793" s="5"/>
      <c r="BM793" s="40"/>
      <c r="BN793" s="5"/>
      <c r="BP793" s="40"/>
      <c r="BQ793" s="5"/>
      <c r="BS793" s="40"/>
      <c r="BT793" s="5"/>
      <c r="BV793" s="40"/>
      <c r="BW793" s="5"/>
      <c r="BY793" s="40"/>
      <c r="BZ793" s="5"/>
      <c r="CB793" s="40"/>
      <c r="CC793" s="5"/>
      <c r="CE793" s="40"/>
      <c r="CF793" s="5"/>
      <c r="CH793" s="40"/>
      <c r="CI793" s="5"/>
      <c r="CK793" s="40"/>
      <c r="CL793" s="5"/>
      <c r="CN793" s="40"/>
      <c r="CO793" s="5"/>
      <c r="CQ793" s="40"/>
      <c r="CR793" s="5"/>
    </row>
    <row r="794">
      <c r="AL794" s="40"/>
      <c r="AM794" s="5"/>
      <c r="AO794" s="40"/>
      <c r="AP794" s="5"/>
      <c r="AR794" s="40"/>
      <c r="AS794" s="5"/>
      <c r="AU794" s="40"/>
      <c r="AV794" s="5"/>
      <c r="AX794" s="40"/>
      <c r="AY794" s="5"/>
      <c r="BA794" s="40"/>
      <c r="BB794" s="5"/>
      <c r="BD794" s="40"/>
      <c r="BE794" s="5"/>
      <c r="BG794" s="40"/>
      <c r="BH794" s="5"/>
      <c r="BJ794" s="40"/>
      <c r="BK794" s="5"/>
      <c r="BM794" s="40"/>
      <c r="BN794" s="5"/>
      <c r="BP794" s="40"/>
      <c r="BQ794" s="5"/>
      <c r="BS794" s="40"/>
      <c r="BT794" s="5"/>
      <c r="BV794" s="40"/>
      <c r="BW794" s="5"/>
      <c r="BY794" s="40"/>
      <c r="BZ794" s="5"/>
      <c r="CB794" s="40"/>
      <c r="CC794" s="5"/>
      <c r="CE794" s="40"/>
      <c r="CF794" s="5"/>
      <c r="CH794" s="40"/>
      <c r="CI794" s="5"/>
      <c r="CK794" s="40"/>
      <c r="CL794" s="5"/>
      <c r="CN794" s="40"/>
      <c r="CO794" s="5"/>
      <c r="CQ794" s="40"/>
      <c r="CR794" s="5"/>
    </row>
    <row r="795">
      <c r="AL795" s="40"/>
      <c r="AM795" s="5"/>
      <c r="AO795" s="40"/>
      <c r="AP795" s="5"/>
      <c r="AR795" s="40"/>
      <c r="AS795" s="5"/>
      <c r="AU795" s="40"/>
      <c r="AV795" s="5"/>
      <c r="AX795" s="40"/>
      <c r="AY795" s="5"/>
      <c r="BA795" s="40"/>
      <c r="BB795" s="5"/>
      <c r="BD795" s="40"/>
      <c r="BE795" s="5"/>
      <c r="BG795" s="40"/>
      <c r="BH795" s="5"/>
      <c r="BJ795" s="40"/>
      <c r="BK795" s="5"/>
      <c r="BM795" s="40"/>
      <c r="BN795" s="5"/>
      <c r="BP795" s="40"/>
      <c r="BQ795" s="5"/>
      <c r="BS795" s="40"/>
      <c r="BT795" s="5"/>
      <c r="BV795" s="40"/>
      <c r="BW795" s="5"/>
      <c r="BY795" s="40"/>
      <c r="BZ795" s="5"/>
      <c r="CB795" s="40"/>
      <c r="CC795" s="5"/>
      <c r="CE795" s="40"/>
      <c r="CF795" s="5"/>
      <c r="CH795" s="40"/>
      <c r="CI795" s="5"/>
      <c r="CK795" s="40"/>
      <c r="CL795" s="5"/>
      <c r="CN795" s="40"/>
      <c r="CO795" s="5"/>
      <c r="CQ795" s="40"/>
      <c r="CR795" s="5"/>
    </row>
    <row r="796">
      <c r="AL796" s="40"/>
      <c r="AM796" s="5"/>
      <c r="AO796" s="40"/>
      <c r="AP796" s="5"/>
      <c r="AR796" s="40"/>
      <c r="AS796" s="5"/>
      <c r="AU796" s="40"/>
      <c r="AV796" s="5"/>
      <c r="AX796" s="40"/>
      <c r="AY796" s="5"/>
      <c r="BA796" s="40"/>
      <c r="BB796" s="5"/>
      <c r="BD796" s="40"/>
      <c r="BE796" s="5"/>
      <c r="BG796" s="40"/>
      <c r="BH796" s="5"/>
      <c r="BJ796" s="40"/>
      <c r="BK796" s="5"/>
      <c r="BM796" s="40"/>
      <c r="BN796" s="5"/>
      <c r="BP796" s="40"/>
      <c r="BQ796" s="5"/>
      <c r="BS796" s="40"/>
      <c r="BT796" s="5"/>
      <c r="BV796" s="40"/>
      <c r="BW796" s="5"/>
      <c r="BY796" s="40"/>
      <c r="BZ796" s="5"/>
      <c r="CB796" s="40"/>
      <c r="CC796" s="5"/>
      <c r="CE796" s="40"/>
      <c r="CF796" s="5"/>
      <c r="CH796" s="40"/>
      <c r="CI796" s="5"/>
      <c r="CK796" s="40"/>
      <c r="CL796" s="5"/>
      <c r="CN796" s="40"/>
      <c r="CO796" s="5"/>
      <c r="CQ796" s="40"/>
      <c r="CR796" s="5"/>
    </row>
    <row r="797">
      <c r="AL797" s="40"/>
      <c r="AM797" s="5"/>
      <c r="AO797" s="40"/>
      <c r="AP797" s="5"/>
      <c r="AR797" s="40"/>
      <c r="AS797" s="5"/>
      <c r="AU797" s="40"/>
      <c r="AV797" s="5"/>
      <c r="AX797" s="40"/>
      <c r="AY797" s="5"/>
      <c r="BA797" s="40"/>
      <c r="BB797" s="5"/>
      <c r="BD797" s="40"/>
      <c r="BE797" s="5"/>
      <c r="BG797" s="40"/>
      <c r="BH797" s="5"/>
      <c r="BJ797" s="40"/>
      <c r="BK797" s="5"/>
      <c r="BM797" s="40"/>
      <c r="BN797" s="5"/>
      <c r="BP797" s="40"/>
      <c r="BQ797" s="5"/>
      <c r="BS797" s="40"/>
      <c r="BT797" s="5"/>
      <c r="BV797" s="40"/>
      <c r="BW797" s="5"/>
      <c r="BY797" s="40"/>
      <c r="BZ797" s="5"/>
      <c r="CB797" s="40"/>
      <c r="CC797" s="5"/>
      <c r="CE797" s="40"/>
      <c r="CF797" s="5"/>
      <c r="CH797" s="40"/>
      <c r="CI797" s="5"/>
      <c r="CK797" s="40"/>
      <c r="CL797" s="5"/>
      <c r="CN797" s="40"/>
      <c r="CO797" s="5"/>
      <c r="CQ797" s="40"/>
      <c r="CR797" s="5"/>
    </row>
    <row r="798">
      <c r="AL798" s="40"/>
      <c r="AM798" s="5"/>
      <c r="AO798" s="40"/>
      <c r="AP798" s="5"/>
      <c r="AR798" s="40"/>
      <c r="AS798" s="5"/>
      <c r="AU798" s="40"/>
      <c r="AV798" s="5"/>
      <c r="AX798" s="40"/>
      <c r="AY798" s="5"/>
      <c r="BA798" s="40"/>
      <c r="BB798" s="5"/>
      <c r="BD798" s="40"/>
      <c r="BE798" s="5"/>
      <c r="BG798" s="40"/>
      <c r="BH798" s="5"/>
      <c r="BJ798" s="40"/>
      <c r="BK798" s="5"/>
      <c r="BM798" s="40"/>
      <c r="BN798" s="5"/>
      <c r="BP798" s="40"/>
      <c r="BQ798" s="5"/>
      <c r="BS798" s="40"/>
      <c r="BT798" s="5"/>
      <c r="BV798" s="40"/>
      <c r="BW798" s="5"/>
      <c r="BY798" s="40"/>
      <c r="BZ798" s="5"/>
      <c r="CB798" s="40"/>
      <c r="CC798" s="5"/>
      <c r="CE798" s="40"/>
      <c r="CF798" s="5"/>
      <c r="CH798" s="40"/>
      <c r="CI798" s="5"/>
      <c r="CK798" s="40"/>
      <c r="CL798" s="5"/>
      <c r="CN798" s="40"/>
      <c r="CO798" s="5"/>
      <c r="CQ798" s="40"/>
      <c r="CR798" s="5"/>
    </row>
    <row r="799">
      <c r="AL799" s="40"/>
      <c r="AM799" s="5"/>
      <c r="AO799" s="40"/>
      <c r="AP799" s="5"/>
      <c r="AR799" s="40"/>
      <c r="AS799" s="5"/>
      <c r="AU799" s="40"/>
      <c r="AV799" s="5"/>
      <c r="AX799" s="40"/>
      <c r="AY799" s="5"/>
      <c r="BA799" s="40"/>
      <c r="BB799" s="5"/>
      <c r="BD799" s="40"/>
      <c r="BE799" s="5"/>
      <c r="BG799" s="40"/>
      <c r="BH799" s="5"/>
      <c r="BJ799" s="40"/>
      <c r="BK799" s="5"/>
      <c r="BM799" s="40"/>
      <c r="BN799" s="5"/>
      <c r="BP799" s="40"/>
      <c r="BQ799" s="5"/>
      <c r="BS799" s="40"/>
      <c r="BT799" s="5"/>
      <c r="BV799" s="40"/>
      <c r="BW799" s="5"/>
      <c r="BY799" s="40"/>
      <c r="BZ799" s="5"/>
      <c r="CB799" s="40"/>
      <c r="CC799" s="5"/>
      <c r="CE799" s="40"/>
      <c r="CF799" s="5"/>
      <c r="CH799" s="40"/>
      <c r="CI799" s="5"/>
      <c r="CK799" s="40"/>
      <c r="CL799" s="5"/>
      <c r="CN799" s="40"/>
      <c r="CO799" s="5"/>
      <c r="CQ799" s="40"/>
      <c r="CR799" s="5"/>
    </row>
    <row r="800">
      <c r="AL800" s="40"/>
      <c r="AM800" s="5"/>
      <c r="AO800" s="40"/>
      <c r="AP800" s="5"/>
      <c r="AR800" s="40"/>
      <c r="AS800" s="5"/>
      <c r="AU800" s="40"/>
      <c r="AV800" s="5"/>
      <c r="AX800" s="40"/>
      <c r="AY800" s="5"/>
      <c r="BA800" s="40"/>
      <c r="BB800" s="5"/>
      <c r="BD800" s="40"/>
      <c r="BE800" s="5"/>
      <c r="BG800" s="40"/>
      <c r="BH800" s="5"/>
      <c r="BJ800" s="40"/>
      <c r="BK800" s="5"/>
      <c r="BM800" s="40"/>
      <c r="BN800" s="5"/>
      <c r="BP800" s="40"/>
      <c r="BQ800" s="5"/>
      <c r="BS800" s="40"/>
      <c r="BT800" s="5"/>
      <c r="BV800" s="40"/>
      <c r="BW800" s="5"/>
      <c r="BY800" s="40"/>
      <c r="BZ800" s="5"/>
      <c r="CB800" s="40"/>
      <c r="CC800" s="5"/>
      <c r="CE800" s="40"/>
      <c r="CF800" s="5"/>
      <c r="CH800" s="40"/>
      <c r="CI800" s="5"/>
      <c r="CK800" s="40"/>
      <c r="CL800" s="5"/>
      <c r="CN800" s="40"/>
      <c r="CO800" s="5"/>
      <c r="CQ800" s="40"/>
      <c r="CR800" s="5"/>
    </row>
    <row r="801">
      <c r="AL801" s="40"/>
      <c r="AM801" s="5"/>
      <c r="AO801" s="40"/>
      <c r="AP801" s="5"/>
      <c r="AR801" s="40"/>
      <c r="AS801" s="5"/>
      <c r="AU801" s="40"/>
      <c r="AV801" s="5"/>
      <c r="AX801" s="40"/>
      <c r="AY801" s="5"/>
      <c r="BA801" s="40"/>
      <c r="BB801" s="5"/>
      <c r="BD801" s="40"/>
      <c r="BE801" s="5"/>
      <c r="BG801" s="40"/>
      <c r="BH801" s="5"/>
      <c r="BJ801" s="40"/>
      <c r="BK801" s="5"/>
      <c r="BM801" s="40"/>
      <c r="BN801" s="5"/>
      <c r="BP801" s="40"/>
      <c r="BQ801" s="5"/>
      <c r="BS801" s="40"/>
      <c r="BT801" s="5"/>
      <c r="BV801" s="40"/>
      <c r="BW801" s="5"/>
      <c r="BY801" s="40"/>
      <c r="BZ801" s="5"/>
      <c r="CB801" s="40"/>
      <c r="CC801" s="5"/>
      <c r="CE801" s="40"/>
      <c r="CF801" s="5"/>
      <c r="CH801" s="40"/>
      <c r="CI801" s="5"/>
      <c r="CK801" s="40"/>
      <c r="CL801" s="5"/>
      <c r="CN801" s="40"/>
      <c r="CO801" s="5"/>
      <c r="CQ801" s="40"/>
      <c r="CR801" s="5"/>
    </row>
    <row r="802">
      <c r="AL802" s="40"/>
      <c r="AM802" s="5"/>
      <c r="AO802" s="40"/>
      <c r="AP802" s="5"/>
      <c r="AR802" s="40"/>
      <c r="AS802" s="5"/>
      <c r="AU802" s="40"/>
      <c r="AV802" s="5"/>
      <c r="AX802" s="40"/>
      <c r="AY802" s="5"/>
      <c r="BA802" s="40"/>
      <c r="BB802" s="5"/>
      <c r="BD802" s="40"/>
      <c r="BE802" s="5"/>
      <c r="BG802" s="40"/>
      <c r="BH802" s="5"/>
      <c r="BJ802" s="40"/>
      <c r="BK802" s="5"/>
      <c r="BM802" s="40"/>
      <c r="BN802" s="5"/>
      <c r="BP802" s="40"/>
      <c r="BQ802" s="5"/>
      <c r="BS802" s="40"/>
      <c r="BT802" s="5"/>
      <c r="BV802" s="40"/>
      <c r="BW802" s="5"/>
      <c r="BY802" s="40"/>
      <c r="BZ802" s="5"/>
      <c r="CB802" s="40"/>
      <c r="CC802" s="5"/>
      <c r="CE802" s="40"/>
      <c r="CF802" s="5"/>
      <c r="CH802" s="40"/>
      <c r="CI802" s="5"/>
      <c r="CK802" s="40"/>
      <c r="CL802" s="5"/>
      <c r="CN802" s="40"/>
      <c r="CO802" s="5"/>
      <c r="CQ802" s="40"/>
      <c r="CR802" s="5"/>
    </row>
    <row r="803">
      <c r="AL803" s="40"/>
      <c r="AM803" s="5"/>
      <c r="AO803" s="40"/>
      <c r="AP803" s="5"/>
      <c r="AR803" s="40"/>
      <c r="AS803" s="5"/>
      <c r="AU803" s="40"/>
      <c r="AV803" s="5"/>
      <c r="AX803" s="40"/>
      <c r="AY803" s="5"/>
      <c r="BA803" s="40"/>
      <c r="BB803" s="5"/>
      <c r="BD803" s="40"/>
      <c r="BE803" s="5"/>
      <c r="BG803" s="40"/>
      <c r="BH803" s="5"/>
      <c r="BJ803" s="40"/>
      <c r="BK803" s="5"/>
      <c r="BM803" s="40"/>
      <c r="BN803" s="5"/>
      <c r="BP803" s="40"/>
      <c r="BQ803" s="5"/>
      <c r="BS803" s="40"/>
      <c r="BT803" s="5"/>
      <c r="BV803" s="40"/>
      <c r="BW803" s="5"/>
      <c r="BY803" s="40"/>
      <c r="BZ803" s="5"/>
      <c r="CB803" s="40"/>
      <c r="CC803" s="5"/>
      <c r="CE803" s="40"/>
      <c r="CF803" s="5"/>
      <c r="CH803" s="40"/>
      <c r="CI803" s="5"/>
      <c r="CK803" s="40"/>
      <c r="CL803" s="5"/>
      <c r="CN803" s="40"/>
      <c r="CO803" s="5"/>
      <c r="CQ803" s="40"/>
      <c r="CR803" s="5"/>
    </row>
    <row r="804">
      <c r="AL804" s="40"/>
      <c r="AM804" s="5"/>
      <c r="AO804" s="40"/>
      <c r="AP804" s="5"/>
      <c r="AR804" s="40"/>
      <c r="AS804" s="5"/>
      <c r="AU804" s="40"/>
      <c r="AV804" s="5"/>
      <c r="AX804" s="40"/>
      <c r="AY804" s="5"/>
      <c r="BA804" s="40"/>
      <c r="BB804" s="5"/>
      <c r="BD804" s="40"/>
      <c r="BE804" s="5"/>
      <c r="BG804" s="40"/>
      <c r="BH804" s="5"/>
      <c r="BJ804" s="40"/>
      <c r="BK804" s="5"/>
      <c r="BM804" s="40"/>
      <c r="BN804" s="5"/>
      <c r="BP804" s="40"/>
      <c r="BQ804" s="5"/>
      <c r="BS804" s="40"/>
      <c r="BT804" s="5"/>
      <c r="BV804" s="40"/>
      <c r="BW804" s="5"/>
      <c r="BY804" s="40"/>
      <c r="BZ804" s="5"/>
      <c r="CB804" s="40"/>
      <c r="CC804" s="5"/>
      <c r="CE804" s="40"/>
      <c r="CF804" s="5"/>
      <c r="CH804" s="40"/>
      <c r="CI804" s="5"/>
      <c r="CK804" s="40"/>
      <c r="CL804" s="5"/>
      <c r="CN804" s="40"/>
      <c r="CO804" s="5"/>
      <c r="CQ804" s="40"/>
      <c r="CR804" s="5"/>
    </row>
    <row r="805">
      <c r="AL805" s="40"/>
      <c r="AM805" s="5"/>
      <c r="AO805" s="40"/>
      <c r="AP805" s="5"/>
      <c r="AR805" s="40"/>
      <c r="AS805" s="5"/>
      <c r="AU805" s="40"/>
      <c r="AV805" s="5"/>
      <c r="AX805" s="40"/>
      <c r="AY805" s="5"/>
      <c r="BA805" s="40"/>
      <c r="BB805" s="5"/>
      <c r="BD805" s="40"/>
      <c r="BE805" s="5"/>
      <c r="BG805" s="40"/>
      <c r="BH805" s="5"/>
      <c r="BJ805" s="40"/>
      <c r="BK805" s="5"/>
      <c r="BM805" s="40"/>
      <c r="BN805" s="5"/>
      <c r="BP805" s="40"/>
      <c r="BQ805" s="5"/>
      <c r="BS805" s="40"/>
      <c r="BT805" s="5"/>
      <c r="BV805" s="40"/>
      <c r="BW805" s="5"/>
      <c r="BY805" s="40"/>
      <c r="BZ805" s="5"/>
      <c r="CB805" s="40"/>
      <c r="CC805" s="5"/>
      <c r="CE805" s="40"/>
      <c r="CF805" s="5"/>
      <c r="CH805" s="40"/>
      <c r="CI805" s="5"/>
      <c r="CK805" s="40"/>
      <c r="CL805" s="5"/>
      <c r="CN805" s="40"/>
      <c r="CO805" s="5"/>
      <c r="CQ805" s="40"/>
      <c r="CR805" s="5"/>
    </row>
    <row r="806">
      <c r="AL806" s="40"/>
      <c r="AM806" s="5"/>
      <c r="AO806" s="40"/>
      <c r="AP806" s="5"/>
      <c r="AR806" s="40"/>
      <c r="AS806" s="5"/>
      <c r="AU806" s="40"/>
      <c r="AV806" s="5"/>
      <c r="AX806" s="40"/>
      <c r="AY806" s="5"/>
      <c r="BA806" s="40"/>
      <c r="BB806" s="5"/>
      <c r="BD806" s="40"/>
      <c r="BE806" s="5"/>
      <c r="BG806" s="40"/>
      <c r="BH806" s="5"/>
      <c r="BJ806" s="40"/>
      <c r="BK806" s="5"/>
      <c r="BM806" s="40"/>
      <c r="BN806" s="5"/>
      <c r="BP806" s="40"/>
      <c r="BQ806" s="5"/>
      <c r="BS806" s="40"/>
      <c r="BT806" s="5"/>
      <c r="BV806" s="40"/>
      <c r="BW806" s="5"/>
      <c r="BY806" s="40"/>
      <c r="BZ806" s="5"/>
      <c r="CB806" s="40"/>
      <c r="CC806" s="5"/>
      <c r="CE806" s="40"/>
      <c r="CF806" s="5"/>
      <c r="CH806" s="40"/>
      <c r="CI806" s="5"/>
      <c r="CK806" s="40"/>
      <c r="CL806" s="5"/>
      <c r="CN806" s="40"/>
      <c r="CO806" s="5"/>
      <c r="CQ806" s="40"/>
      <c r="CR806" s="5"/>
    </row>
    <row r="807">
      <c r="AL807" s="40"/>
      <c r="AM807" s="5"/>
      <c r="AO807" s="40"/>
      <c r="AP807" s="5"/>
      <c r="AR807" s="40"/>
      <c r="AS807" s="5"/>
      <c r="AU807" s="40"/>
      <c r="AV807" s="5"/>
      <c r="AX807" s="40"/>
      <c r="AY807" s="5"/>
      <c r="BA807" s="40"/>
      <c r="BB807" s="5"/>
      <c r="BD807" s="40"/>
      <c r="BE807" s="5"/>
      <c r="BG807" s="40"/>
      <c r="BH807" s="5"/>
      <c r="BJ807" s="40"/>
      <c r="BK807" s="5"/>
      <c r="BM807" s="40"/>
      <c r="BN807" s="5"/>
      <c r="BP807" s="40"/>
      <c r="BQ807" s="5"/>
      <c r="BS807" s="40"/>
      <c r="BT807" s="5"/>
      <c r="BV807" s="40"/>
      <c r="BW807" s="5"/>
      <c r="BY807" s="40"/>
      <c r="BZ807" s="5"/>
      <c r="CB807" s="40"/>
      <c r="CC807" s="5"/>
      <c r="CE807" s="40"/>
      <c r="CF807" s="5"/>
      <c r="CH807" s="40"/>
      <c r="CI807" s="5"/>
      <c r="CK807" s="40"/>
      <c r="CL807" s="5"/>
      <c r="CN807" s="40"/>
      <c r="CO807" s="5"/>
      <c r="CQ807" s="40"/>
      <c r="CR807" s="5"/>
    </row>
    <row r="808">
      <c r="AL808" s="40"/>
      <c r="AM808" s="5"/>
      <c r="AO808" s="40"/>
      <c r="AP808" s="5"/>
      <c r="AR808" s="40"/>
      <c r="AS808" s="5"/>
      <c r="AU808" s="40"/>
      <c r="AV808" s="5"/>
      <c r="AX808" s="40"/>
      <c r="AY808" s="5"/>
      <c r="BA808" s="40"/>
      <c r="BB808" s="5"/>
      <c r="BD808" s="40"/>
      <c r="BE808" s="5"/>
      <c r="BG808" s="40"/>
      <c r="BH808" s="5"/>
      <c r="BJ808" s="40"/>
      <c r="BK808" s="5"/>
      <c r="BM808" s="40"/>
      <c r="BN808" s="5"/>
      <c r="BP808" s="40"/>
      <c r="BQ808" s="5"/>
      <c r="BS808" s="40"/>
      <c r="BT808" s="5"/>
      <c r="BV808" s="40"/>
      <c r="BW808" s="5"/>
      <c r="BY808" s="40"/>
      <c r="BZ808" s="5"/>
      <c r="CB808" s="40"/>
      <c r="CC808" s="5"/>
      <c r="CE808" s="40"/>
      <c r="CF808" s="5"/>
      <c r="CH808" s="40"/>
      <c r="CI808" s="5"/>
      <c r="CK808" s="40"/>
      <c r="CL808" s="5"/>
      <c r="CN808" s="40"/>
      <c r="CO808" s="5"/>
      <c r="CQ808" s="40"/>
      <c r="CR808" s="5"/>
    </row>
    <row r="809">
      <c r="AL809" s="40"/>
      <c r="AM809" s="5"/>
      <c r="AO809" s="40"/>
      <c r="AP809" s="5"/>
      <c r="AR809" s="40"/>
      <c r="AS809" s="5"/>
      <c r="AU809" s="40"/>
      <c r="AV809" s="5"/>
      <c r="AX809" s="40"/>
      <c r="AY809" s="5"/>
      <c r="BA809" s="40"/>
      <c r="BB809" s="5"/>
      <c r="BD809" s="40"/>
      <c r="BE809" s="5"/>
      <c r="BG809" s="40"/>
      <c r="BH809" s="5"/>
      <c r="BJ809" s="40"/>
      <c r="BK809" s="5"/>
      <c r="BM809" s="40"/>
      <c r="BN809" s="5"/>
      <c r="BP809" s="40"/>
      <c r="BQ809" s="5"/>
      <c r="BS809" s="40"/>
      <c r="BT809" s="5"/>
      <c r="BV809" s="40"/>
      <c r="BW809" s="5"/>
      <c r="BY809" s="40"/>
      <c r="BZ809" s="5"/>
      <c r="CB809" s="40"/>
      <c r="CC809" s="5"/>
      <c r="CE809" s="40"/>
      <c r="CF809" s="5"/>
      <c r="CH809" s="40"/>
      <c r="CI809" s="5"/>
      <c r="CK809" s="40"/>
      <c r="CL809" s="5"/>
      <c r="CN809" s="40"/>
      <c r="CO809" s="5"/>
      <c r="CQ809" s="40"/>
      <c r="CR809" s="5"/>
    </row>
    <row r="810">
      <c r="AL810" s="40"/>
      <c r="AM810" s="5"/>
      <c r="AO810" s="40"/>
      <c r="AP810" s="5"/>
      <c r="AR810" s="40"/>
      <c r="AS810" s="5"/>
      <c r="AU810" s="40"/>
      <c r="AV810" s="5"/>
      <c r="AX810" s="40"/>
      <c r="AY810" s="5"/>
      <c r="BA810" s="40"/>
      <c r="BB810" s="5"/>
      <c r="BD810" s="40"/>
      <c r="BE810" s="5"/>
      <c r="BG810" s="40"/>
      <c r="BH810" s="5"/>
      <c r="BJ810" s="40"/>
      <c r="BK810" s="5"/>
      <c r="BM810" s="40"/>
      <c r="BN810" s="5"/>
      <c r="BP810" s="40"/>
      <c r="BQ810" s="5"/>
      <c r="BS810" s="40"/>
      <c r="BT810" s="5"/>
      <c r="BV810" s="40"/>
      <c r="BW810" s="5"/>
      <c r="BY810" s="40"/>
      <c r="BZ810" s="5"/>
      <c r="CB810" s="40"/>
      <c r="CC810" s="5"/>
      <c r="CE810" s="40"/>
      <c r="CF810" s="5"/>
      <c r="CH810" s="40"/>
      <c r="CI810" s="5"/>
      <c r="CK810" s="40"/>
      <c r="CL810" s="5"/>
      <c r="CN810" s="40"/>
      <c r="CO810" s="5"/>
      <c r="CQ810" s="40"/>
      <c r="CR810" s="5"/>
    </row>
    <row r="811">
      <c r="AL811" s="40"/>
      <c r="AM811" s="5"/>
      <c r="AO811" s="40"/>
      <c r="AP811" s="5"/>
      <c r="AR811" s="40"/>
      <c r="AS811" s="5"/>
      <c r="AU811" s="40"/>
      <c r="AV811" s="5"/>
      <c r="AX811" s="40"/>
      <c r="AY811" s="5"/>
      <c r="BA811" s="40"/>
      <c r="BB811" s="5"/>
      <c r="BD811" s="40"/>
      <c r="BE811" s="5"/>
      <c r="BG811" s="40"/>
      <c r="BH811" s="5"/>
      <c r="BJ811" s="40"/>
      <c r="BK811" s="5"/>
      <c r="BM811" s="40"/>
      <c r="BN811" s="5"/>
      <c r="BP811" s="40"/>
      <c r="BQ811" s="5"/>
      <c r="BS811" s="40"/>
      <c r="BT811" s="5"/>
      <c r="BV811" s="40"/>
      <c r="BW811" s="5"/>
      <c r="BY811" s="40"/>
      <c r="BZ811" s="5"/>
      <c r="CB811" s="40"/>
      <c r="CC811" s="5"/>
      <c r="CE811" s="40"/>
      <c r="CF811" s="5"/>
      <c r="CH811" s="40"/>
      <c r="CI811" s="5"/>
      <c r="CK811" s="40"/>
      <c r="CL811" s="5"/>
      <c r="CN811" s="40"/>
      <c r="CO811" s="5"/>
      <c r="CQ811" s="40"/>
      <c r="CR811" s="5"/>
    </row>
    <row r="812">
      <c r="AL812" s="40"/>
      <c r="AM812" s="5"/>
      <c r="AO812" s="40"/>
      <c r="AP812" s="5"/>
      <c r="AR812" s="40"/>
      <c r="AS812" s="5"/>
      <c r="AU812" s="40"/>
      <c r="AV812" s="5"/>
      <c r="AX812" s="40"/>
      <c r="AY812" s="5"/>
      <c r="BA812" s="40"/>
      <c r="BB812" s="5"/>
      <c r="BD812" s="40"/>
      <c r="BE812" s="5"/>
      <c r="BG812" s="40"/>
      <c r="BH812" s="5"/>
      <c r="BJ812" s="40"/>
      <c r="BK812" s="5"/>
      <c r="BM812" s="40"/>
      <c r="BN812" s="5"/>
      <c r="BP812" s="40"/>
      <c r="BQ812" s="5"/>
      <c r="BS812" s="40"/>
      <c r="BT812" s="5"/>
      <c r="BV812" s="40"/>
      <c r="BW812" s="5"/>
      <c r="BY812" s="40"/>
      <c r="BZ812" s="5"/>
      <c r="CB812" s="40"/>
      <c r="CC812" s="5"/>
      <c r="CE812" s="40"/>
      <c r="CF812" s="5"/>
      <c r="CH812" s="40"/>
      <c r="CI812" s="5"/>
      <c r="CK812" s="40"/>
      <c r="CL812" s="5"/>
      <c r="CN812" s="40"/>
      <c r="CO812" s="5"/>
      <c r="CQ812" s="40"/>
      <c r="CR812" s="5"/>
    </row>
    <row r="813">
      <c r="AL813" s="40"/>
      <c r="AM813" s="5"/>
      <c r="AO813" s="40"/>
      <c r="AP813" s="5"/>
      <c r="AR813" s="40"/>
      <c r="AS813" s="5"/>
      <c r="AU813" s="40"/>
      <c r="AV813" s="5"/>
      <c r="AX813" s="40"/>
      <c r="AY813" s="5"/>
      <c r="BA813" s="40"/>
      <c r="BB813" s="5"/>
      <c r="BD813" s="40"/>
      <c r="BE813" s="5"/>
      <c r="BG813" s="40"/>
      <c r="BH813" s="5"/>
      <c r="BJ813" s="40"/>
      <c r="BK813" s="5"/>
      <c r="BM813" s="40"/>
      <c r="BN813" s="5"/>
      <c r="BP813" s="40"/>
      <c r="BQ813" s="5"/>
      <c r="BS813" s="40"/>
      <c r="BT813" s="5"/>
      <c r="BV813" s="40"/>
      <c r="BW813" s="5"/>
      <c r="BY813" s="40"/>
      <c r="BZ813" s="5"/>
      <c r="CB813" s="40"/>
      <c r="CC813" s="5"/>
      <c r="CE813" s="40"/>
      <c r="CF813" s="5"/>
      <c r="CH813" s="40"/>
      <c r="CI813" s="5"/>
      <c r="CK813" s="40"/>
      <c r="CL813" s="5"/>
      <c r="CN813" s="40"/>
      <c r="CO813" s="5"/>
      <c r="CQ813" s="40"/>
      <c r="CR813" s="5"/>
    </row>
    <row r="814">
      <c r="AL814" s="40"/>
      <c r="AM814" s="5"/>
      <c r="AO814" s="40"/>
      <c r="AP814" s="5"/>
      <c r="AR814" s="40"/>
      <c r="AS814" s="5"/>
      <c r="AU814" s="40"/>
      <c r="AV814" s="5"/>
      <c r="AX814" s="40"/>
      <c r="AY814" s="5"/>
      <c r="BA814" s="40"/>
      <c r="BB814" s="5"/>
      <c r="BD814" s="40"/>
      <c r="BE814" s="5"/>
      <c r="BG814" s="40"/>
      <c r="BH814" s="5"/>
      <c r="BJ814" s="40"/>
      <c r="BK814" s="5"/>
      <c r="BM814" s="40"/>
      <c r="BN814" s="5"/>
      <c r="BP814" s="40"/>
      <c r="BQ814" s="5"/>
      <c r="BS814" s="40"/>
      <c r="BT814" s="5"/>
      <c r="BV814" s="40"/>
      <c r="BW814" s="5"/>
      <c r="BY814" s="40"/>
      <c r="BZ814" s="5"/>
      <c r="CB814" s="40"/>
      <c r="CC814" s="5"/>
      <c r="CE814" s="40"/>
      <c r="CF814" s="5"/>
      <c r="CH814" s="40"/>
      <c r="CI814" s="5"/>
      <c r="CK814" s="40"/>
      <c r="CL814" s="5"/>
      <c r="CN814" s="40"/>
      <c r="CO814" s="5"/>
      <c r="CQ814" s="40"/>
      <c r="CR814" s="5"/>
    </row>
    <row r="815">
      <c r="AL815" s="40"/>
      <c r="AM815" s="5"/>
      <c r="AO815" s="40"/>
      <c r="AP815" s="5"/>
      <c r="AR815" s="40"/>
      <c r="AS815" s="5"/>
      <c r="AU815" s="40"/>
      <c r="AV815" s="5"/>
      <c r="AX815" s="40"/>
      <c r="AY815" s="5"/>
      <c r="BA815" s="40"/>
      <c r="BB815" s="5"/>
      <c r="BD815" s="40"/>
      <c r="BE815" s="5"/>
      <c r="BG815" s="40"/>
      <c r="BH815" s="5"/>
      <c r="BJ815" s="40"/>
      <c r="BK815" s="5"/>
      <c r="BM815" s="40"/>
      <c r="BN815" s="5"/>
      <c r="BP815" s="40"/>
      <c r="BQ815" s="5"/>
      <c r="BS815" s="40"/>
      <c r="BT815" s="5"/>
      <c r="BV815" s="40"/>
      <c r="BW815" s="5"/>
      <c r="BY815" s="40"/>
      <c r="BZ815" s="5"/>
      <c r="CB815" s="40"/>
      <c r="CC815" s="5"/>
      <c r="CE815" s="40"/>
      <c r="CF815" s="5"/>
      <c r="CH815" s="40"/>
      <c r="CI815" s="5"/>
      <c r="CK815" s="40"/>
      <c r="CL815" s="5"/>
      <c r="CN815" s="40"/>
      <c r="CO815" s="5"/>
      <c r="CQ815" s="40"/>
      <c r="CR815" s="5"/>
    </row>
    <row r="816">
      <c r="AL816" s="40"/>
      <c r="AM816" s="5"/>
      <c r="AO816" s="40"/>
      <c r="AP816" s="5"/>
      <c r="AR816" s="40"/>
      <c r="AS816" s="5"/>
      <c r="AU816" s="40"/>
      <c r="AV816" s="5"/>
      <c r="AX816" s="40"/>
      <c r="AY816" s="5"/>
      <c r="BA816" s="40"/>
      <c r="BB816" s="5"/>
      <c r="BD816" s="40"/>
      <c r="BE816" s="5"/>
      <c r="BG816" s="40"/>
      <c r="BH816" s="5"/>
      <c r="BJ816" s="40"/>
      <c r="BK816" s="5"/>
      <c r="BM816" s="40"/>
      <c r="BN816" s="5"/>
      <c r="BP816" s="40"/>
      <c r="BQ816" s="5"/>
      <c r="BS816" s="40"/>
      <c r="BT816" s="5"/>
      <c r="BV816" s="40"/>
      <c r="BW816" s="5"/>
      <c r="BY816" s="40"/>
      <c r="BZ816" s="5"/>
      <c r="CB816" s="40"/>
      <c r="CC816" s="5"/>
      <c r="CE816" s="40"/>
      <c r="CF816" s="5"/>
      <c r="CH816" s="40"/>
      <c r="CI816" s="5"/>
      <c r="CK816" s="40"/>
      <c r="CL816" s="5"/>
      <c r="CN816" s="40"/>
      <c r="CO816" s="5"/>
      <c r="CQ816" s="40"/>
      <c r="CR816" s="5"/>
    </row>
    <row r="817">
      <c r="AL817" s="40"/>
      <c r="AM817" s="5"/>
      <c r="AO817" s="40"/>
      <c r="AP817" s="5"/>
      <c r="AR817" s="40"/>
      <c r="AS817" s="5"/>
      <c r="AU817" s="40"/>
      <c r="AV817" s="5"/>
      <c r="AX817" s="40"/>
      <c r="AY817" s="5"/>
      <c r="BA817" s="40"/>
      <c r="BB817" s="5"/>
      <c r="BD817" s="40"/>
      <c r="BE817" s="5"/>
      <c r="BG817" s="40"/>
      <c r="BH817" s="5"/>
      <c r="BJ817" s="40"/>
      <c r="BK817" s="5"/>
      <c r="BM817" s="40"/>
      <c r="BN817" s="5"/>
      <c r="BP817" s="40"/>
      <c r="BQ817" s="5"/>
      <c r="BS817" s="40"/>
      <c r="BT817" s="5"/>
      <c r="BV817" s="40"/>
      <c r="BW817" s="5"/>
      <c r="BY817" s="40"/>
      <c r="BZ817" s="5"/>
      <c r="CB817" s="40"/>
      <c r="CC817" s="5"/>
      <c r="CE817" s="40"/>
      <c r="CF817" s="5"/>
      <c r="CH817" s="40"/>
      <c r="CI817" s="5"/>
      <c r="CK817" s="40"/>
      <c r="CL817" s="5"/>
      <c r="CN817" s="40"/>
      <c r="CO817" s="5"/>
      <c r="CQ817" s="40"/>
      <c r="CR817" s="5"/>
    </row>
    <row r="818">
      <c r="AL818" s="40"/>
      <c r="AM818" s="5"/>
      <c r="AO818" s="40"/>
      <c r="AP818" s="5"/>
      <c r="AR818" s="40"/>
      <c r="AS818" s="5"/>
      <c r="AU818" s="40"/>
      <c r="AV818" s="5"/>
      <c r="AX818" s="40"/>
      <c r="AY818" s="5"/>
      <c r="BA818" s="40"/>
      <c r="BB818" s="5"/>
      <c r="BD818" s="40"/>
      <c r="BE818" s="5"/>
      <c r="BG818" s="40"/>
      <c r="BH818" s="5"/>
      <c r="BJ818" s="40"/>
      <c r="BK818" s="5"/>
      <c r="BM818" s="40"/>
      <c r="BN818" s="5"/>
      <c r="BP818" s="40"/>
      <c r="BQ818" s="5"/>
      <c r="BS818" s="40"/>
      <c r="BT818" s="5"/>
      <c r="BV818" s="40"/>
      <c r="BW818" s="5"/>
      <c r="BY818" s="40"/>
      <c r="BZ818" s="5"/>
      <c r="CB818" s="40"/>
      <c r="CC818" s="5"/>
      <c r="CE818" s="40"/>
      <c r="CF818" s="5"/>
      <c r="CH818" s="40"/>
      <c r="CI818" s="5"/>
      <c r="CK818" s="40"/>
      <c r="CL818" s="5"/>
      <c r="CN818" s="40"/>
      <c r="CO818" s="5"/>
      <c r="CQ818" s="40"/>
      <c r="CR818" s="5"/>
    </row>
    <row r="819">
      <c r="AL819" s="40"/>
      <c r="AM819" s="5"/>
      <c r="AO819" s="40"/>
      <c r="AP819" s="5"/>
      <c r="AR819" s="40"/>
      <c r="AS819" s="5"/>
      <c r="AU819" s="40"/>
      <c r="AV819" s="5"/>
      <c r="AX819" s="40"/>
      <c r="AY819" s="5"/>
      <c r="BA819" s="40"/>
      <c r="BB819" s="5"/>
      <c r="BD819" s="40"/>
      <c r="BE819" s="5"/>
      <c r="BG819" s="40"/>
      <c r="BH819" s="5"/>
      <c r="BJ819" s="40"/>
      <c r="BK819" s="5"/>
      <c r="BM819" s="40"/>
      <c r="BN819" s="5"/>
      <c r="BP819" s="40"/>
      <c r="BQ819" s="5"/>
      <c r="BS819" s="40"/>
      <c r="BT819" s="5"/>
      <c r="BV819" s="40"/>
      <c r="BW819" s="5"/>
      <c r="BY819" s="40"/>
      <c r="BZ819" s="5"/>
      <c r="CB819" s="40"/>
      <c r="CC819" s="5"/>
      <c r="CE819" s="40"/>
      <c r="CF819" s="5"/>
      <c r="CH819" s="40"/>
      <c r="CI819" s="5"/>
      <c r="CK819" s="40"/>
      <c r="CL819" s="5"/>
      <c r="CN819" s="40"/>
      <c r="CO819" s="5"/>
      <c r="CQ819" s="40"/>
      <c r="CR819" s="5"/>
    </row>
    <row r="820">
      <c r="AL820" s="40"/>
      <c r="AM820" s="5"/>
      <c r="AO820" s="40"/>
      <c r="AP820" s="5"/>
      <c r="AR820" s="40"/>
      <c r="AS820" s="5"/>
      <c r="AU820" s="40"/>
      <c r="AV820" s="5"/>
      <c r="AX820" s="40"/>
      <c r="AY820" s="5"/>
      <c r="BA820" s="40"/>
      <c r="BB820" s="5"/>
      <c r="BD820" s="40"/>
      <c r="BE820" s="5"/>
      <c r="BG820" s="40"/>
      <c r="BH820" s="5"/>
      <c r="BJ820" s="40"/>
      <c r="BK820" s="5"/>
      <c r="BM820" s="40"/>
      <c r="BN820" s="5"/>
      <c r="BP820" s="40"/>
      <c r="BQ820" s="5"/>
      <c r="BS820" s="40"/>
      <c r="BT820" s="5"/>
      <c r="BV820" s="40"/>
      <c r="BW820" s="5"/>
      <c r="BY820" s="40"/>
      <c r="BZ820" s="5"/>
      <c r="CB820" s="40"/>
      <c r="CC820" s="5"/>
      <c r="CE820" s="40"/>
      <c r="CF820" s="5"/>
      <c r="CH820" s="40"/>
      <c r="CI820" s="5"/>
      <c r="CK820" s="40"/>
      <c r="CL820" s="5"/>
      <c r="CN820" s="40"/>
      <c r="CO820" s="5"/>
      <c r="CQ820" s="40"/>
      <c r="CR820" s="5"/>
    </row>
    <row r="821">
      <c r="AL821" s="40"/>
      <c r="AM821" s="5"/>
      <c r="AO821" s="40"/>
      <c r="AP821" s="5"/>
      <c r="AR821" s="40"/>
      <c r="AS821" s="5"/>
      <c r="AU821" s="40"/>
      <c r="AV821" s="5"/>
      <c r="AX821" s="40"/>
      <c r="AY821" s="5"/>
      <c r="BA821" s="40"/>
      <c r="BB821" s="5"/>
      <c r="BD821" s="40"/>
      <c r="BE821" s="5"/>
      <c r="BG821" s="40"/>
      <c r="BH821" s="5"/>
      <c r="BJ821" s="40"/>
      <c r="BK821" s="5"/>
      <c r="BM821" s="40"/>
      <c r="BN821" s="5"/>
      <c r="BP821" s="40"/>
      <c r="BQ821" s="5"/>
      <c r="BS821" s="40"/>
      <c r="BT821" s="5"/>
      <c r="BV821" s="40"/>
      <c r="BW821" s="5"/>
      <c r="BY821" s="40"/>
      <c r="BZ821" s="5"/>
      <c r="CB821" s="40"/>
      <c r="CC821" s="5"/>
      <c r="CE821" s="40"/>
      <c r="CF821" s="5"/>
      <c r="CH821" s="40"/>
      <c r="CI821" s="5"/>
      <c r="CK821" s="40"/>
      <c r="CL821" s="5"/>
      <c r="CN821" s="40"/>
      <c r="CO821" s="5"/>
      <c r="CQ821" s="40"/>
      <c r="CR821" s="5"/>
    </row>
    <row r="822">
      <c r="AL822" s="40"/>
      <c r="AM822" s="5"/>
      <c r="AO822" s="40"/>
      <c r="AP822" s="5"/>
      <c r="AR822" s="40"/>
      <c r="AS822" s="5"/>
      <c r="AU822" s="40"/>
      <c r="AV822" s="5"/>
      <c r="AX822" s="40"/>
      <c r="AY822" s="5"/>
      <c r="BA822" s="40"/>
      <c r="BB822" s="5"/>
      <c r="BD822" s="40"/>
      <c r="BE822" s="5"/>
      <c r="BG822" s="40"/>
      <c r="BH822" s="5"/>
      <c r="BJ822" s="40"/>
      <c r="BK822" s="5"/>
      <c r="BM822" s="40"/>
      <c r="BN822" s="5"/>
      <c r="BP822" s="40"/>
      <c r="BQ822" s="5"/>
      <c r="BS822" s="40"/>
      <c r="BT822" s="5"/>
      <c r="BV822" s="40"/>
      <c r="BW822" s="5"/>
      <c r="BY822" s="40"/>
      <c r="BZ822" s="5"/>
      <c r="CB822" s="40"/>
      <c r="CC822" s="5"/>
      <c r="CE822" s="40"/>
      <c r="CF822" s="5"/>
      <c r="CH822" s="40"/>
      <c r="CI822" s="5"/>
      <c r="CK822" s="40"/>
      <c r="CL822" s="5"/>
      <c r="CN822" s="40"/>
      <c r="CO822" s="5"/>
      <c r="CQ822" s="40"/>
      <c r="CR822" s="5"/>
    </row>
    <row r="823">
      <c r="AL823" s="40"/>
      <c r="AM823" s="5"/>
      <c r="AO823" s="40"/>
      <c r="AP823" s="5"/>
      <c r="AR823" s="40"/>
      <c r="AS823" s="5"/>
      <c r="AU823" s="40"/>
      <c r="AV823" s="5"/>
      <c r="AX823" s="40"/>
      <c r="AY823" s="5"/>
      <c r="BA823" s="40"/>
      <c r="BB823" s="5"/>
      <c r="BD823" s="40"/>
      <c r="BE823" s="5"/>
      <c r="BG823" s="40"/>
      <c r="BH823" s="5"/>
      <c r="BJ823" s="40"/>
      <c r="BK823" s="5"/>
      <c r="BM823" s="40"/>
      <c r="BN823" s="5"/>
      <c r="BP823" s="40"/>
      <c r="BQ823" s="5"/>
      <c r="BS823" s="40"/>
      <c r="BT823" s="5"/>
      <c r="BV823" s="40"/>
      <c r="BW823" s="5"/>
      <c r="BY823" s="40"/>
      <c r="BZ823" s="5"/>
      <c r="CB823" s="40"/>
      <c r="CC823" s="5"/>
      <c r="CE823" s="40"/>
      <c r="CF823" s="5"/>
      <c r="CH823" s="40"/>
      <c r="CI823" s="5"/>
      <c r="CK823" s="40"/>
      <c r="CL823" s="5"/>
      <c r="CN823" s="40"/>
      <c r="CO823" s="5"/>
      <c r="CQ823" s="40"/>
      <c r="CR823" s="5"/>
    </row>
    <row r="824">
      <c r="AL824" s="40"/>
      <c r="AM824" s="5"/>
      <c r="AO824" s="40"/>
      <c r="AP824" s="5"/>
      <c r="AR824" s="40"/>
      <c r="AS824" s="5"/>
      <c r="AU824" s="40"/>
      <c r="AV824" s="5"/>
      <c r="AX824" s="40"/>
      <c r="AY824" s="5"/>
      <c r="BA824" s="40"/>
      <c r="BB824" s="5"/>
      <c r="BD824" s="40"/>
      <c r="BE824" s="5"/>
      <c r="BG824" s="40"/>
      <c r="BH824" s="5"/>
      <c r="BJ824" s="40"/>
      <c r="BK824" s="5"/>
      <c r="BM824" s="40"/>
      <c r="BN824" s="5"/>
      <c r="BP824" s="40"/>
      <c r="BQ824" s="5"/>
      <c r="BS824" s="40"/>
      <c r="BT824" s="5"/>
      <c r="BV824" s="40"/>
      <c r="BW824" s="5"/>
      <c r="BY824" s="40"/>
      <c r="BZ824" s="5"/>
      <c r="CB824" s="40"/>
      <c r="CC824" s="5"/>
      <c r="CE824" s="40"/>
      <c r="CF824" s="5"/>
      <c r="CH824" s="40"/>
      <c r="CI824" s="5"/>
      <c r="CK824" s="40"/>
      <c r="CL824" s="5"/>
      <c r="CN824" s="40"/>
      <c r="CO824" s="5"/>
      <c r="CQ824" s="40"/>
      <c r="CR824" s="5"/>
    </row>
    <row r="825">
      <c r="AL825" s="40"/>
      <c r="AM825" s="5"/>
      <c r="AO825" s="40"/>
      <c r="AP825" s="5"/>
      <c r="AR825" s="40"/>
      <c r="AS825" s="5"/>
      <c r="AU825" s="40"/>
      <c r="AV825" s="5"/>
      <c r="AX825" s="40"/>
      <c r="AY825" s="5"/>
      <c r="BA825" s="40"/>
      <c r="BB825" s="5"/>
      <c r="BD825" s="40"/>
      <c r="BE825" s="5"/>
      <c r="BG825" s="40"/>
      <c r="BH825" s="5"/>
      <c r="BJ825" s="40"/>
      <c r="BK825" s="5"/>
      <c r="BM825" s="40"/>
      <c r="BN825" s="5"/>
      <c r="BP825" s="40"/>
      <c r="BQ825" s="5"/>
      <c r="BS825" s="40"/>
      <c r="BT825" s="5"/>
      <c r="BV825" s="40"/>
      <c r="BW825" s="5"/>
      <c r="BY825" s="40"/>
      <c r="BZ825" s="5"/>
      <c r="CB825" s="40"/>
      <c r="CC825" s="5"/>
      <c r="CE825" s="40"/>
      <c r="CF825" s="5"/>
      <c r="CH825" s="40"/>
      <c r="CI825" s="5"/>
      <c r="CK825" s="40"/>
      <c r="CL825" s="5"/>
      <c r="CN825" s="40"/>
      <c r="CO825" s="5"/>
      <c r="CQ825" s="40"/>
      <c r="CR825" s="5"/>
    </row>
    <row r="826">
      <c r="AL826" s="40"/>
      <c r="AM826" s="5"/>
      <c r="AO826" s="40"/>
      <c r="AP826" s="5"/>
      <c r="AR826" s="40"/>
      <c r="AS826" s="5"/>
      <c r="AU826" s="40"/>
      <c r="AV826" s="5"/>
      <c r="AX826" s="40"/>
      <c r="AY826" s="5"/>
      <c r="BA826" s="40"/>
      <c r="BB826" s="5"/>
      <c r="BD826" s="40"/>
      <c r="BE826" s="5"/>
      <c r="BG826" s="40"/>
      <c r="BH826" s="5"/>
      <c r="BJ826" s="40"/>
      <c r="BK826" s="5"/>
      <c r="BM826" s="40"/>
      <c r="BN826" s="5"/>
      <c r="BP826" s="40"/>
      <c r="BQ826" s="5"/>
      <c r="BS826" s="40"/>
      <c r="BT826" s="5"/>
      <c r="BV826" s="40"/>
      <c r="BW826" s="5"/>
      <c r="BY826" s="40"/>
      <c r="BZ826" s="5"/>
      <c r="CB826" s="40"/>
      <c r="CC826" s="5"/>
      <c r="CE826" s="40"/>
      <c r="CF826" s="5"/>
      <c r="CH826" s="40"/>
      <c r="CI826" s="5"/>
      <c r="CK826" s="40"/>
      <c r="CL826" s="5"/>
      <c r="CN826" s="40"/>
      <c r="CO826" s="5"/>
      <c r="CQ826" s="40"/>
      <c r="CR826" s="5"/>
    </row>
    <row r="827">
      <c r="AL827" s="40"/>
      <c r="AM827" s="5"/>
      <c r="AO827" s="40"/>
      <c r="AP827" s="5"/>
      <c r="AR827" s="40"/>
      <c r="AS827" s="5"/>
      <c r="AU827" s="40"/>
      <c r="AV827" s="5"/>
      <c r="AX827" s="40"/>
      <c r="AY827" s="5"/>
      <c r="BA827" s="40"/>
      <c r="BB827" s="5"/>
      <c r="BD827" s="40"/>
      <c r="BE827" s="5"/>
      <c r="BG827" s="40"/>
      <c r="BH827" s="5"/>
      <c r="BJ827" s="40"/>
      <c r="BK827" s="5"/>
      <c r="BM827" s="40"/>
      <c r="BN827" s="5"/>
      <c r="BP827" s="40"/>
      <c r="BQ827" s="5"/>
      <c r="BS827" s="40"/>
      <c r="BT827" s="5"/>
      <c r="BV827" s="40"/>
      <c r="BW827" s="5"/>
      <c r="BY827" s="40"/>
      <c r="BZ827" s="5"/>
      <c r="CB827" s="40"/>
      <c r="CC827" s="5"/>
      <c r="CE827" s="40"/>
      <c r="CF827" s="5"/>
      <c r="CH827" s="40"/>
      <c r="CI827" s="5"/>
      <c r="CK827" s="40"/>
      <c r="CL827" s="5"/>
      <c r="CN827" s="40"/>
      <c r="CO827" s="5"/>
      <c r="CQ827" s="40"/>
      <c r="CR827" s="5"/>
    </row>
    <row r="828">
      <c r="AL828" s="40"/>
      <c r="AM828" s="5"/>
      <c r="AO828" s="40"/>
      <c r="AP828" s="5"/>
      <c r="AR828" s="40"/>
      <c r="AS828" s="5"/>
      <c r="AU828" s="40"/>
      <c r="AV828" s="5"/>
      <c r="AX828" s="40"/>
      <c r="AY828" s="5"/>
      <c r="BA828" s="40"/>
      <c r="BB828" s="5"/>
      <c r="BD828" s="40"/>
      <c r="BE828" s="5"/>
      <c r="BG828" s="40"/>
      <c r="BH828" s="5"/>
      <c r="BJ828" s="40"/>
      <c r="BK828" s="5"/>
      <c r="BM828" s="40"/>
      <c r="BN828" s="5"/>
      <c r="BP828" s="40"/>
      <c r="BQ828" s="5"/>
      <c r="BS828" s="40"/>
      <c r="BT828" s="5"/>
      <c r="BV828" s="40"/>
      <c r="BW828" s="5"/>
      <c r="BY828" s="40"/>
      <c r="BZ828" s="5"/>
      <c r="CB828" s="40"/>
      <c r="CC828" s="5"/>
      <c r="CE828" s="40"/>
      <c r="CF828" s="5"/>
      <c r="CH828" s="40"/>
      <c r="CI828" s="5"/>
      <c r="CK828" s="40"/>
      <c r="CL828" s="5"/>
      <c r="CN828" s="40"/>
      <c r="CO828" s="5"/>
      <c r="CQ828" s="40"/>
      <c r="CR828" s="5"/>
    </row>
    <row r="829">
      <c r="AL829" s="40"/>
      <c r="AM829" s="5"/>
      <c r="AO829" s="40"/>
      <c r="AP829" s="5"/>
      <c r="AR829" s="40"/>
      <c r="AS829" s="5"/>
      <c r="AU829" s="40"/>
      <c r="AV829" s="5"/>
      <c r="AX829" s="40"/>
      <c r="AY829" s="5"/>
      <c r="BA829" s="40"/>
      <c r="BB829" s="5"/>
      <c r="BD829" s="40"/>
      <c r="BE829" s="5"/>
      <c r="BG829" s="40"/>
      <c r="BH829" s="5"/>
      <c r="BJ829" s="40"/>
      <c r="BK829" s="5"/>
      <c r="BM829" s="40"/>
      <c r="BN829" s="5"/>
      <c r="BP829" s="40"/>
      <c r="BQ829" s="5"/>
      <c r="BS829" s="40"/>
      <c r="BT829" s="5"/>
      <c r="BV829" s="40"/>
      <c r="BW829" s="5"/>
      <c r="BY829" s="40"/>
      <c r="BZ829" s="5"/>
      <c r="CB829" s="40"/>
      <c r="CC829" s="5"/>
      <c r="CE829" s="40"/>
      <c r="CF829" s="5"/>
      <c r="CH829" s="40"/>
      <c r="CI829" s="5"/>
      <c r="CK829" s="40"/>
      <c r="CL829" s="5"/>
      <c r="CN829" s="40"/>
      <c r="CO829" s="5"/>
      <c r="CQ829" s="40"/>
      <c r="CR829" s="5"/>
    </row>
    <row r="830">
      <c r="AL830" s="40"/>
      <c r="AM830" s="5"/>
      <c r="AO830" s="40"/>
      <c r="AP830" s="5"/>
      <c r="AR830" s="40"/>
      <c r="AS830" s="5"/>
      <c r="AU830" s="40"/>
      <c r="AV830" s="5"/>
      <c r="AX830" s="40"/>
      <c r="AY830" s="5"/>
      <c r="BA830" s="40"/>
      <c r="BB830" s="5"/>
      <c r="BD830" s="40"/>
      <c r="BE830" s="5"/>
      <c r="BG830" s="40"/>
      <c r="BH830" s="5"/>
      <c r="BJ830" s="40"/>
      <c r="BK830" s="5"/>
      <c r="BM830" s="40"/>
      <c r="BN830" s="5"/>
      <c r="BP830" s="40"/>
      <c r="BQ830" s="5"/>
      <c r="BS830" s="40"/>
      <c r="BT830" s="5"/>
      <c r="BV830" s="40"/>
      <c r="BW830" s="5"/>
      <c r="BY830" s="40"/>
      <c r="BZ830" s="5"/>
      <c r="CB830" s="40"/>
      <c r="CC830" s="5"/>
      <c r="CE830" s="40"/>
      <c r="CF830" s="5"/>
      <c r="CH830" s="40"/>
      <c r="CI830" s="5"/>
      <c r="CK830" s="40"/>
      <c r="CL830" s="5"/>
      <c r="CN830" s="40"/>
      <c r="CO830" s="5"/>
      <c r="CQ830" s="40"/>
      <c r="CR830" s="5"/>
    </row>
    <row r="831">
      <c r="AL831" s="40"/>
      <c r="AM831" s="5"/>
      <c r="AO831" s="40"/>
      <c r="AP831" s="5"/>
      <c r="AR831" s="40"/>
      <c r="AS831" s="5"/>
      <c r="AU831" s="40"/>
      <c r="AV831" s="5"/>
      <c r="AX831" s="40"/>
      <c r="AY831" s="5"/>
      <c r="BA831" s="40"/>
      <c r="BB831" s="5"/>
      <c r="BD831" s="40"/>
      <c r="BE831" s="5"/>
      <c r="BG831" s="40"/>
      <c r="BH831" s="5"/>
      <c r="BJ831" s="40"/>
      <c r="BK831" s="5"/>
      <c r="BM831" s="40"/>
      <c r="BN831" s="5"/>
      <c r="BP831" s="40"/>
      <c r="BQ831" s="5"/>
      <c r="BS831" s="40"/>
      <c r="BT831" s="5"/>
      <c r="BV831" s="40"/>
      <c r="BW831" s="5"/>
      <c r="BY831" s="40"/>
      <c r="BZ831" s="5"/>
      <c r="CB831" s="40"/>
      <c r="CC831" s="5"/>
      <c r="CE831" s="40"/>
      <c r="CF831" s="5"/>
      <c r="CH831" s="40"/>
      <c r="CI831" s="5"/>
      <c r="CK831" s="40"/>
      <c r="CL831" s="5"/>
      <c r="CN831" s="40"/>
      <c r="CO831" s="5"/>
      <c r="CQ831" s="40"/>
      <c r="CR831" s="5"/>
    </row>
    <row r="832">
      <c r="AL832" s="40"/>
      <c r="AM832" s="5"/>
      <c r="AO832" s="40"/>
      <c r="AP832" s="5"/>
      <c r="AR832" s="40"/>
      <c r="AS832" s="5"/>
      <c r="AU832" s="40"/>
      <c r="AV832" s="5"/>
      <c r="AX832" s="40"/>
      <c r="AY832" s="5"/>
      <c r="BA832" s="40"/>
      <c r="BB832" s="5"/>
      <c r="BD832" s="40"/>
      <c r="BE832" s="5"/>
      <c r="BG832" s="40"/>
      <c r="BH832" s="5"/>
      <c r="BJ832" s="40"/>
      <c r="BK832" s="5"/>
      <c r="BM832" s="40"/>
      <c r="BN832" s="5"/>
      <c r="BP832" s="40"/>
      <c r="BQ832" s="5"/>
      <c r="BS832" s="40"/>
      <c r="BT832" s="5"/>
      <c r="BV832" s="40"/>
      <c r="BW832" s="5"/>
      <c r="BY832" s="40"/>
      <c r="BZ832" s="5"/>
      <c r="CB832" s="40"/>
      <c r="CC832" s="5"/>
      <c r="CE832" s="40"/>
      <c r="CF832" s="5"/>
      <c r="CH832" s="40"/>
      <c r="CI832" s="5"/>
      <c r="CK832" s="40"/>
      <c r="CL832" s="5"/>
      <c r="CN832" s="40"/>
      <c r="CO832" s="5"/>
      <c r="CQ832" s="40"/>
      <c r="CR832" s="5"/>
    </row>
    <row r="833">
      <c r="AL833" s="40"/>
      <c r="AM833" s="5"/>
      <c r="AO833" s="40"/>
      <c r="AP833" s="5"/>
      <c r="AR833" s="40"/>
      <c r="AS833" s="5"/>
      <c r="AU833" s="40"/>
      <c r="AV833" s="5"/>
      <c r="AX833" s="40"/>
      <c r="AY833" s="5"/>
      <c r="BA833" s="40"/>
      <c r="BB833" s="5"/>
      <c r="BD833" s="40"/>
      <c r="BE833" s="5"/>
      <c r="BG833" s="40"/>
      <c r="BH833" s="5"/>
      <c r="BJ833" s="40"/>
      <c r="BK833" s="5"/>
      <c r="BM833" s="40"/>
      <c r="BN833" s="5"/>
      <c r="BP833" s="40"/>
      <c r="BQ833" s="5"/>
      <c r="BS833" s="40"/>
      <c r="BT833" s="5"/>
      <c r="BV833" s="40"/>
      <c r="BW833" s="5"/>
      <c r="BY833" s="40"/>
      <c r="BZ833" s="5"/>
      <c r="CB833" s="40"/>
      <c r="CC833" s="5"/>
      <c r="CE833" s="40"/>
      <c r="CF833" s="5"/>
      <c r="CH833" s="40"/>
      <c r="CI833" s="5"/>
      <c r="CK833" s="40"/>
      <c r="CL833" s="5"/>
      <c r="CN833" s="40"/>
      <c r="CO833" s="5"/>
      <c r="CQ833" s="40"/>
      <c r="CR833" s="5"/>
    </row>
    <row r="834">
      <c r="AL834" s="40"/>
      <c r="AM834" s="5"/>
      <c r="AO834" s="40"/>
      <c r="AP834" s="5"/>
      <c r="AR834" s="40"/>
      <c r="AS834" s="5"/>
      <c r="AU834" s="40"/>
      <c r="AV834" s="5"/>
      <c r="AX834" s="40"/>
      <c r="AY834" s="5"/>
      <c r="BA834" s="40"/>
      <c r="BB834" s="5"/>
      <c r="BD834" s="40"/>
      <c r="BE834" s="5"/>
      <c r="BG834" s="40"/>
      <c r="BH834" s="5"/>
      <c r="BJ834" s="40"/>
      <c r="BK834" s="5"/>
      <c r="BM834" s="40"/>
      <c r="BN834" s="5"/>
      <c r="BP834" s="40"/>
      <c r="BQ834" s="5"/>
      <c r="BS834" s="40"/>
      <c r="BT834" s="5"/>
      <c r="BV834" s="40"/>
      <c r="BW834" s="5"/>
      <c r="BY834" s="40"/>
      <c r="BZ834" s="5"/>
      <c r="CB834" s="40"/>
      <c r="CC834" s="5"/>
      <c r="CE834" s="40"/>
      <c r="CF834" s="5"/>
      <c r="CH834" s="40"/>
      <c r="CI834" s="5"/>
      <c r="CK834" s="40"/>
      <c r="CL834" s="5"/>
      <c r="CN834" s="40"/>
      <c r="CO834" s="5"/>
      <c r="CQ834" s="40"/>
      <c r="CR834" s="5"/>
    </row>
    <row r="835">
      <c r="AL835" s="40"/>
      <c r="AM835" s="5"/>
      <c r="AO835" s="40"/>
      <c r="AP835" s="5"/>
      <c r="AR835" s="40"/>
      <c r="AS835" s="5"/>
      <c r="AU835" s="40"/>
      <c r="AV835" s="5"/>
      <c r="AX835" s="40"/>
      <c r="AY835" s="5"/>
      <c r="BA835" s="40"/>
      <c r="BB835" s="5"/>
      <c r="BD835" s="40"/>
      <c r="BE835" s="5"/>
      <c r="BG835" s="40"/>
      <c r="BH835" s="5"/>
      <c r="BJ835" s="40"/>
      <c r="BK835" s="5"/>
      <c r="BM835" s="40"/>
      <c r="BN835" s="5"/>
      <c r="BP835" s="40"/>
      <c r="BQ835" s="5"/>
      <c r="BS835" s="40"/>
      <c r="BT835" s="5"/>
      <c r="BV835" s="40"/>
      <c r="BW835" s="5"/>
      <c r="BY835" s="40"/>
      <c r="BZ835" s="5"/>
      <c r="CB835" s="40"/>
      <c r="CC835" s="5"/>
      <c r="CE835" s="40"/>
      <c r="CF835" s="5"/>
      <c r="CH835" s="40"/>
      <c r="CI835" s="5"/>
      <c r="CK835" s="40"/>
      <c r="CL835" s="5"/>
      <c r="CN835" s="40"/>
      <c r="CO835" s="5"/>
      <c r="CQ835" s="40"/>
      <c r="CR835" s="5"/>
    </row>
    <row r="836">
      <c r="AL836" s="40"/>
      <c r="AM836" s="5"/>
      <c r="AO836" s="40"/>
      <c r="AP836" s="5"/>
      <c r="AR836" s="40"/>
      <c r="AS836" s="5"/>
      <c r="AU836" s="40"/>
      <c r="AV836" s="5"/>
      <c r="AX836" s="40"/>
      <c r="AY836" s="5"/>
      <c r="BA836" s="40"/>
      <c r="BB836" s="5"/>
      <c r="BD836" s="40"/>
      <c r="BE836" s="5"/>
      <c r="BG836" s="40"/>
      <c r="BH836" s="5"/>
      <c r="BJ836" s="40"/>
      <c r="BK836" s="5"/>
      <c r="BM836" s="40"/>
      <c r="BN836" s="5"/>
      <c r="BP836" s="40"/>
      <c r="BQ836" s="5"/>
      <c r="BS836" s="40"/>
      <c r="BT836" s="5"/>
      <c r="BV836" s="40"/>
      <c r="BW836" s="5"/>
      <c r="BY836" s="40"/>
      <c r="BZ836" s="5"/>
      <c r="CB836" s="40"/>
      <c r="CC836" s="5"/>
      <c r="CE836" s="40"/>
      <c r="CF836" s="5"/>
      <c r="CH836" s="40"/>
      <c r="CI836" s="5"/>
      <c r="CK836" s="40"/>
      <c r="CL836" s="5"/>
      <c r="CN836" s="40"/>
      <c r="CO836" s="5"/>
      <c r="CQ836" s="40"/>
      <c r="CR836" s="5"/>
    </row>
    <row r="837">
      <c r="AL837" s="40"/>
      <c r="AM837" s="5"/>
      <c r="AO837" s="40"/>
      <c r="AP837" s="5"/>
      <c r="AR837" s="40"/>
      <c r="AS837" s="5"/>
      <c r="AU837" s="40"/>
      <c r="AV837" s="5"/>
      <c r="AX837" s="40"/>
      <c r="AY837" s="5"/>
      <c r="BA837" s="40"/>
      <c r="BB837" s="5"/>
      <c r="BD837" s="40"/>
      <c r="BE837" s="5"/>
      <c r="BG837" s="40"/>
      <c r="BH837" s="5"/>
      <c r="BJ837" s="40"/>
      <c r="BK837" s="5"/>
      <c r="BM837" s="40"/>
      <c r="BN837" s="5"/>
      <c r="BP837" s="40"/>
      <c r="BQ837" s="5"/>
      <c r="BS837" s="40"/>
      <c r="BT837" s="5"/>
      <c r="BV837" s="40"/>
      <c r="BW837" s="5"/>
      <c r="BY837" s="40"/>
      <c r="BZ837" s="5"/>
      <c r="CB837" s="40"/>
      <c r="CC837" s="5"/>
      <c r="CE837" s="40"/>
      <c r="CF837" s="5"/>
      <c r="CH837" s="40"/>
      <c r="CI837" s="5"/>
      <c r="CK837" s="40"/>
      <c r="CL837" s="5"/>
      <c r="CN837" s="40"/>
      <c r="CO837" s="5"/>
      <c r="CQ837" s="40"/>
      <c r="CR837" s="5"/>
    </row>
    <row r="838">
      <c r="AL838" s="40"/>
      <c r="AM838" s="5"/>
      <c r="AO838" s="40"/>
      <c r="AP838" s="5"/>
      <c r="AR838" s="40"/>
      <c r="AS838" s="5"/>
      <c r="AU838" s="40"/>
      <c r="AV838" s="5"/>
      <c r="AX838" s="40"/>
      <c r="AY838" s="5"/>
      <c r="BA838" s="40"/>
      <c r="BB838" s="5"/>
      <c r="BD838" s="40"/>
      <c r="BE838" s="5"/>
      <c r="BG838" s="40"/>
      <c r="BH838" s="5"/>
      <c r="BJ838" s="40"/>
      <c r="BK838" s="5"/>
      <c r="BM838" s="40"/>
      <c r="BN838" s="5"/>
      <c r="BP838" s="40"/>
      <c r="BQ838" s="5"/>
      <c r="BS838" s="40"/>
      <c r="BT838" s="5"/>
      <c r="BV838" s="40"/>
      <c r="BW838" s="5"/>
      <c r="BY838" s="40"/>
      <c r="BZ838" s="5"/>
      <c r="CB838" s="40"/>
      <c r="CC838" s="5"/>
      <c r="CE838" s="40"/>
      <c r="CF838" s="5"/>
      <c r="CH838" s="40"/>
      <c r="CI838" s="5"/>
      <c r="CK838" s="40"/>
      <c r="CL838" s="5"/>
      <c r="CN838" s="40"/>
      <c r="CO838" s="5"/>
      <c r="CQ838" s="40"/>
      <c r="CR838" s="5"/>
    </row>
    <row r="839">
      <c r="AL839" s="40"/>
      <c r="AM839" s="5"/>
      <c r="AO839" s="40"/>
      <c r="AP839" s="5"/>
      <c r="AR839" s="40"/>
      <c r="AS839" s="5"/>
      <c r="AU839" s="40"/>
      <c r="AV839" s="5"/>
      <c r="AX839" s="40"/>
      <c r="AY839" s="5"/>
      <c r="BA839" s="40"/>
      <c r="BB839" s="5"/>
      <c r="BD839" s="40"/>
      <c r="BE839" s="5"/>
      <c r="BG839" s="40"/>
      <c r="BH839" s="5"/>
      <c r="BJ839" s="40"/>
      <c r="BK839" s="5"/>
      <c r="BM839" s="40"/>
      <c r="BN839" s="5"/>
      <c r="BP839" s="40"/>
      <c r="BQ839" s="5"/>
      <c r="BS839" s="40"/>
      <c r="BT839" s="5"/>
      <c r="BV839" s="40"/>
      <c r="BW839" s="5"/>
      <c r="BY839" s="40"/>
      <c r="BZ839" s="5"/>
      <c r="CB839" s="40"/>
      <c r="CC839" s="5"/>
      <c r="CE839" s="40"/>
      <c r="CF839" s="5"/>
      <c r="CH839" s="40"/>
      <c r="CI839" s="5"/>
      <c r="CK839" s="40"/>
      <c r="CL839" s="5"/>
      <c r="CN839" s="40"/>
      <c r="CO839" s="5"/>
      <c r="CQ839" s="40"/>
      <c r="CR839" s="5"/>
    </row>
    <row r="840">
      <c r="AL840" s="40"/>
      <c r="AM840" s="5"/>
      <c r="AO840" s="40"/>
      <c r="AP840" s="5"/>
      <c r="AR840" s="40"/>
      <c r="AS840" s="5"/>
      <c r="AU840" s="40"/>
      <c r="AV840" s="5"/>
      <c r="AX840" s="40"/>
      <c r="AY840" s="5"/>
      <c r="BA840" s="40"/>
      <c r="BB840" s="5"/>
      <c r="BD840" s="40"/>
      <c r="BE840" s="5"/>
      <c r="BG840" s="40"/>
      <c r="BH840" s="5"/>
      <c r="BJ840" s="40"/>
      <c r="BK840" s="5"/>
      <c r="BM840" s="40"/>
      <c r="BN840" s="5"/>
      <c r="BP840" s="40"/>
      <c r="BQ840" s="5"/>
      <c r="BS840" s="40"/>
      <c r="BT840" s="5"/>
      <c r="BV840" s="40"/>
      <c r="BW840" s="5"/>
      <c r="BY840" s="40"/>
      <c r="BZ840" s="5"/>
      <c r="CB840" s="40"/>
      <c r="CC840" s="5"/>
      <c r="CE840" s="40"/>
      <c r="CF840" s="5"/>
      <c r="CH840" s="40"/>
      <c r="CI840" s="5"/>
      <c r="CK840" s="40"/>
      <c r="CL840" s="5"/>
      <c r="CN840" s="40"/>
      <c r="CO840" s="5"/>
      <c r="CQ840" s="40"/>
      <c r="CR840" s="5"/>
    </row>
    <row r="841">
      <c r="AL841" s="40"/>
      <c r="AM841" s="5"/>
      <c r="AO841" s="40"/>
      <c r="AP841" s="5"/>
      <c r="AR841" s="40"/>
      <c r="AS841" s="5"/>
      <c r="AU841" s="40"/>
      <c r="AV841" s="5"/>
      <c r="AX841" s="40"/>
      <c r="AY841" s="5"/>
      <c r="BA841" s="40"/>
      <c r="BB841" s="5"/>
      <c r="BD841" s="40"/>
      <c r="BE841" s="5"/>
      <c r="BG841" s="40"/>
      <c r="BH841" s="5"/>
      <c r="BJ841" s="40"/>
      <c r="BK841" s="5"/>
      <c r="BM841" s="40"/>
      <c r="BN841" s="5"/>
      <c r="BP841" s="40"/>
      <c r="BQ841" s="5"/>
      <c r="BS841" s="40"/>
      <c r="BT841" s="5"/>
      <c r="BV841" s="40"/>
      <c r="BW841" s="5"/>
      <c r="BY841" s="40"/>
      <c r="BZ841" s="5"/>
      <c r="CB841" s="40"/>
      <c r="CC841" s="5"/>
      <c r="CE841" s="40"/>
      <c r="CF841" s="5"/>
      <c r="CH841" s="40"/>
      <c r="CI841" s="5"/>
      <c r="CK841" s="40"/>
      <c r="CL841" s="5"/>
      <c r="CN841" s="40"/>
      <c r="CO841" s="5"/>
      <c r="CQ841" s="40"/>
      <c r="CR841" s="5"/>
    </row>
    <row r="842">
      <c r="AL842" s="40"/>
      <c r="AM842" s="5"/>
      <c r="AO842" s="40"/>
      <c r="AP842" s="5"/>
      <c r="AR842" s="40"/>
      <c r="AS842" s="5"/>
      <c r="AU842" s="40"/>
      <c r="AV842" s="5"/>
      <c r="AX842" s="40"/>
      <c r="AY842" s="5"/>
      <c r="BA842" s="40"/>
      <c r="BB842" s="5"/>
      <c r="BD842" s="40"/>
      <c r="BE842" s="5"/>
      <c r="BG842" s="40"/>
      <c r="BH842" s="5"/>
      <c r="BJ842" s="40"/>
      <c r="BK842" s="5"/>
      <c r="BM842" s="40"/>
      <c r="BN842" s="5"/>
      <c r="BP842" s="40"/>
      <c r="BQ842" s="5"/>
      <c r="BS842" s="40"/>
      <c r="BT842" s="5"/>
      <c r="BV842" s="40"/>
      <c r="BW842" s="5"/>
      <c r="BY842" s="40"/>
      <c r="BZ842" s="5"/>
      <c r="CB842" s="40"/>
      <c r="CC842" s="5"/>
      <c r="CE842" s="40"/>
      <c r="CF842" s="5"/>
      <c r="CH842" s="40"/>
      <c r="CI842" s="5"/>
      <c r="CK842" s="40"/>
      <c r="CL842" s="5"/>
      <c r="CN842" s="40"/>
      <c r="CO842" s="5"/>
      <c r="CQ842" s="40"/>
      <c r="CR842" s="5"/>
    </row>
    <row r="843">
      <c r="AL843" s="40"/>
      <c r="AM843" s="5"/>
      <c r="AO843" s="40"/>
      <c r="AP843" s="5"/>
      <c r="AR843" s="40"/>
      <c r="AS843" s="5"/>
      <c r="AU843" s="40"/>
      <c r="AV843" s="5"/>
      <c r="AX843" s="40"/>
      <c r="AY843" s="5"/>
      <c r="BA843" s="40"/>
      <c r="BB843" s="5"/>
      <c r="BD843" s="40"/>
      <c r="BE843" s="5"/>
      <c r="BG843" s="40"/>
      <c r="BH843" s="5"/>
      <c r="BJ843" s="40"/>
      <c r="BK843" s="5"/>
      <c r="BM843" s="40"/>
      <c r="BN843" s="5"/>
      <c r="BP843" s="40"/>
      <c r="BQ843" s="5"/>
      <c r="BS843" s="40"/>
      <c r="BT843" s="5"/>
      <c r="BV843" s="40"/>
      <c r="BW843" s="5"/>
      <c r="BY843" s="40"/>
      <c r="BZ843" s="5"/>
      <c r="CB843" s="40"/>
      <c r="CC843" s="5"/>
      <c r="CE843" s="40"/>
      <c r="CF843" s="5"/>
      <c r="CH843" s="40"/>
      <c r="CI843" s="5"/>
      <c r="CK843" s="40"/>
      <c r="CL843" s="5"/>
      <c r="CN843" s="40"/>
      <c r="CO843" s="5"/>
      <c r="CQ843" s="40"/>
      <c r="CR843" s="5"/>
    </row>
    <row r="844">
      <c r="AL844" s="40"/>
      <c r="AM844" s="5"/>
      <c r="AO844" s="40"/>
      <c r="AP844" s="5"/>
      <c r="AR844" s="40"/>
      <c r="AS844" s="5"/>
      <c r="AU844" s="40"/>
      <c r="AV844" s="5"/>
      <c r="AX844" s="40"/>
      <c r="AY844" s="5"/>
      <c r="BA844" s="40"/>
      <c r="BB844" s="5"/>
      <c r="BD844" s="40"/>
      <c r="BE844" s="5"/>
      <c r="BG844" s="40"/>
      <c r="BH844" s="5"/>
      <c r="BJ844" s="40"/>
      <c r="BK844" s="5"/>
      <c r="BM844" s="40"/>
      <c r="BN844" s="5"/>
      <c r="BP844" s="40"/>
      <c r="BQ844" s="5"/>
      <c r="BS844" s="40"/>
      <c r="BT844" s="5"/>
      <c r="BV844" s="40"/>
      <c r="BW844" s="5"/>
      <c r="BY844" s="40"/>
      <c r="BZ844" s="5"/>
      <c r="CB844" s="40"/>
      <c r="CC844" s="5"/>
      <c r="CE844" s="40"/>
      <c r="CF844" s="5"/>
      <c r="CH844" s="40"/>
      <c r="CI844" s="5"/>
      <c r="CK844" s="40"/>
      <c r="CL844" s="5"/>
      <c r="CN844" s="40"/>
      <c r="CO844" s="5"/>
      <c r="CQ844" s="40"/>
      <c r="CR844" s="5"/>
    </row>
    <row r="845">
      <c r="AL845" s="40"/>
      <c r="AM845" s="5"/>
      <c r="AO845" s="40"/>
      <c r="AP845" s="5"/>
      <c r="AR845" s="40"/>
      <c r="AS845" s="5"/>
      <c r="AU845" s="40"/>
      <c r="AV845" s="5"/>
      <c r="AX845" s="40"/>
      <c r="AY845" s="5"/>
      <c r="BA845" s="40"/>
      <c r="BB845" s="5"/>
      <c r="BD845" s="40"/>
      <c r="BE845" s="5"/>
      <c r="BG845" s="40"/>
      <c r="BH845" s="5"/>
      <c r="BJ845" s="40"/>
      <c r="BK845" s="5"/>
      <c r="BM845" s="40"/>
      <c r="BN845" s="5"/>
      <c r="BP845" s="40"/>
      <c r="BQ845" s="5"/>
      <c r="BS845" s="40"/>
      <c r="BT845" s="5"/>
      <c r="BV845" s="40"/>
      <c r="BW845" s="5"/>
      <c r="BY845" s="40"/>
      <c r="BZ845" s="5"/>
      <c r="CB845" s="40"/>
      <c r="CC845" s="5"/>
      <c r="CE845" s="40"/>
      <c r="CF845" s="5"/>
      <c r="CH845" s="40"/>
      <c r="CI845" s="5"/>
      <c r="CK845" s="40"/>
      <c r="CL845" s="5"/>
      <c r="CN845" s="40"/>
      <c r="CO845" s="5"/>
      <c r="CQ845" s="40"/>
      <c r="CR845" s="5"/>
    </row>
    <row r="846">
      <c r="AL846" s="40"/>
      <c r="AM846" s="5"/>
      <c r="AO846" s="40"/>
      <c r="AP846" s="5"/>
      <c r="AR846" s="40"/>
      <c r="AS846" s="5"/>
      <c r="AU846" s="40"/>
      <c r="AV846" s="5"/>
      <c r="AX846" s="40"/>
      <c r="AY846" s="5"/>
      <c r="BA846" s="40"/>
      <c r="BB846" s="5"/>
      <c r="BD846" s="40"/>
      <c r="BE846" s="5"/>
      <c r="BG846" s="40"/>
      <c r="BH846" s="5"/>
      <c r="BJ846" s="40"/>
      <c r="BK846" s="5"/>
      <c r="BM846" s="40"/>
      <c r="BN846" s="5"/>
      <c r="BP846" s="40"/>
      <c r="BQ846" s="5"/>
      <c r="BS846" s="40"/>
      <c r="BT846" s="5"/>
      <c r="BV846" s="40"/>
      <c r="BW846" s="5"/>
      <c r="BY846" s="40"/>
      <c r="BZ846" s="5"/>
      <c r="CB846" s="40"/>
      <c r="CC846" s="5"/>
      <c r="CE846" s="40"/>
      <c r="CF846" s="5"/>
      <c r="CH846" s="40"/>
      <c r="CI846" s="5"/>
      <c r="CK846" s="40"/>
      <c r="CL846" s="5"/>
      <c r="CN846" s="40"/>
      <c r="CO846" s="5"/>
      <c r="CQ846" s="40"/>
      <c r="CR846" s="5"/>
    </row>
    <row r="847">
      <c r="AL847" s="40"/>
      <c r="AM847" s="5"/>
      <c r="AO847" s="40"/>
      <c r="AP847" s="5"/>
      <c r="AR847" s="40"/>
      <c r="AS847" s="5"/>
      <c r="AU847" s="40"/>
      <c r="AV847" s="5"/>
      <c r="AX847" s="40"/>
      <c r="AY847" s="5"/>
      <c r="BA847" s="40"/>
      <c r="BB847" s="5"/>
      <c r="BD847" s="40"/>
      <c r="BE847" s="5"/>
      <c r="BG847" s="40"/>
      <c r="BH847" s="5"/>
      <c r="BJ847" s="40"/>
      <c r="BK847" s="5"/>
      <c r="BM847" s="40"/>
      <c r="BN847" s="5"/>
      <c r="BP847" s="40"/>
      <c r="BQ847" s="5"/>
      <c r="BS847" s="40"/>
      <c r="BT847" s="5"/>
      <c r="BV847" s="40"/>
      <c r="BW847" s="5"/>
      <c r="BY847" s="40"/>
      <c r="BZ847" s="5"/>
      <c r="CB847" s="40"/>
      <c r="CC847" s="5"/>
      <c r="CE847" s="40"/>
      <c r="CF847" s="5"/>
      <c r="CH847" s="40"/>
      <c r="CI847" s="5"/>
      <c r="CK847" s="40"/>
      <c r="CL847" s="5"/>
      <c r="CN847" s="40"/>
      <c r="CO847" s="5"/>
      <c r="CQ847" s="40"/>
      <c r="CR847" s="5"/>
    </row>
    <row r="848">
      <c r="AL848" s="40"/>
      <c r="AM848" s="5"/>
      <c r="AO848" s="40"/>
      <c r="AP848" s="5"/>
      <c r="AR848" s="40"/>
      <c r="AS848" s="5"/>
      <c r="AU848" s="40"/>
      <c r="AV848" s="5"/>
      <c r="AX848" s="40"/>
      <c r="AY848" s="5"/>
      <c r="BA848" s="40"/>
      <c r="BB848" s="5"/>
      <c r="BD848" s="40"/>
      <c r="BE848" s="5"/>
      <c r="BG848" s="40"/>
      <c r="BH848" s="5"/>
      <c r="BJ848" s="40"/>
      <c r="BK848" s="5"/>
      <c r="BM848" s="40"/>
      <c r="BN848" s="5"/>
      <c r="BP848" s="40"/>
      <c r="BQ848" s="5"/>
      <c r="BS848" s="40"/>
      <c r="BT848" s="5"/>
      <c r="BV848" s="40"/>
      <c r="BW848" s="5"/>
      <c r="BY848" s="40"/>
      <c r="BZ848" s="5"/>
      <c r="CB848" s="40"/>
      <c r="CC848" s="5"/>
      <c r="CE848" s="40"/>
      <c r="CF848" s="5"/>
      <c r="CH848" s="40"/>
      <c r="CI848" s="5"/>
      <c r="CK848" s="40"/>
      <c r="CL848" s="5"/>
      <c r="CN848" s="40"/>
      <c r="CO848" s="5"/>
      <c r="CQ848" s="40"/>
      <c r="CR848" s="5"/>
    </row>
    <row r="849">
      <c r="AL849" s="40"/>
      <c r="AM849" s="5"/>
      <c r="AO849" s="40"/>
      <c r="AP849" s="5"/>
      <c r="AR849" s="40"/>
      <c r="AS849" s="5"/>
      <c r="AU849" s="40"/>
      <c r="AV849" s="5"/>
      <c r="AX849" s="40"/>
      <c r="AY849" s="5"/>
      <c r="BA849" s="40"/>
      <c r="BB849" s="5"/>
      <c r="BD849" s="40"/>
      <c r="BE849" s="5"/>
      <c r="BG849" s="40"/>
      <c r="BH849" s="5"/>
      <c r="BJ849" s="40"/>
      <c r="BK849" s="5"/>
      <c r="BM849" s="40"/>
      <c r="BN849" s="5"/>
      <c r="BP849" s="40"/>
      <c r="BQ849" s="5"/>
      <c r="BS849" s="40"/>
      <c r="BT849" s="5"/>
      <c r="BV849" s="40"/>
      <c r="BW849" s="5"/>
      <c r="BY849" s="40"/>
      <c r="BZ849" s="5"/>
      <c r="CB849" s="40"/>
      <c r="CC849" s="5"/>
      <c r="CE849" s="40"/>
      <c r="CF849" s="5"/>
      <c r="CH849" s="40"/>
      <c r="CI849" s="5"/>
      <c r="CK849" s="40"/>
      <c r="CL849" s="5"/>
      <c r="CN849" s="40"/>
      <c r="CO849" s="5"/>
      <c r="CQ849" s="40"/>
      <c r="CR849" s="5"/>
    </row>
    <row r="850">
      <c r="AL850" s="40"/>
      <c r="AM850" s="5"/>
      <c r="AO850" s="40"/>
      <c r="AP850" s="5"/>
      <c r="AR850" s="40"/>
      <c r="AS850" s="5"/>
      <c r="AU850" s="40"/>
      <c r="AV850" s="5"/>
      <c r="AX850" s="40"/>
      <c r="AY850" s="5"/>
      <c r="BA850" s="40"/>
      <c r="BB850" s="5"/>
      <c r="BD850" s="40"/>
      <c r="BE850" s="5"/>
      <c r="BG850" s="40"/>
      <c r="BH850" s="5"/>
      <c r="BJ850" s="40"/>
      <c r="BK850" s="5"/>
      <c r="BM850" s="40"/>
      <c r="BN850" s="5"/>
      <c r="BP850" s="40"/>
      <c r="BQ850" s="5"/>
      <c r="BS850" s="40"/>
      <c r="BT850" s="5"/>
      <c r="BV850" s="40"/>
      <c r="BW850" s="5"/>
      <c r="BY850" s="40"/>
      <c r="BZ850" s="5"/>
      <c r="CB850" s="40"/>
      <c r="CC850" s="5"/>
      <c r="CE850" s="40"/>
      <c r="CF850" s="5"/>
      <c r="CH850" s="40"/>
      <c r="CI850" s="5"/>
      <c r="CK850" s="40"/>
      <c r="CL850" s="5"/>
      <c r="CN850" s="40"/>
      <c r="CO850" s="5"/>
      <c r="CQ850" s="40"/>
      <c r="CR850" s="5"/>
    </row>
    <row r="851">
      <c r="AL851" s="40"/>
      <c r="AM851" s="5"/>
      <c r="AO851" s="40"/>
      <c r="AP851" s="5"/>
      <c r="AR851" s="40"/>
      <c r="AS851" s="5"/>
      <c r="AU851" s="40"/>
      <c r="AV851" s="5"/>
      <c r="AX851" s="40"/>
      <c r="AY851" s="5"/>
      <c r="BA851" s="40"/>
      <c r="BB851" s="5"/>
      <c r="BD851" s="40"/>
      <c r="BE851" s="5"/>
      <c r="BG851" s="40"/>
      <c r="BH851" s="5"/>
      <c r="BJ851" s="40"/>
      <c r="BK851" s="5"/>
      <c r="BM851" s="40"/>
      <c r="BN851" s="5"/>
      <c r="BP851" s="40"/>
      <c r="BQ851" s="5"/>
      <c r="BS851" s="40"/>
      <c r="BT851" s="5"/>
      <c r="BV851" s="40"/>
      <c r="BW851" s="5"/>
      <c r="BY851" s="40"/>
      <c r="BZ851" s="5"/>
      <c r="CB851" s="40"/>
      <c r="CC851" s="5"/>
      <c r="CE851" s="40"/>
      <c r="CF851" s="5"/>
      <c r="CH851" s="40"/>
      <c r="CI851" s="5"/>
      <c r="CK851" s="40"/>
      <c r="CL851" s="5"/>
      <c r="CN851" s="40"/>
      <c r="CO851" s="5"/>
      <c r="CQ851" s="40"/>
      <c r="CR851" s="5"/>
    </row>
    <row r="852">
      <c r="AL852" s="40"/>
      <c r="AM852" s="5"/>
      <c r="AO852" s="40"/>
      <c r="AP852" s="5"/>
      <c r="AR852" s="40"/>
      <c r="AS852" s="5"/>
      <c r="AU852" s="40"/>
      <c r="AV852" s="5"/>
      <c r="AX852" s="40"/>
      <c r="AY852" s="5"/>
      <c r="BA852" s="40"/>
      <c r="BB852" s="5"/>
      <c r="BD852" s="40"/>
      <c r="BE852" s="5"/>
      <c r="BG852" s="40"/>
      <c r="BH852" s="5"/>
      <c r="BJ852" s="40"/>
      <c r="BK852" s="5"/>
      <c r="BM852" s="40"/>
      <c r="BN852" s="5"/>
      <c r="BP852" s="40"/>
      <c r="BQ852" s="5"/>
      <c r="BS852" s="40"/>
      <c r="BT852" s="5"/>
      <c r="BV852" s="40"/>
      <c r="BW852" s="5"/>
      <c r="BY852" s="40"/>
      <c r="BZ852" s="5"/>
      <c r="CB852" s="40"/>
      <c r="CC852" s="5"/>
      <c r="CE852" s="40"/>
      <c r="CF852" s="5"/>
      <c r="CH852" s="40"/>
      <c r="CI852" s="5"/>
      <c r="CK852" s="40"/>
      <c r="CL852" s="5"/>
      <c r="CN852" s="40"/>
      <c r="CO852" s="5"/>
      <c r="CQ852" s="40"/>
      <c r="CR852" s="5"/>
    </row>
    <row r="853">
      <c r="AL853" s="40"/>
      <c r="AM853" s="5"/>
      <c r="AO853" s="40"/>
      <c r="AP853" s="5"/>
      <c r="AR853" s="40"/>
      <c r="AS853" s="5"/>
      <c r="AU853" s="40"/>
      <c r="AV853" s="5"/>
      <c r="AX853" s="40"/>
      <c r="AY853" s="5"/>
      <c r="BA853" s="40"/>
      <c r="BB853" s="5"/>
      <c r="BD853" s="40"/>
      <c r="BE853" s="5"/>
      <c r="BG853" s="40"/>
      <c r="BH853" s="5"/>
      <c r="BJ853" s="40"/>
      <c r="BK853" s="5"/>
      <c r="BM853" s="40"/>
      <c r="BN853" s="5"/>
      <c r="BP853" s="40"/>
      <c r="BQ853" s="5"/>
      <c r="BS853" s="40"/>
      <c r="BT853" s="5"/>
      <c r="BV853" s="40"/>
      <c r="BW853" s="5"/>
      <c r="BY853" s="40"/>
      <c r="BZ853" s="5"/>
      <c r="CB853" s="40"/>
      <c r="CC853" s="5"/>
      <c r="CE853" s="40"/>
      <c r="CF853" s="5"/>
      <c r="CH853" s="40"/>
      <c r="CI853" s="5"/>
      <c r="CK853" s="40"/>
      <c r="CL853" s="5"/>
      <c r="CN853" s="40"/>
      <c r="CO853" s="5"/>
      <c r="CQ853" s="40"/>
      <c r="CR853" s="5"/>
    </row>
    <row r="854">
      <c r="AL854" s="40"/>
      <c r="AM854" s="5"/>
      <c r="AO854" s="40"/>
      <c r="AP854" s="5"/>
      <c r="AR854" s="40"/>
      <c r="AS854" s="5"/>
      <c r="AU854" s="40"/>
      <c r="AV854" s="5"/>
      <c r="AX854" s="40"/>
      <c r="AY854" s="5"/>
      <c r="BA854" s="40"/>
      <c r="BB854" s="5"/>
      <c r="BD854" s="40"/>
      <c r="BE854" s="5"/>
      <c r="BG854" s="40"/>
      <c r="BH854" s="5"/>
      <c r="BJ854" s="40"/>
      <c r="BK854" s="5"/>
      <c r="BM854" s="40"/>
      <c r="BN854" s="5"/>
      <c r="BP854" s="40"/>
      <c r="BQ854" s="5"/>
      <c r="BS854" s="40"/>
      <c r="BT854" s="5"/>
      <c r="BV854" s="40"/>
      <c r="BW854" s="5"/>
      <c r="BY854" s="40"/>
      <c r="BZ854" s="5"/>
      <c r="CB854" s="40"/>
      <c r="CC854" s="5"/>
      <c r="CE854" s="40"/>
      <c r="CF854" s="5"/>
      <c r="CH854" s="40"/>
      <c r="CI854" s="5"/>
      <c r="CK854" s="40"/>
      <c r="CL854" s="5"/>
      <c r="CN854" s="40"/>
      <c r="CO854" s="5"/>
      <c r="CQ854" s="40"/>
      <c r="CR854" s="5"/>
    </row>
    <row r="855">
      <c r="AL855" s="40"/>
      <c r="AM855" s="5"/>
      <c r="AO855" s="40"/>
      <c r="AP855" s="5"/>
      <c r="AR855" s="40"/>
      <c r="AS855" s="5"/>
      <c r="AU855" s="40"/>
      <c r="AV855" s="5"/>
      <c r="AX855" s="40"/>
      <c r="AY855" s="5"/>
      <c r="BA855" s="40"/>
      <c r="BB855" s="5"/>
      <c r="BD855" s="40"/>
      <c r="BE855" s="5"/>
      <c r="BG855" s="40"/>
      <c r="BH855" s="5"/>
      <c r="BJ855" s="40"/>
      <c r="BK855" s="5"/>
      <c r="BM855" s="40"/>
      <c r="BN855" s="5"/>
      <c r="BP855" s="40"/>
      <c r="BQ855" s="5"/>
      <c r="BS855" s="40"/>
      <c r="BT855" s="5"/>
      <c r="BV855" s="40"/>
      <c r="BW855" s="5"/>
      <c r="BY855" s="40"/>
      <c r="BZ855" s="5"/>
      <c r="CB855" s="40"/>
      <c r="CC855" s="5"/>
      <c r="CE855" s="40"/>
      <c r="CF855" s="5"/>
      <c r="CH855" s="40"/>
      <c r="CI855" s="5"/>
      <c r="CK855" s="40"/>
      <c r="CL855" s="5"/>
      <c r="CN855" s="40"/>
      <c r="CO855" s="5"/>
      <c r="CQ855" s="40"/>
      <c r="CR855" s="5"/>
    </row>
    <row r="856">
      <c r="AL856" s="40"/>
      <c r="AM856" s="5"/>
      <c r="AO856" s="40"/>
      <c r="AP856" s="5"/>
      <c r="AR856" s="40"/>
      <c r="AS856" s="5"/>
      <c r="AU856" s="40"/>
      <c r="AV856" s="5"/>
      <c r="AX856" s="40"/>
      <c r="AY856" s="5"/>
      <c r="BA856" s="40"/>
      <c r="BB856" s="5"/>
      <c r="BD856" s="40"/>
      <c r="BE856" s="5"/>
      <c r="BG856" s="40"/>
      <c r="BH856" s="5"/>
      <c r="BJ856" s="40"/>
      <c r="BK856" s="5"/>
      <c r="BM856" s="40"/>
      <c r="BN856" s="5"/>
      <c r="BP856" s="40"/>
      <c r="BQ856" s="5"/>
      <c r="BS856" s="40"/>
      <c r="BT856" s="5"/>
      <c r="BV856" s="40"/>
      <c r="BW856" s="5"/>
      <c r="BY856" s="40"/>
      <c r="BZ856" s="5"/>
      <c r="CB856" s="40"/>
      <c r="CC856" s="5"/>
      <c r="CE856" s="40"/>
      <c r="CF856" s="5"/>
      <c r="CH856" s="40"/>
      <c r="CI856" s="5"/>
      <c r="CK856" s="40"/>
      <c r="CL856" s="5"/>
      <c r="CN856" s="40"/>
      <c r="CO856" s="5"/>
      <c r="CQ856" s="40"/>
      <c r="CR856" s="5"/>
    </row>
    <row r="857">
      <c r="AL857" s="40"/>
      <c r="AM857" s="5"/>
      <c r="AO857" s="40"/>
      <c r="AP857" s="5"/>
      <c r="AR857" s="40"/>
      <c r="AS857" s="5"/>
      <c r="AU857" s="40"/>
      <c r="AV857" s="5"/>
      <c r="AX857" s="40"/>
      <c r="AY857" s="5"/>
      <c r="BA857" s="40"/>
      <c r="BB857" s="5"/>
      <c r="BD857" s="40"/>
      <c r="BE857" s="5"/>
      <c r="BG857" s="40"/>
      <c r="BH857" s="5"/>
      <c r="BJ857" s="40"/>
      <c r="BK857" s="5"/>
      <c r="BM857" s="40"/>
      <c r="BN857" s="5"/>
      <c r="BP857" s="40"/>
      <c r="BQ857" s="5"/>
      <c r="BS857" s="40"/>
      <c r="BT857" s="5"/>
      <c r="BV857" s="40"/>
      <c r="BW857" s="5"/>
      <c r="BY857" s="40"/>
      <c r="BZ857" s="5"/>
      <c r="CB857" s="40"/>
      <c r="CC857" s="5"/>
      <c r="CE857" s="40"/>
      <c r="CF857" s="5"/>
      <c r="CH857" s="40"/>
      <c r="CI857" s="5"/>
      <c r="CK857" s="40"/>
      <c r="CL857" s="5"/>
      <c r="CN857" s="40"/>
      <c r="CO857" s="5"/>
      <c r="CQ857" s="40"/>
      <c r="CR857" s="5"/>
    </row>
    <row r="858">
      <c r="AL858" s="40"/>
      <c r="AM858" s="5"/>
      <c r="AO858" s="40"/>
      <c r="AP858" s="5"/>
      <c r="AR858" s="40"/>
      <c r="AS858" s="5"/>
      <c r="AU858" s="40"/>
      <c r="AV858" s="5"/>
      <c r="AX858" s="40"/>
      <c r="AY858" s="5"/>
      <c r="BA858" s="40"/>
      <c r="BB858" s="5"/>
      <c r="BD858" s="40"/>
      <c r="BE858" s="5"/>
      <c r="BG858" s="40"/>
      <c r="BH858" s="5"/>
      <c r="BJ858" s="40"/>
      <c r="BK858" s="5"/>
      <c r="BM858" s="40"/>
      <c r="BN858" s="5"/>
      <c r="BP858" s="40"/>
      <c r="BQ858" s="5"/>
      <c r="BS858" s="40"/>
      <c r="BT858" s="5"/>
      <c r="BV858" s="40"/>
      <c r="BW858" s="5"/>
      <c r="BY858" s="40"/>
      <c r="BZ858" s="5"/>
      <c r="CB858" s="40"/>
      <c r="CC858" s="5"/>
      <c r="CE858" s="40"/>
      <c r="CF858" s="5"/>
      <c r="CH858" s="40"/>
      <c r="CI858" s="5"/>
      <c r="CK858" s="40"/>
      <c r="CL858" s="5"/>
      <c r="CN858" s="40"/>
      <c r="CO858" s="5"/>
      <c r="CQ858" s="40"/>
      <c r="CR858" s="5"/>
    </row>
    <row r="859">
      <c r="AL859" s="40"/>
      <c r="AM859" s="5"/>
      <c r="AO859" s="40"/>
      <c r="AP859" s="5"/>
      <c r="AR859" s="40"/>
      <c r="AS859" s="5"/>
      <c r="AU859" s="40"/>
      <c r="AV859" s="5"/>
      <c r="AX859" s="40"/>
      <c r="AY859" s="5"/>
      <c r="BA859" s="40"/>
      <c r="BB859" s="5"/>
      <c r="BD859" s="40"/>
      <c r="BE859" s="5"/>
      <c r="BG859" s="40"/>
      <c r="BH859" s="5"/>
      <c r="BJ859" s="40"/>
      <c r="BK859" s="5"/>
      <c r="BM859" s="40"/>
      <c r="BN859" s="5"/>
      <c r="BP859" s="40"/>
      <c r="BQ859" s="5"/>
      <c r="BS859" s="40"/>
      <c r="BT859" s="5"/>
      <c r="BV859" s="40"/>
      <c r="BW859" s="5"/>
      <c r="BY859" s="40"/>
      <c r="BZ859" s="5"/>
      <c r="CB859" s="40"/>
      <c r="CC859" s="5"/>
      <c r="CE859" s="40"/>
      <c r="CF859" s="5"/>
      <c r="CH859" s="40"/>
      <c r="CI859" s="5"/>
      <c r="CK859" s="40"/>
      <c r="CL859" s="5"/>
      <c r="CN859" s="40"/>
      <c r="CO859" s="5"/>
      <c r="CQ859" s="40"/>
      <c r="CR859" s="5"/>
    </row>
    <row r="860">
      <c r="AL860" s="40"/>
      <c r="AM860" s="5"/>
      <c r="AO860" s="40"/>
      <c r="AP860" s="5"/>
      <c r="AR860" s="40"/>
      <c r="AS860" s="5"/>
      <c r="AU860" s="40"/>
      <c r="AV860" s="5"/>
      <c r="AX860" s="40"/>
      <c r="AY860" s="5"/>
      <c r="BA860" s="40"/>
      <c r="BB860" s="5"/>
      <c r="BD860" s="40"/>
      <c r="BE860" s="5"/>
      <c r="BG860" s="40"/>
      <c r="BH860" s="5"/>
      <c r="BJ860" s="40"/>
      <c r="BK860" s="5"/>
      <c r="BM860" s="40"/>
      <c r="BN860" s="5"/>
      <c r="BP860" s="40"/>
      <c r="BQ860" s="5"/>
      <c r="BS860" s="40"/>
      <c r="BT860" s="5"/>
      <c r="BV860" s="40"/>
      <c r="BW860" s="5"/>
      <c r="BY860" s="40"/>
      <c r="BZ860" s="5"/>
      <c r="CB860" s="40"/>
      <c r="CC860" s="5"/>
      <c r="CE860" s="40"/>
      <c r="CF860" s="5"/>
      <c r="CH860" s="40"/>
      <c r="CI860" s="5"/>
      <c r="CK860" s="40"/>
      <c r="CL860" s="5"/>
      <c r="CN860" s="40"/>
      <c r="CO860" s="5"/>
      <c r="CQ860" s="40"/>
      <c r="CR860" s="5"/>
    </row>
    <row r="861">
      <c r="AL861" s="40"/>
      <c r="AM861" s="5"/>
      <c r="AO861" s="40"/>
      <c r="AP861" s="5"/>
      <c r="AR861" s="40"/>
      <c r="AS861" s="5"/>
      <c r="AU861" s="40"/>
      <c r="AV861" s="5"/>
      <c r="AX861" s="40"/>
      <c r="AY861" s="5"/>
      <c r="BA861" s="40"/>
      <c r="BB861" s="5"/>
      <c r="BD861" s="40"/>
      <c r="BE861" s="5"/>
      <c r="BG861" s="40"/>
      <c r="BH861" s="5"/>
      <c r="BJ861" s="40"/>
      <c r="BK861" s="5"/>
      <c r="BM861" s="40"/>
      <c r="BN861" s="5"/>
      <c r="BP861" s="40"/>
      <c r="BQ861" s="5"/>
      <c r="BS861" s="40"/>
      <c r="BT861" s="5"/>
      <c r="BV861" s="40"/>
      <c r="BW861" s="5"/>
      <c r="BY861" s="40"/>
      <c r="BZ861" s="5"/>
      <c r="CB861" s="40"/>
      <c r="CC861" s="5"/>
      <c r="CE861" s="40"/>
      <c r="CF861" s="5"/>
      <c r="CH861" s="40"/>
      <c r="CI861" s="5"/>
      <c r="CK861" s="40"/>
      <c r="CL861" s="5"/>
      <c r="CN861" s="40"/>
      <c r="CO861" s="5"/>
      <c r="CQ861" s="40"/>
      <c r="CR861" s="5"/>
    </row>
    <row r="862">
      <c r="AL862" s="40"/>
      <c r="AM862" s="5"/>
      <c r="AO862" s="40"/>
      <c r="AP862" s="5"/>
      <c r="AR862" s="40"/>
      <c r="AS862" s="5"/>
      <c r="AU862" s="40"/>
      <c r="AV862" s="5"/>
      <c r="AX862" s="40"/>
      <c r="AY862" s="5"/>
      <c r="BA862" s="40"/>
      <c r="BB862" s="5"/>
      <c r="BD862" s="40"/>
      <c r="BE862" s="5"/>
      <c r="BG862" s="40"/>
      <c r="BH862" s="5"/>
      <c r="BJ862" s="40"/>
      <c r="BK862" s="5"/>
      <c r="BM862" s="40"/>
      <c r="BN862" s="5"/>
      <c r="BP862" s="40"/>
      <c r="BQ862" s="5"/>
      <c r="BS862" s="40"/>
      <c r="BT862" s="5"/>
      <c r="BV862" s="40"/>
      <c r="BW862" s="5"/>
      <c r="BY862" s="40"/>
      <c r="BZ862" s="5"/>
      <c r="CB862" s="40"/>
      <c r="CC862" s="5"/>
      <c r="CE862" s="40"/>
      <c r="CF862" s="5"/>
      <c r="CH862" s="40"/>
      <c r="CI862" s="5"/>
      <c r="CK862" s="40"/>
      <c r="CL862" s="5"/>
      <c r="CN862" s="40"/>
      <c r="CO862" s="5"/>
      <c r="CQ862" s="40"/>
      <c r="CR862" s="5"/>
    </row>
    <row r="863">
      <c r="AL863" s="40"/>
      <c r="AM863" s="5"/>
      <c r="AO863" s="40"/>
      <c r="AP863" s="5"/>
      <c r="AR863" s="40"/>
      <c r="AS863" s="5"/>
      <c r="AU863" s="40"/>
      <c r="AV863" s="5"/>
      <c r="AX863" s="40"/>
      <c r="AY863" s="5"/>
      <c r="BA863" s="40"/>
      <c r="BB863" s="5"/>
      <c r="BD863" s="40"/>
      <c r="BE863" s="5"/>
      <c r="BG863" s="40"/>
      <c r="BH863" s="5"/>
      <c r="BJ863" s="40"/>
      <c r="BK863" s="5"/>
      <c r="BM863" s="40"/>
      <c r="BN863" s="5"/>
      <c r="BP863" s="40"/>
      <c r="BQ863" s="5"/>
      <c r="BS863" s="40"/>
      <c r="BT863" s="5"/>
      <c r="BV863" s="40"/>
      <c r="BW863" s="5"/>
      <c r="BY863" s="40"/>
      <c r="BZ863" s="5"/>
      <c r="CB863" s="40"/>
      <c r="CC863" s="5"/>
      <c r="CE863" s="40"/>
      <c r="CF863" s="5"/>
      <c r="CH863" s="40"/>
      <c r="CI863" s="5"/>
      <c r="CK863" s="40"/>
      <c r="CL863" s="5"/>
      <c r="CN863" s="40"/>
      <c r="CO863" s="5"/>
      <c r="CQ863" s="40"/>
      <c r="CR863" s="5"/>
    </row>
    <row r="864">
      <c r="AL864" s="40"/>
      <c r="AM864" s="5"/>
      <c r="AO864" s="40"/>
      <c r="AP864" s="5"/>
      <c r="AR864" s="40"/>
      <c r="AS864" s="5"/>
      <c r="AU864" s="40"/>
      <c r="AV864" s="5"/>
      <c r="AX864" s="40"/>
      <c r="AY864" s="5"/>
      <c r="BA864" s="40"/>
      <c r="BB864" s="5"/>
      <c r="BD864" s="40"/>
      <c r="BE864" s="5"/>
      <c r="BG864" s="40"/>
      <c r="BH864" s="5"/>
      <c r="BJ864" s="40"/>
      <c r="BK864" s="5"/>
      <c r="BM864" s="40"/>
      <c r="BN864" s="5"/>
      <c r="BP864" s="40"/>
      <c r="BQ864" s="5"/>
      <c r="BS864" s="40"/>
      <c r="BT864" s="5"/>
      <c r="BV864" s="40"/>
      <c r="BW864" s="5"/>
      <c r="BY864" s="40"/>
      <c r="BZ864" s="5"/>
      <c r="CB864" s="40"/>
      <c r="CC864" s="5"/>
      <c r="CE864" s="40"/>
      <c r="CF864" s="5"/>
      <c r="CH864" s="40"/>
      <c r="CI864" s="5"/>
      <c r="CK864" s="40"/>
      <c r="CL864" s="5"/>
      <c r="CN864" s="40"/>
      <c r="CO864" s="5"/>
      <c r="CQ864" s="40"/>
      <c r="CR864" s="5"/>
    </row>
    <row r="865">
      <c r="AL865" s="40"/>
      <c r="AM865" s="5"/>
      <c r="AO865" s="40"/>
      <c r="AP865" s="5"/>
      <c r="AR865" s="40"/>
      <c r="AS865" s="5"/>
      <c r="AU865" s="40"/>
      <c r="AV865" s="5"/>
      <c r="AX865" s="40"/>
      <c r="AY865" s="5"/>
      <c r="BA865" s="40"/>
      <c r="BB865" s="5"/>
      <c r="BD865" s="40"/>
      <c r="BE865" s="5"/>
      <c r="BG865" s="40"/>
      <c r="BH865" s="5"/>
      <c r="BJ865" s="40"/>
      <c r="BK865" s="5"/>
      <c r="BM865" s="40"/>
      <c r="BN865" s="5"/>
      <c r="BP865" s="40"/>
      <c r="BQ865" s="5"/>
      <c r="BS865" s="40"/>
      <c r="BT865" s="5"/>
      <c r="BV865" s="40"/>
      <c r="BW865" s="5"/>
      <c r="BY865" s="40"/>
      <c r="BZ865" s="5"/>
      <c r="CB865" s="40"/>
      <c r="CC865" s="5"/>
      <c r="CE865" s="40"/>
      <c r="CF865" s="5"/>
      <c r="CH865" s="40"/>
      <c r="CI865" s="5"/>
      <c r="CK865" s="40"/>
      <c r="CL865" s="5"/>
      <c r="CN865" s="40"/>
      <c r="CO865" s="5"/>
      <c r="CQ865" s="40"/>
      <c r="CR865" s="5"/>
    </row>
    <row r="866">
      <c r="AL866" s="40"/>
      <c r="AM866" s="5"/>
      <c r="AO866" s="40"/>
      <c r="AP866" s="5"/>
      <c r="AR866" s="40"/>
      <c r="AS866" s="5"/>
      <c r="AU866" s="40"/>
      <c r="AV866" s="5"/>
      <c r="AX866" s="40"/>
      <c r="AY866" s="5"/>
      <c r="BA866" s="40"/>
      <c r="BB866" s="5"/>
      <c r="BD866" s="40"/>
      <c r="BE866" s="5"/>
      <c r="BG866" s="40"/>
      <c r="BH866" s="5"/>
      <c r="BJ866" s="40"/>
      <c r="BK866" s="5"/>
      <c r="BM866" s="40"/>
      <c r="BN866" s="5"/>
      <c r="BP866" s="40"/>
      <c r="BQ866" s="5"/>
      <c r="BS866" s="40"/>
      <c r="BT866" s="5"/>
      <c r="BV866" s="40"/>
      <c r="BW866" s="5"/>
      <c r="BY866" s="40"/>
      <c r="BZ866" s="5"/>
      <c r="CB866" s="40"/>
      <c r="CC866" s="5"/>
      <c r="CE866" s="40"/>
      <c r="CF866" s="5"/>
      <c r="CH866" s="40"/>
      <c r="CI866" s="5"/>
      <c r="CK866" s="40"/>
      <c r="CL866" s="5"/>
      <c r="CN866" s="40"/>
      <c r="CO866" s="5"/>
      <c r="CQ866" s="40"/>
      <c r="CR866" s="5"/>
    </row>
    <row r="867">
      <c r="AL867" s="40"/>
      <c r="AM867" s="5"/>
      <c r="AO867" s="40"/>
      <c r="AP867" s="5"/>
      <c r="AR867" s="40"/>
      <c r="AS867" s="5"/>
      <c r="AU867" s="40"/>
      <c r="AV867" s="5"/>
      <c r="AX867" s="40"/>
      <c r="AY867" s="5"/>
      <c r="BA867" s="40"/>
      <c r="BB867" s="5"/>
      <c r="BD867" s="40"/>
      <c r="BE867" s="5"/>
      <c r="BG867" s="40"/>
      <c r="BH867" s="5"/>
      <c r="BJ867" s="40"/>
      <c r="BK867" s="5"/>
      <c r="BM867" s="40"/>
      <c r="BN867" s="5"/>
      <c r="BP867" s="40"/>
      <c r="BQ867" s="5"/>
      <c r="BS867" s="40"/>
      <c r="BT867" s="5"/>
      <c r="BV867" s="40"/>
      <c r="BW867" s="5"/>
      <c r="BY867" s="40"/>
      <c r="BZ867" s="5"/>
      <c r="CB867" s="40"/>
      <c r="CC867" s="5"/>
      <c r="CE867" s="40"/>
      <c r="CF867" s="5"/>
      <c r="CH867" s="40"/>
      <c r="CI867" s="5"/>
      <c r="CK867" s="40"/>
      <c r="CL867" s="5"/>
      <c r="CN867" s="40"/>
      <c r="CO867" s="5"/>
      <c r="CQ867" s="40"/>
      <c r="CR867" s="5"/>
    </row>
    <row r="868">
      <c r="AL868" s="40"/>
      <c r="AM868" s="5"/>
      <c r="AO868" s="40"/>
      <c r="AP868" s="5"/>
      <c r="AR868" s="40"/>
      <c r="AS868" s="5"/>
      <c r="AU868" s="40"/>
      <c r="AV868" s="5"/>
      <c r="AX868" s="40"/>
      <c r="AY868" s="5"/>
      <c r="BA868" s="40"/>
      <c r="BB868" s="5"/>
      <c r="BD868" s="40"/>
      <c r="BE868" s="5"/>
      <c r="BG868" s="40"/>
      <c r="BH868" s="5"/>
      <c r="BJ868" s="40"/>
      <c r="BK868" s="5"/>
      <c r="BM868" s="40"/>
      <c r="BN868" s="5"/>
      <c r="BP868" s="40"/>
      <c r="BQ868" s="5"/>
      <c r="BS868" s="40"/>
      <c r="BT868" s="5"/>
      <c r="BV868" s="40"/>
      <c r="BW868" s="5"/>
      <c r="BY868" s="40"/>
      <c r="BZ868" s="5"/>
      <c r="CB868" s="40"/>
      <c r="CC868" s="5"/>
      <c r="CE868" s="40"/>
      <c r="CF868" s="5"/>
      <c r="CH868" s="40"/>
      <c r="CI868" s="5"/>
      <c r="CK868" s="40"/>
      <c r="CL868" s="5"/>
      <c r="CN868" s="40"/>
      <c r="CO868" s="5"/>
      <c r="CQ868" s="40"/>
      <c r="CR868" s="5"/>
    </row>
    <row r="869">
      <c r="AL869" s="40"/>
      <c r="AM869" s="5"/>
      <c r="AO869" s="40"/>
      <c r="AP869" s="5"/>
      <c r="AR869" s="40"/>
      <c r="AS869" s="5"/>
      <c r="AU869" s="40"/>
      <c r="AV869" s="5"/>
      <c r="AX869" s="40"/>
      <c r="AY869" s="5"/>
      <c r="BA869" s="40"/>
      <c r="BB869" s="5"/>
      <c r="BD869" s="40"/>
      <c r="BE869" s="5"/>
      <c r="BG869" s="40"/>
      <c r="BH869" s="5"/>
      <c r="BJ869" s="40"/>
      <c r="BK869" s="5"/>
      <c r="BM869" s="40"/>
      <c r="BN869" s="5"/>
      <c r="BP869" s="40"/>
      <c r="BQ869" s="5"/>
      <c r="BS869" s="40"/>
      <c r="BT869" s="5"/>
      <c r="BV869" s="40"/>
      <c r="BW869" s="5"/>
      <c r="BY869" s="40"/>
      <c r="BZ869" s="5"/>
      <c r="CB869" s="40"/>
      <c r="CC869" s="5"/>
      <c r="CE869" s="40"/>
      <c r="CF869" s="5"/>
      <c r="CH869" s="40"/>
      <c r="CI869" s="5"/>
      <c r="CK869" s="40"/>
      <c r="CL869" s="5"/>
      <c r="CN869" s="40"/>
      <c r="CO869" s="5"/>
      <c r="CQ869" s="40"/>
      <c r="CR869" s="5"/>
    </row>
    <row r="870">
      <c r="AL870" s="40"/>
      <c r="AM870" s="5"/>
      <c r="AO870" s="40"/>
      <c r="AP870" s="5"/>
      <c r="AR870" s="40"/>
      <c r="AS870" s="5"/>
      <c r="AU870" s="40"/>
      <c r="AV870" s="5"/>
      <c r="AX870" s="40"/>
      <c r="AY870" s="5"/>
      <c r="BA870" s="40"/>
      <c r="BB870" s="5"/>
      <c r="BD870" s="40"/>
      <c r="BE870" s="5"/>
      <c r="BG870" s="40"/>
      <c r="BH870" s="5"/>
      <c r="BJ870" s="40"/>
      <c r="BK870" s="5"/>
      <c r="BM870" s="40"/>
      <c r="BN870" s="5"/>
      <c r="BP870" s="40"/>
      <c r="BQ870" s="5"/>
      <c r="BS870" s="40"/>
      <c r="BT870" s="5"/>
      <c r="BV870" s="40"/>
      <c r="BW870" s="5"/>
      <c r="BY870" s="40"/>
      <c r="BZ870" s="5"/>
      <c r="CB870" s="40"/>
      <c r="CC870" s="5"/>
      <c r="CE870" s="40"/>
      <c r="CF870" s="5"/>
      <c r="CH870" s="40"/>
      <c r="CI870" s="5"/>
      <c r="CK870" s="40"/>
      <c r="CL870" s="5"/>
      <c r="CN870" s="40"/>
      <c r="CO870" s="5"/>
      <c r="CQ870" s="40"/>
      <c r="CR870" s="5"/>
    </row>
    <row r="871">
      <c r="AL871" s="40"/>
      <c r="AM871" s="5"/>
      <c r="AO871" s="40"/>
      <c r="AP871" s="5"/>
      <c r="AR871" s="40"/>
      <c r="AS871" s="5"/>
      <c r="AU871" s="40"/>
      <c r="AV871" s="5"/>
      <c r="AX871" s="40"/>
      <c r="AY871" s="5"/>
      <c r="BA871" s="40"/>
      <c r="BB871" s="5"/>
      <c r="BD871" s="40"/>
      <c r="BE871" s="5"/>
      <c r="BG871" s="40"/>
      <c r="BH871" s="5"/>
      <c r="BJ871" s="40"/>
      <c r="BK871" s="5"/>
      <c r="BM871" s="40"/>
      <c r="BN871" s="5"/>
      <c r="BP871" s="40"/>
      <c r="BQ871" s="5"/>
      <c r="BS871" s="40"/>
      <c r="BT871" s="5"/>
      <c r="BV871" s="40"/>
      <c r="BW871" s="5"/>
      <c r="BY871" s="40"/>
      <c r="BZ871" s="5"/>
      <c r="CB871" s="40"/>
      <c r="CC871" s="5"/>
      <c r="CE871" s="40"/>
      <c r="CF871" s="5"/>
      <c r="CH871" s="40"/>
      <c r="CI871" s="5"/>
      <c r="CK871" s="40"/>
      <c r="CL871" s="5"/>
      <c r="CN871" s="40"/>
      <c r="CO871" s="5"/>
      <c r="CQ871" s="40"/>
      <c r="CR871" s="5"/>
    </row>
    <row r="872">
      <c r="AL872" s="40"/>
      <c r="AM872" s="5"/>
      <c r="AO872" s="40"/>
      <c r="AP872" s="5"/>
      <c r="AR872" s="40"/>
      <c r="AS872" s="5"/>
      <c r="AU872" s="40"/>
      <c r="AV872" s="5"/>
      <c r="AX872" s="40"/>
      <c r="AY872" s="5"/>
      <c r="BA872" s="40"/>
      <c r="BB872" s="5"/>
      <c r="BD872" s="40"/>
      <c r="BE872" s="5"/>
      <c r="BG872" s="40"/>
      <c r="BH872" s="5"/>
      <c r="BJ872" s="40"/>
      <c r="BK872" s="5"/>
      <c r="BM872" s="40"/>
      <c r="BN872" s="5"/>
      <c r="BP872" s="40"/>
      <c r="BQ872" s="5"/>
      <c r="BS872" s="40"/>
      <c r="BT872" s="5"/>
      <c r="BV872" s="40"/>
      <c r="BW872" s="5"/>
      <c r="BY872" s="40"/>
      <c r="BZ872" s="5"/>
      <c r="CB872" s="40"/>
      <c r="CC872" s="5"/>
      <c r="CE872" s="40"/>
      <c r="CF872" s="5"/>
      <c r="CH872" s="40"/>
      <c r="CI872" s="5"/>
      <c r="CK872" s="40"/>
      <c r="CL872" s="5"/>
      <c r="CN872" s="40"/>
      <c r="CO872" s="5"/>
      <c r="CQ872" s="40"/>
      <c r="CR872" s="5"/>
    </row>
    <row r="873">
      <c r="AL873" s="40"/>
      <c r="AM873" s="5"/>
      <c r="AO873" s="40"/>
      <c r="AP873" s="5"/>
      <c r="AR873" s="40"/>
      <c r="AS873" s="5"/>
      <c r="AU873" s="40"/>
      <c r="AV873" s="5"/>
      <c r="AX873" s="40"/>
      <c r="AY873" s="5"/>
      <c r="BA873" s="40"/>
      <c r="BB873" s="5"/>
      <c r="BD873" s="40"/>
      <c r="BE873" s="5"/>
      <c r="BG873" s="40"/>
      <c r="BH873" s="5"/>
      <c r="BJ873" s="40"/>
      <c r="BK873" s="5"/>
      <c r="BM873" s="40"/>
      <c r="BN873" s="5"/>
      <c r="BP873" s="40"/>
      <c r="BQ873" s="5"/>
      <c r="BS873" s="40"/>
      <c r="BT873" s="5"/>
      <c r="BV873" s="40"/>
      <c r="BW873" s="5"/>
      <c r="BY873" s="40"/>
      <c r="BZ873" s="5"/>
      <c r="CB873" s="40"/>
      <c r="CC873" s="5"/>
      <c r="CE873" s="40"/>
      <c r="CF873" s="5"/>
      <c r="CH873" s="40"/>
      <c r="CI873" s="5"/>
      <c r="CK873" s="40"/>
      <c r="CL873" s="5"/>
      <c r="CN873" s="40"/>
      <c r="CO873" s="5"/>
      <c r="CQ873" s="40"/>
      <c r="CR873" s="5"/>
    </row>
    <row r="874">
      <c r="AL874" s="40"/>
      <c r="AM874" s="5"/>
      <c r="AO874" s="40"/>
      <c r="AP874" s="5"/>
      <c r="AR874" s="40"/>
      <c r="AS874" s="5"/>
      <c r="AU874" s="40"/>
      <c r="AV874" s="5"/>
      <c r="AX874" s="40"/>
      <c r="AY874" s="5"/>
      <c r="BA874" s="40"/>
      <c r="BB874" s="5"/>
      <c r="BD874" s="40"/>
      <c r="BE874" s="5"/>
      <c r="BG874" s="40"/>
      <c r="BH874" s="5"/>
      <c r="BJ874" s="40"/>
      <c r="BK874" s="5"/>
      <c r="BM874" s="40"/>
      <c r="BN874" s="5"/>
      <c r="BP874" s="40"/>
      <c r="BQ874" s="5"/>
      <c r="BS874" s="40"/>
      <c r="BT874" s="5"/>
      <c r="BV874" s="40"/>
      <c r="BW874" s="5"/>
      <c r="BY874" s="40"/>
      <c r="BZ874" s="5"/>
      <c r="CB874" s="40"/>
      <c r="CC874" s="5"/>
      <c r="CE874" s="40"/>
      <c r="CF874" s="5"/>
      <c r="CH874" s="40"/>
      <c r="CI874" s="5"/>
      <c r="CK874" s="40"/>
      <c r="CL874" s="5"/>
      <c r="CN874" s="40"/>
      <c r="CO874" s="5"/>
      <c r="CQ874" s="40"/>
      <c r="CR874" s="5"/>
    </row>
    <row r="875">
      <c r="AL875" s="40"/>
      <c r="AM875" s="5"/>
      <c r="AO875" s="40"/>
      <c r="AP875" s="5"/>
      <c r="AR875" s="40"/>
      <c r="AS875" s="5"/>
      <c r="AU875" s="40"/>
      <c r="AV875" s="5"/>
      <c r="AX875" s="40"/>
      <c r="AY875" s="5"/>
      <c r="BA875" s="40"/>
      <c r="BB875" s="5"/>
      <c r="BD875" s="40"/>
      <c r="BE875" s="5"/>
      <c r="BG875" s="40"/>
      <c r="BH875" s="5"/>
      <c r="BJ875" s="40"/>
      <c r="BK875" s="5"/>
      <c r="BM875" s="40"/>
      <c r="BN875" s="5"/>
      <c r="BP875" s="40"/>
      <c r="BQ875" s="5"/>
      <c r="BS875" s="40"/>
      <c r="BT875" s="5"/>
      <c r="BV875" s="40"/>
      <c r="BW875" s="5"/>
      <c r="BY875" s="40"/>
      <c r="BZ875" s="5"/>
      <c r="CB875" s="40"/>
      <c r="CC875" s="5"/>
      <c r="CE875" s="40"/>
      <c r="CF875" s="5"/>
      <c r="CH875" s="40"/>
      <c r="CI875" s="5"/>
      <c r="CK875" s="40"/>
      <c r="CL875" s="5"/>
      <c r="CN875" s="40"/>
      <c r="CO875" s="5"/>
      <c r="CQ875" s="40"/>
      <c r="CR875" s="5"/>
    </row>
    <row r="876">
      <c r="AL876" s="40"/>
      <c r="AM876" s="5"/>
      <c r="AO876" s="40"/>
      <c r="AP876" s="5"/>
      <c r="AR876" s="40"/>
      <c r="AS876" s="5"/>
      <c r="AU876" s="40"/>
      <c r="AV876" s="5"/>
      <c r="AX876" s="40"/>
      <c r="AY876" s="5"/>
      <c r="BA876" s="40"/>
      <c r="BB876" s="5"/>
      <c r="BD876" s="40"/>
      <c r="BE876" s="5"/>
      <c r="BG876" s="40"/>
      <c r="BH876" s="5"/>
      <c r="BJ876" s="40"/>
      <c r="BK876" s="5"/>
      <c r="BM876" s="40"/>
      <c r="BN876" s="5"/>
      <c r="BP876" s="40"/>
      <c r="BQ876" s="5"/>
      <c r="BS876" s="40"/>
      <c r="BT876" s="5"/>
      <c r="BV876" s="40"/>
      <c r="BW876" s="5"/>
      <c r="BY876" s="40"/>
      <c r="BZ876" s="5"/>
      <c r="CB876" s="40"/>
      <c r="CC876" s="5"/>
      <c r="CE876" s="40"/>
      <c r="CF876" s="5"/>
      <c r="CH876" s="40"/>
      <c r="CI876" s="5"/>
      <c r="CK876" s="40"/>
      <c r="CL876" s="5"/>
      <c r="CN876" s="40"/>
      <c r="CO876" s="5"/>
      <c r="CQ876" s="40"/>
      <c r="CR876" s="5"/>
    </row>
    <row r="877">
      <c r="AL877" s="40"/>
      <c r="AM877" s="5"/>
      <c r="AO877" s="40"/>
      <c r="AP877" s="5"/>
      <c r="AR877" s="40"/>
      <c r="AS877" s="5"/>
      <c r="AU877" s="40"/>
      <c r="AV877" s="5"/>
      <c r="AX877" s="40"/>
      <c r="AY877" s="5"/>
      <c r="BA877" s="40"/>
      <c r="BB877" s="5"/>
      <c r="BD877" s="40"/>
      <c r="BE877" s="5"/>
      <c r="BG877" s="40"/>
      <c r="BH877" s="5"/>
      <c r="BJ877" s="40"/>
      <c r="BK877" s="5"/>
      <c r="BM877" s="40"/>
      <c r="BN877" s="5"/>
      <c r="BP877" s="40"/>
      <c r="BQ877" s="5"/>
      <c r="BS877" s="40"/>
      <c r="BT877" s="5"/>
      <c r="BV877" s="40"/>
      <c r="BW877" s="5"/>
      <c r="BY877" s="40"/>
      <c r="BZ877" s="5"/>
      <c r="CB877" s="40"/>
      <c r="CC877" s="5"/>
      <c r="CE877" s="40"/>
      <c r="CF877" s="5"/>
      <c r="CH877" s="40"/>
      <c r="CI877" s="5"/>
      <c r="CK877" s="40"/>
      <c r="CL877" s="5"/>
      <c r="CN877" s="40"/>
      <c r="CO877" s="5"/>
      <c r="CQ877" s="40"/>
      <c r="CR877" s="5"/>
    </row>
    <row r="878">
      <c r="AL878" s="40"/>
      <c r="AM878" s="5"/>
      <c r="AO878" s="40"/>
      <c r="AP878" s="5"/>
      <c r="AR878" s="40"/>
      <c r="AS878" s="5"/>
      <c r="AU878" s="40"/>
      <c r="AV878" s="5"/>
      <c r="AX878" s="40"/>
      <c r="AY878" s="5"/>
      <c r="BA878" s="40"/>
      <c r="BB878" s="5"/>
      <c r="BD878" s="40"/>
      <c r="BE878" s="5"/>
      <c r="BG878" s="40"/>
      <c r="BH878" s="5"/>
      <c r="BJ878" s="40"/>
      <c r="BK878" s="5"/>
      <c r="BM878" s="40"/>
      <c r="BN878" s="5"/>
      <c r="BP878" s="40"/>
      <c r="BQ878" s="5"/>
      <c r="BS878" s="40"/>
      <c r="BT878" s="5"/>
      <c r="BV878" s="40"/>
      <c r="BW878" s="5"/>
      <c r="BY878" s="40"/>
      <c r="BZ878" s="5"/>
      <c r="CB878" s="40"/>
      <c r="CC878" s="5"/>
      <c r="CE878" s="40"/>
      <c r="CF878" s="5"/>
      <c r="CH878" s="40"/>
      <c r="CI878" s="5"/>
      <c r="CK878" s="40"/>
      <c r="CL878" s="5"/>
      <c r="CN878" s="40"/>
      <c r="CO878" s="5"/>
      <c r="CQ878" s="40"/>
      <c r="CR878" s="5"/>
    </row>
    <row r="879">
      <c r="AL879" s="40"/>
      <c r="AM879" s="5"/>
      <c r="AO879" s="40"/>
      <c r="AP879" s="5"/>
      <c r="AR879" s="40"/>
      <c r="AS879" s="5"/>
      <c r="AU879" s="40"/>
      <c r="AV879" s="5"/>
      <c r="AX879" s="40"/>
      <c r="AY879" s="5"/>
      <c r="BA879" s="40"/>
      <c r="BB879" s="5"/>
      <c r="BD879" s="40"/>
      <c r="BE879" s="5"/>
      <c r="BG879" s="40"/>
      <c r="BH879" s="5"/>
      <c r="BJ879" s="40"/>
      <c r="BK879" s="5"/>
      <c r="BM879" s="40"/>
      <c r="BN879" s="5"/>
      <c r="BP879" s="40"/>
      <c r="BQ879" s="5"/>
      <c r="BS879" s="40"/>
      <c r="BT879" s="5"/>
      <c r="BV879" s="40"/>
      <c r="BW879" s="5"/>
      <c r="BY879" s="40"/>
      <c r="BZ879" s="5"/>
      <c r="CB879" s="40"/>
      <c r="CC879" s="5"/>
      <c r="CE879" s="40"/>
      <c r="CF879" s="5"/>
      <c r="CH879" s="40"/>
      <c r="CI879" s="5"/>
      <c r="CK879" s="40"/>
      <c r="CL879" s="5"/>
      <c r="CN879" s="40"/>
      <c r="CO879" s="5"/>
      <c r="CQ879" s="40"/>
      <c r="CR879" s="5"/>
    </row>
    <row r="880">
      <c r="AL880" s="40"/>
      <c r="AM880" s="5"/>
      <c r="AO880" s="40"/>
      <c r="AP880" s="5"/>
      <c r="AR880" s="40"/>
      <c r="AS880" s="5"/>
      <c r="AU880" s="40"/>
      <c r="AV880" s="5"/>
      <c r="AX880" s="40"/>
      <c r="AY880" s="5"/>
      <c r="BA880" s="40"/>
      <c r="BB880" s="5"/>
      <c r="BD880" s="40"/>
      <c r="BE880" s="5"/>
      <c r="BG880" s="40"/>
      <c r="BH880" s="5"/>
      <c r="BJ880" s="40"/>
      <c r="BK880" s="5"/>
      <c r="BM880" s="40"/>
      <c r="BN880" s="5"/>
      <c r="BP880" s="40"/>
      <c r="BQ880" s="5"/>
      <c r="BS880" s="40"/>
      <c r="BT880" s="5"/>
      <c r="BV880" s="40"/>
      <c r="BW880" s="5"/>
      <c r="BY880" s="40"/>
      <c r="BZ880" s="5"/>
      <c r="CB880" s="40"/>
      <c r="CC880" s="5"/>
      <c r="CE880" s="40"/>
      <c r="CF880" s="5"/>
      <c r="CH880" s="40"/>
      <c r="CI880" s="5"/>
      <c r="CK880" s="40"/>
      <c r="CL880" s="5"/>
      <c r="CN880" s="40"/>
      <c r="CO880" s="5"/>
      <c r="CQ880" s="40"/>
      <c r="CR880" s="5"/>
    </row>
  </sheetData>
  <mergeCells count="35">
    <mergeCell ref="Z9:AB9"/>
    <mergeCell ref="AC9:AE9"/>
    <mergeCell ref="AF9:AH9"/>
    <mergeCell ref="AI9:AK9"/>
    <mergeCell ref="AL9:AN9"/>
    <mergeCell ref="AO9:AQ9"/>
    <mergeCell ref="AR9:AT9"/>
    <mergeCell ref="AU9:AW9"/>
    <mergeCell ref="AX9:AZ9"/>
    <mergeCell ref="BA9:BC9"/>
    <mergeCell ref="BD9:BF9"/>
    <mergeCell ref="BG9:BI9"/>
    <mergeCell ref="BJ9:BL9"/>
    <mergeCell ref="BM9:BO9"/>
    <mergeCell ref="CK9:CM9"/>
    <mergeCell ref="CN9:CP9"/>
    <mergeCell ref="CQ9:CS9"/>
    <mergeCell ref="BP9:BR9"/>
    <mergeCell ref="BS9:BU9"/>
    <mergeCell ref="BV9:BX9"/>
    <mergeCell ref="BY9:CA9"/>
    <mergeCell ref="CB9:CD9"/>
    <mergeCell ref="CE9:CG9"/>
    <mergeCell ref="CH9:CJ9"/>
    <mergeCell ref="B16:C16"/>
    <mergeCell ref="B17:C17"/>
    <mergeCell ref="A19:B19"/>
    <mergeCell ref="A45:C45"/>
    <mergeCell ref="E9:G9"/>
    <mergeCell ref="H9:J9"/>
    <mergeCell ref="K9:M9"/>
    <mergeCell ref="N9:P9"/>
    <mergeCell ref="Q9:S9"/>
    <mergeCell ref="T9:V9"/>
    <mergeCell ref="W9:Y9"/>
  </mergeCells>
  <conditionalFormatting sqref="A1:DD1000">
    <cfRule type="cellIs" dxfId="0" priority="1" operator="equal">
      <formula>"Topic"</formula>
    </cfRule>
  </conditionalFormatting>
  <conditionalFormatting sqref="F13">
    <cfRule type="colorScale" priority="2">
      <colorScale>
        <cfvo type="min"/>
        <cfvo type="max"/>
        <color rgb="FF57BB8A"/>
        <color rgb="FFFFFFFF"/>
      </colorScale>
    </cfRule>
  </conditionalFormatting>
  <dataValidations>
    <dataValidation type="list" allowBlank="1" sqref="G11:G61 J11:J61 M11:M61 P11:P61 S11:S61 V11:V61 Y11:Y61 AB11:AB61 AE11:AE61 AH11:AH61 AK11:AK61 AN11:AN61 AQ11:AQ61 AT11:AT61 AW11:AW61 AZ11:AZ61 BC11:BC61 BF11:BF61 BI11:BI61 BL11:BL61 BO11:BO61 BR11:BR61 BU11:BU61 BX11:BX61 CA11:CA61 CD11:CD61 CG11:CG61 CJ11:CJ61 CM11:CM61 CP11:CP61 CS11:DF61">
      <formula1>$E$3:$E$7</formula1>
    </dataValidation>
    <dataValidation type="list" allowBlank="1" sqref="A26:A40">
      <formula1>$A$20:$A$23</formula1>
    </dataValidation>
  </dataValidations>
  <hyperlinks>
    <hyperlink r:id="rId1" ref="B18"/>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75</v>
      </c>
      <c r="B1" s="1" t="s">
        <v>76</v>
      </c>
      <c r="C1" s="1" t="s">
        <v>77</v>
      </c>
      <c r="D1" s="1" t="s">
        <v>78</v>
      </c>
      <c r="E1" s="1" t="s">
        <v>79</v>
      </c>
      <c r="F1" s="1" t="s">
        <v>80</v>
      </c>
    </row>
    <row r="2">
      <c r="A2" s="39">
        <v>0.0</v>
      </c>
      <c r="B2" s="39">
        <v>1.623437882E9</v>
      </c>
      <c r="C2" s="40">
        <f>IFERROR(__xludf.DUMMYFUNCTION("INDEX(SPLIT(B2, char(10)), 0, 1)/86400+date(1970,1,1)"),44358.790300925924)</f>
        <v>44358.7903</v>
      </c>
      <c r="D2" s="39" t="s">
        <v>90</v>
      </c>
      <c r="E2" s="39" t="s">
        <v>350</v>
      </c>
      <c r="F2" s="39" t="s">
        <v>351</v>
      </c>
    </row>
    <row r="3">
      <c r="A3" s="39">
        <v>0.0</v>
      </c>
      <c r="B3" s="39">
        <v>1.623437911E9</v>
      </c>
      <c r="C3" s="40">
        <f>IFERROR(__xludf.DUMMYFUNCTION("INDEX(SPLIT(B3, char(10)), 0, 1)/86400+date(1970,1,1)"),44358.79063657408)</f>
        <v>44358.79064</v>
      </c>
      <c r="D3" s="39" t="s">
        <v>81</v>
      </c>
      <c r="E3" s="39" t="s">
        <v>352</v>
      </c>
      <c r="F3" s="39" t="s">
        <v>353</v>
      </c>
    </row>
    <row r="4">
      <c r="A4" s="39">
        <v>1.0</v>
      </c>
      <c r="B4" s="39">
        <v>1.623438057E9</v>
      </c>
      <c r="C4" s="40">
        <f>IFERROR(__xludf.DUMMYFUNCTION("INDEX(SPLIT(B4, char(10)), 0, 1)/86400+date(1970,1,1)"),44358.79232638889)</f>
        <v>44358.79233</v>
      </c>
      <c r="D4" s="39" t="s">
        <v>103</v>
      </c>
      <c r="E4" s="39" t="s">
        <v>354</v>
      </c>
      <c r="F4" s="39" t="s">
        <v>355</v>
      </c>
    </row>
    <row r="5">
      <c r="A5" s="39">
        <v>1.0</v>
      </c>
      <c r="B5" s="39">
        <v>1.62343806E9</v>
      </c>
      <c r="C5" s="40">
        <f>IFERROR(__xludf.DUMMYFUNCTION("INDEX(SPLIT(B5, char(10)), 0, 1)/86400+date(1970,1,1)"),44358.79236111111)</f>
        <v>44358.79236</v>
      </c>
      <c r="D5" s="39" t="s">
        <v>81</v>
      </c>
      <c r="E5" s="39" t="s">
        <v>356</v>
      </c>
      <c r="F5" s="39" t="s">
        <v>357</v>
      </c>
    </row>
    <row r="6">
      <c r="A6" s="39">
        <v>1.0</v>
      </c>
      <c r="B6" s="39">
        <v>1.623438081E9</v>
      </c>
      <c r="C6" s="40">
        <f>IFERROR(__xludf.DUMMYFUNCTION("INDEX(SPLIT(B6, char(10)), 0, 1)/86400+date(1970,1,1)"),44358.792604166665)</f>
        <v>44358.7926</v>
      </c>
      <c r="D6" s="39" t="s">
        <v>90</v>
      </c>
      <c r="E6" s="39" t="s">
        <v>358</v>
      </c>
      <c r="F6" s="39" t="s">
        <v>359</v>
      </c>
    </row>
    <row r="7">
      <c r="A7" s="39">
        <v>2.0</v>
      </c>
      <c r="B7" s="39">
        <v>1.623438166E9</v>
      </c>
      <c r="C7" s="40">
        <f>IFERROR(__xludf.DUMMYFUNCTION("INDEX(SPLIT(B7, char(10)), 0, 1)/86400+date(1970,1,1)"),44358.793587962966)</f>
        <v>44358.79359</v>
      </c>
      <c r="D7" s="39" t="s">
        <v>81</v>
      </c>
      <c r="E7" s="39" t="s">
        <v>360</v>
      </c>
      <c r="F7" s="39" t="s">
        <v>361</v>
      </c>
    </row>
    <row r="8">
      <c r="A8" s="39">
        <v>2.0</v>
      </c>
      <c r="B8" s="39">
        <v>1.623438203E9</v>
      </c>
      <c r="C8" s="40">
        <f>IFERROR(__xludf.DUMMYFUNCTION("INDEX(SPLIT(B8, char(10)), 0, 1)/86400+date(1970,1,1)"),44358.794016203705)</f>
        <v>44358.79402</v>
      </c>
      <c r="D8" s="39" t="s">
        <v>136</v>
      </c>
      <c r="E8" s="39" t="s">
        <v>362</v>
      </c>
      <c r="F8" s="39" t="s">
        <v>363</v>
      </c>
    </row>
    <row r="9">
      <c r="A9" s="39">
        <v>3.0</v>
      </c>
      <c r="B9" s="39">
        <v>1.623438752E9</v>
      </c>
      <c r="C9" s="40">
        <f>IFERROR(__xludf.DUMMYFUNCTION("INDEX(SPLIT(B9, char(10)), 0, 1)/86400+date(1970,1,1)"),44358.80037037037)</f>
        <v>44358.80037</v>
      </c>
      <c r="D9" s="39" t="s">
        <v>81</v>
      </c>
      <c r="E9" s="39" t="s">
        <v>364</v>
      </c>
      <c r="F9" s="39" t="s">
        <v>365</v>
      </c>
    </row>
    <row r="10">
      <c r="A10" s="39">
        <v>4.0</v>
      </c>
      <c r="B10" s="39">
        <v>1.623439087E9</v>
      </c>
      <c r="C10" s="40">
        <f>IFERROR(__xludf.DUMMYFUNCTION("INDEX(SPLIT(B10, char(10)), 0, 1)/86400+date(1970,1,1)"),44358.804247685184)</f>
        <v>44358.80425</v>
      </c>
      <c r="D10" s="39" t="s">
        <v>93</v>
      </c>
      <c r="E10" s="39" t="s">
        <v>366</v>
      </c>
      <c r="F10" s="39" t="s">
        <v>367</v>
      </c>
    </row>
    <row r="11">
      <c r="A11" s="39">
        <v>4.0</v>
      </c>
      <c r="B11" s="39">
        <v>1.623439088E9</v>
      </c>
      <c r="C11" s="40">
        <f>IFERROR(__xludf.DUMMYFUNCTION("INDEX(SPLIT(B11, char(10)), 0, 1)/86400+date(1970,1,1)"),44358.80425925926)</f>
        <v>44358.80426</v>
      </c>
      <c r="D11" s="39" t="s">
        <v>131</v>
      </c>
      <c r="E11" s="39" t="s">
        <v>368</v>
      </c>
      <c r="F11" s="39" t="s">
        <v>369</v>
      </c>
    </row>
    <row r="12">
      <c r="A12" s="39">
        <v>4.0</v>
      </c>
      <c r="B12" s="39">
        <v>1.623439137E9</v>
      </c>
      <c r="C12" s="40">
        <f>IFERROR(__xludf.DUMMYFUNCTION("INDEX(SPLIT(B12, char(10)), 0, 1)/86400+date(1970,1,1)"),44358.80482638889)</f>
        <v>44358.80483</v>
      </c>
      <c r="D12" s="39" t="s">
        <v>370</v>
      </c>
      <c r="E12" s="39" t="s">
        <v>371</v>
      </c>
      <c r="F12" s="39" t="s">
        <v>372</v>
      </c>
    </row>
    <row r="13">
      <c r="A13" s="39">
        <v>5.0</v>
      </c>
      <c r="B13" s="39">
        <v>1.623439352E9</v>
      </c>
      <c r="C13" s="40">
        <f>IFERROR(__xludf.DUMMYFUNCTION("INDEX(SPLIT(B13, char(10)), 0, 1)/86400+date(1970,1,1)"),44358.80731481481)</f>
        <v>44358.80731</v>
      </c>
      <c r="D13" s="39" t="s">
        <v>174</v>
      </c>
      <c r="E13" s="39" t="s">
        <v>373</v>
      </c>
      <c r="F13" s="39" t="s">
        <v>374</v>
      </c>
    </row>
    <row r="14">
      <c r="A14" s="39">
        <v>5.0</v>
      </c>
      <c r="B14" s="39">
        <v>1.62343939E9</v>
      </c>
      <c r="C14" s="40">
        <f>IFERROR(__xludf.DUMMYFUNCTION("INDEX(SPLIT(B14, char(10)), 0, 1)/86400+date(1970,1,1)"),44358.807754629626)</f>
        <v>44358.80775</v>
      </c>
      <c r="D14" s="39" t="s">
        <v>93</v>
      </c>
      <c r="E14" s="39" t="s">
        <v>375</v>
      </c>
      <c r="F14" s="39" t="s">
        <v>376</v>
      </c>
    </row>
    <row r="15">
      <c r="A15" s="39">
        <v>5.0</v>
      </c>
      <c r="B15" s="39">
        <v>1.623439394E9</v>
      </c>
      <c r="C15" s="40">
        <f>IFERROR(__xludf.DUMMYFUNCTION("INDEX(SPLIT(B15, char(10)), 0, 1)/86400+date(1970,1,1)"),44358.807800925926)</f>
        <v>44358.8078</v>
      </c>
      <c r="D15" s="39" t="s">
        <v>124</v>
      </c>
      <c r="E15" s="39" t="s">
        <v>377</v>
      </c>
      <c r="F15" s="39" t="s">
        <v>378</v>
      </c>
    </row>
    <row r="16">
      <c r="A16" s="39">
        <v>6.0</v>
      </c>
      <c r="B16" s="39">
        <v>1.623439723E9</v>
      </c>
      <c r="C16" s="40">
        <f>IFERROR(__xludf.DUMMYFUNCTION("INDEX(SPLIT(B16, char(10)), 0, 1)/86400+date(1970,1,1)"),44358.8116087963)</f>
        <v>44358.81161</v>
      </c>
      <c r="D16" s="39" t="s">
        <v>103</v>
      </c>
      <c r="E16" s="39" t="s">
        <v>379</v>
      </c>
      <c r="F16" s="39" t="s">
        <v>380</v>
      </c>
    </row>
    <row r="17">
      <c r="A17" s="39">
        <v>7.0</v>
      </c>
      <c r="B17" s="39">
        <v>1.623439875E9</v>
      </c>
      <c r="C17" s="40">
        <f>IFERROR(__xludf.DUMMYFUNCTION("INDEX(SPLIT(B17, char(10)), 0, 1)/86400+date(1970,1,1)"),44358.813368055555)</f>
        <v>44358.81337</v>
      </c>
      <c r="D17" s="39" t="s">
        <v>96</v>
      </c>
      <c r="E17" s="39" t="s">
        <v>160</v>
      </c>
      <c r="F17" s="39" t="s">
        <v>381</v>
      </c>
    </row>
    <row r="18">
      <c r="A18" s="39">
        <v>8.0</v>
      </c>
      <c r="B18" s="39">
        <v>1.623439992E9</v>
      </c>
      <c r="C18" s="40">
        <f>IFERROR(__xludf.DUMMYFUNCTION("INDEX(SPLIT(B18, char(10)), 0, 1)/86400+date(1970,1,1)"),44358.81472222222)</f>
        <v>44358.81472</v>
      </c>
      <c r="D18" s="39" t="s">
        <v>93</v>
      </c>
      <c r="E18" s="39" t="s">
        <v>382</v>
      </c>
      <c r="F18" s="39" t="s">
        <v>383</v>
      </c>
    </row>
    <row r="19">
      <c r="A19" s="39">
        <v>9.0</v>
      </c>
      <c r="B19" s="39">
        <v>1.623440207E9</v>
      </c>
      <c r="C19" s="40">
        <f>IFERROR(__xludf.DUMMYFUNCTION("INDEX(SPLIT(B19, char(10)), 0, 1)/86400+date(1970,1,1)"),44358.81721064815)</f>
        <v>44358.81721</v>
      </c>
      <c r="D19" s="39" t="s">
        <v>103</v>
      </c>
      <c r="E19" s="39" t="s">
        <v>198</v>
      </c>
      <c r="F19" s="39" t="s">
        <v>384</v>
      </c>
    </row>
    <row r="20">
      <c r="A20" s="39">
        <v>9.0</v>
      </c>
      <c r="B20" s="39">
        <v>1.623440275E9</v>
      </c>
      <c r="C20" s="40">
        <f>IFERROR(__xludf.DUMMYFUNCTION("INDEX(SPLIT(B20, char(10)), 0, 1)/86400+date(1970,1,1)"),44358.81799768518)</f>
        <v>44358.818</v>
      </c>
      <c r="D20" s="39" t="s">
        <v>93</v>
      </c>
      <c r="E20" s="39" t="s">
        <v>366</v>
      </c>
      <c r="F20" s="39" t="s">
        <v>385</v>
      </c>
    </row>
    <row r="21">
      <c r="A21" s="39">
        <v>9.0</v>
      </c>
      <c r="B21" s="39">
        <v>1.623440278E9</v>
      </c>
      <c r="C21" s="40">
        <f>IFERROR(__xludf.DUMMYFUNCTION("INDEX(SPLIT(B21, char(10)), 0, 1)/86400+date(1970,1,1)"),44358.818032407406)</f>
        <v>44358.81803</v>
      </c>
      <c r="D21" s="39" t="s">
        <v>174</v>
      </c>
      <c r="E21" s="39" t="s">
        <v>386</v>
      </c>
      <c r="F21" s="39" t="s">
        <v>387</v>
      </c>
    </row>
    <row r="22">
      <c r="A22" s="39">
        <v>10.0</v>
      </c>
      <c r="B22" s="39">
        <v>1.623440639E9</v>
      </c>
      <c r="C22" s="40">
        <f>IFERROR(__xludf.DUMMYFUNCTION("INDEX(SPLIT(B22, char(10)), 0, 1)/86400+date(1970,1,1)"),44358.82221064815)</f>
        <v>44358.82221</v>
      </c>
      <c r="D22" s="39" t="s">
        <v>90</v>
      </c>
      <c r="E22" s="39" t="s">
        <v>388</v>
      </c>
      <c r="F22" s="39" t="s">
        <v>389</v>
      </c>
    </row>
    <row r="23">
      <c r="A23" s="39">
        <v>10.0</v>
      </c>
      <c r="B23" s="39">
        <v>1.623440656E9</v>
      </c>
      <c r="C23" s="40">
        <f>IFERROR(__xludf.DUMMYFUNCTION("INDEX(SPLIT(B23, char(10)), 0, 1)/86400+date(1970,1,1)"),44358.82240740741)</f>
        <v>44358.82241</v>
      </c>
      <c r="D23" s="39" t="s">
        <v>174</v>
      </c>
      <c r="E23" s="39" t="s">
        <v>390</v>
      </c>
      <c r="F23" s="39" t="s">
        <v>391</v>
      </c>
    </row>
    <row r="24">
      <c r="A24" s="39">
        <v>10.0</v>
      </c>
      <c r="B24" s="39">
        <v>1.623440661E9</v>
      </c>
      <c r="C24" s="40">
        <f>IFERROR(__xludf.DUMMYFUNCTION("INDEX(SPLIT(B24, char(10)), 0, 1)/86400+date(1970,1,1)"),44358.82246527778)</f>
        <v>44358.82247</v>
      </c>
      <c r="D24" s="39" t="s">
        <v>124</v>
      </c>
      <c r="E24" s="39" t="s">
        <v>392</v>
      </c>
      <c r="F24" s="39" t="s">
        <v>393</v>
      </c>
    </row>
    <row r="25">
      <c r="A25" s="39">
        <v>10.0</v>
      </c>
      <c r="B25" s="39">
        <v>1.623440689E9</v>
      </c>
      <c r="C25" s="40">
        <f>IFERROR(__xludf.DUMMYFUNCTION("INDEX(SPLIT(B25, char(10)), 0, 1)/86400+date(1970,1,1)"),44358.82278935185)</f>
        <v>44358.82279</v>
      </c>
      <c r="D25" s="39" t="s">
        <v>81</v>
      </c>
      <c r="E25" s="39" t="s">
        <v>394</v>
      </c>
      <c r="F25" s="39" t="s">
        <v>395</v>
      </c>
    </row>
    <row r="26">
      <c r="A26" s="39">
        <v>10.0</v>
      </c>
      <c r="B26" s="39">
        <v>1.623440723E9</v>
      </c>
      <c r="C26" s="40">
        <f>IFERROR(__xludf.DUMMYFUNCTION("INDEX(SPLIT(B26, char(10)), 0, 1)/86400+date(1970,1,1)"),44358.82318287037)</f>
        <v>44358.82318</v>
      </c>
      <c r="D26" s="39" t="s">
        <v>103</v>
      </c>
      <c r="E26" s="39" t="s">
        <v>396</v>
      </c>
      <c r="F26" s="39" t="s">
        <v>397</v>
      </c>
    </row>
    <row r="27">
      <c r="A27" s="39">
        <v>11.0</v>
      </c>
      <c r="B27" s="39">
        <v>1.623440745E9</v>
      </c>
      <c r="C27" s="40">
        <f>IFERROR(__xludf.DUMMYFUNCTION("INDEX(SPLIT(B27, char(10)), 0, 1)/86400+date(1970,1,1)"),44358.8234375)</f>
        <v>44358.82344</v>
      </c>
      <c r="D27" s="39" t="s">
        <v>151</v>
      </c>
      <c r="E27" s="39" t="s">
        <v>398</v>
      </c>
      <c r="F27" s="39" t="s">
        <v>399</v>
      </c>
    </row>
    <row r="28">
      <c r="A28" s="39">
        <v>11.0</v>
      </c>
      <c r="B28" s="39">
        <v>1.623440754E9</v>
      </c>
      <c r="C28" s="40">
        <f>IFERROR(__xludf.DUMMYFUNCTION("INDEX(SPLIT(B28, char(10)), 0, 1)/86400+date(1970,1,1)"),44358.82354166667)</f>
        <v>44358.82354</v>
      </c>
      <c r="D28" s="39" t="s">
        <v>90</v>
      </c>
      <c r="E28" s="39" t="s">
        <v>400</v>
      </c>
      <c r="F28" s="39" t="s">
        <v>401</v>
      </c>
    </row>
    <row r="29">
      <c r="A29" s="39">
        <v>11.0</v>
      </c>
      <c r="B29" s="39">
        <v>1.62344076E9</v>
      </c>
      <c r="C29" s="40">
        <f>IFERROR(__xludf.DUMMYFUNCTION("INDEX(SPLIT(B29, char(10)), 0, 1)/86400+date(1970,1,1)"),44358.82361111111)</f>
        <v>44358.82361</v>
      </c>
      <c r="D29" s="39" t="s">
        <v>93</v>
      </c>
      <c r="E29" s="39" t="s">
        <v>402</v>
      </c>
      <c r="F29" s="39" t="s">
        <v>403</v>
      </c>
    </row>
    <row r="30">
      <c r="A30" s="39">
        <v>11.0</v>
      </c>
      <c r="B30" s="39">
        <v>1.62344077E9</v>
      </c>
      <c r="C30" s="40">
        <f>IFERROR(__xludf.DUMMYFUNCTION("INDEX(SPLIT(B30, char(10)), 0, 1)/86400+date(1970,1,1)"),44358.82372685186)</f>
        <v>44358.82373</v>
      </c>
      <c r="D30" s="39" t="s">
        <v>124</v>
      </c>
      <c r="E30" s="39" t="s">
        <v>404</v>
      </c>
      <c r="F30" s="39" t="s">
        <v>405</v>
      </c>
    </row>
    <row r="31">
      <c r="A31" s="39">
        <v>11.0</v>
      </c>
      <c r="B31" s="39">
        <v>1.623440784E9</v>
      </c>
      <c r="C31" s="40">
        <f>IFERROR(__xludf.DUMMYFUNCTION("INDEX(SPLIT(B31, char(10)), 0, 1)/86400+date(1970,1,1)"),44358.82388888889)</f>
        <v>44358.82389</v>
      </c>
      <c r="D31" s="39" t="s">
        <v>81</v>
      </c>
      <c r="E31" s="39" t="s">
        <v>406</v>
      </c>
      <c r="F31" s="39" t="s">
        <v>407</v>
      </c>
    </row>
    <row r="32">
      <c r="A32" s="39">
        <v>12.0</v>
      </c>
      <c r="B32" s="39">
        <v>1.623440837E9</v>
      </c>
      <c r="C32" s="40">
        <f>IFERROR(__xludf.DUMMYFUNCTION("INDEX(SPLIT(B32, char(10)), 0, 1)/86400+date(1970,1,1)"),44358.82450231482)</f>
        <v>44358.8245</v>
      </c>
      <c r="D32" s="39" t="s">
        <v>174</v>
      </c>
      <c r="E32" s="39" t="s">
        <v>408</v>
      </c>
      <c r="F32" s="39" t="s">
        <v>409</v>
      </c>
    </row>
    <row r="33">
      <c r="A33" s="39">
        <v>12.0</v>
      </c>
      <c r="B33" s="39">
        <v>1.623440887E9</v>
      </c>
      <c r="C33" s="40">
        <f>IFERROR(__xludf.DUMMYFUNCTION("INDEX(SPLIT(B33, char(10)), 0, 1)/86400+date(1970,1,1)"),44358.82508101852)</f>
        <v>44358.82508</v>
      </c>
      <c r="D33" s="39" t="s">
        <v>90</v>
      </c>
      <c r="E33" s="39" t="s">
        <v>112</v>
      </c>
      <c r="F33" s="39" t="s">
        <v>410</v>
      </c>
    </row>
    <row r="34">
      <c r="A34" s="39">
        <v>13.0</v>
      </c>
      <c r="B34" s="39">
        <v>1.623440988E9</v>
      </c>
      <c r="C34" s="40">
        <f>IFERROR(__xludf.DUMMYFUNCTION("INDEX(SPLIT(B34, char(10)), 0, 1)/86400+date(1970,1,1)"),44358.82625)</f>
        <v>44358.82625</v>
      </c>
      <c r="D34" s="39" t="s">
        <v>81</v>
      </c>
      <c r="E34" s="39" t="s">
        <v>411</v>
      </c>
      <c r="F34" s="39" t="s">
        <v>412</v>
      </c>
    </row>
    <row r="35">
      <c r="A35" s="39">
        <v>13.0</v>
      </c>
      <c r="B35" s="39">
        <v>1.623440991E9</v>
      </c>
      <c r="C35" s="40">
        <f>IFERROR(__xludf.DUMMYFUNCTION("INDEX(SPLIT(B35, char(10)), 0, 1)/86400+date(1970,1,1)"),44358.82628472222)</f>
        <v>44358.82628</v>
      </c>
      <c r="D35" s="39" t="s">
        <v>174</v>
      </c>
      <c r="E35" s="39" t="s">
        <v>413</v>
      </c>
      <c r="F35" s="39" t="s">
        <v>414</v>
      </c>
    </row>
    <row r="36">
      <c r="A36" s="39">
        <v>13.0</v>
      </c>
      <c r="B36" s="39">
        <v>1.623441015E9</v>
      </c>
      <c r="C36" s="40">
        <f>IFERROR(__xludf.DUMMYFUNCTION("INDEX(SPLIT(B36, char(10)), 0, 1)/86400+date(1970,1,1)"),44358.8265625)</f>
        <v>44358.82656</v>
      </c>
      <c r="D36" s="39" t="s">
        <v>90</v>
      </c>
      <c r="E36" s="39" t="s">
        <v>415</v>
      </c>
      <c r="F36" s="39" t="s">
        <v>416</v>
      </c>
    </row>
    <row r="37">
      <c r="A37" s="39">
        <v>14.0</v>
      </c>
      <c r="B37" s="39">
        <v>1.623441669E9</v>
      </c>
      <c r="C37" s="40">
        <f>IFERROR(__xludf.DUMMYFUNCTION("INDEX(SPLIT(B37, char(10)), 0, 1)/86400+date(1970,1,1)"),44358.834131944444)</f>
        <v>44358.83413</v>
      </c>
      <c r="D37" s="39" t="s">
        <v>96</v>
      </c>
      <c r="E37" s="39" t="s">
        <v>166</v>
      </c>
      <c r="F37" s="39" t="s">
        <v>417</v>
      </c>
    </row>
    <row r="38">
      <c r="A38" s="39">
        <v>15.0</v>
      </c>
      <c r="B38" s="39">
        <v>1.623441783E9</v>
      </c>
      <c r="C38" s="40">
        <f>IFERROR(__xludf.DUMMYFUNCTION("INDEX(SPLIT(B38, char(10)), 0, 1)/86400+date(1970,1,1)"),44358.83545138889)</f>
        <v>44358.83545</v>
      </c>
      <c r="D38" s="39" t="s">
        <v>96</v>
      </c>
      <c r="E38" s="39" t="s">
        <v>418</v>
      </c>
      <c r="F38" s="39" t="s">
        <v>419</v>
      </c>
    </row>
    <row r="39">
      <c r="A39" s="39">
        <v>16.0</v>
      </c>
      <c r="B39" s="39">
        <v>1.623441902E9</v>
      </c>
      <c r="C39" s="40">
        <f>IFERROR(__xludf.DUMMYFUNCTION("INDEX(SPLIT(B39, char(10)), 0, 1)/86400+date(1970,1,1)"),44358.8368287037)</f>
        <v>44358.83683</v>
      </c>
      <c r="D39" s="39" t="s">
        <v>136</v>
      </c>
      <c r="E39" s="39" t="s">
        <v>420</v>
      </c>
      <c r="F39" s="39" t="s">
        <v>421</v>
      </c>
    </row>
    <row r="40">
      <c r="A40" s="39">
        <v>16.0</v>
      </c>
      <c r="B40" s="39">
        <v>1.623441904E9</v>
      </c>
      <c r="C40" s="40">
        <f>IFERROR(__xludf.DUMMYFUNCTION("INDEX(SPLIT(B40, char(10)), 0, 1)/86400+date(1970,1,1)"),44358.836851851855)</f>
        <v>44358.83685</v>
      </c>
      <c r="D40" s="39" t="s">
        <v>93</v>
      </c>
      <c r="E40" s="39" t="s">
        <v>290</v>
      </c>
      <c r="F40" s="39" t="s">
        <v>422</v>
      </c>
    </row>
    <row r="41">
      <c r="A41" s="39">
        <v>17.0</v>
      </c>
      <c r="B41" s="39">
        <v>1.623442211E9</v>
      </c>
      <c r="C41" s="40">
        <f>IFERROR(__xludf.DUMMYFUNCTION("INDEX(SPLIT(B41, char(10)), 0, 1)/86400+date(1970,1,1)"),44358.84040509259)</f>
        <v>44358.84041</v>
      </c>
      <c r="D41" s="39" t="s">
        <v>93</v>
      </c>
      <c r="E41" s="39" t="s">
        <v>423</v>
      </c>
      <c r="F41" s="39" t="s">
        <v>424</v>
      </c>
    </row>
    <row r="42">
      <c r="A42" s="39">
        <v>17.0</v>
      </c>
      <c r="B42" s="39">
        <v>1.623442233E9</v>
      </c>
      <c r="C42" s="40">
        <f>IFERROR(__xludf.DUMMYFUNCTION("INDEX(SPLIT(B42, char(10)), 0, 1)/86400+date(1970,1,1)"),44358.84065972222)</f>
        <v>44358.84066</v>
      </c>
      <c r="D42" s="39" t="s">
        <v>131</v>
      </c>
      <c r="E42" s="39" t="s">
        <v>425</v>
      </c>
      <c r="F42" s="39" t="s">
        <v>426</v>
      </c>
    </row>
    <row r="43">
      <c r="A43" s="39">
        <v>17.0</v>
      </c>
      <c r="B43" s="39">
        <v>1.623442236E9</v>
      </c>
      <c r="C43" s="40">
        <f>IFERROR(__xludf.DUMMYFUNCTION("INDEX(SPLIT(B43, char(10)), 0, 1)/86400+date(1970,1,1)"),44358.84069444444)</f>
        <v>44358.84069</v>
      </c>
      <c r="D43" s="39" t="s">
        <v>90</v>
      </c>
      <c r="E43" s="39" t="s">
        <v>427</v>
      </c>
      <c r="F43" s="39" t="s">
        <v>428</v>
      </c>
    </row>
    <row r="44">
      <c r="A44" s="39">
        <v>17.0</v>
      </c>
      <c r="B44" s="39">
        <v>1.62344224E9</v>
      </c>
      <c r="C44" s="40">
        <f>IFERROR(__xludf.DUMMYFUNCTION("INDEX(SPLIT(B44, char(10)), 0, 1)/86400+date(1970,1,1)"),44358.840740740736)</f>
        <v>44358.84074</v>
      </c>
      <c r="D44" s="39" t="s">
        <v>96</v>
      </c>
      <c r="E44" s="39" t="s">
        <v>429</v>
      </c>
      <c r="F44" s="39" t="s">
        <v>430</v>
      </c>
    </row>
    <row r="45">
      <c r="A45" s="39">
        <v>17.0</v>
      </c>
      <c r="B45" s="39">
        <v>1.623442246E9</v>
      </c>
      <c r="C45" s="40">
        <f>IFERROR(__xludf.DUMMYFUNCTION("INDEX(SPLIT(B45, char(10)), 0, 1)/86400+date(1970,1,1)"),44358.84081018518)</f>
        <v>44358.84081</v>
      </c>
      <c r="D45" s="39" t="s">
        <v>103</v>
      </c>
      <c r="E45" s="39" t="s">
        <v>431</v>
      </c>
      <c r="F45" s="39" t="s">
        <v>432</v>
      </c>
    </row>
    <row r="46">
      <c r="A46" s="39">
        <v>17.0</v>
      </c>
      <c r="B46" s="39">
        <v>1.623442268E9</v>
      </c>
      <c r="C46" s="40">
        <f>IFERROR(__xludf.DUMMYFUNCTION("INDEX(SPLIT(B46, char(10)), 0, 1)/86400+date(1970,1,1)"),44358.84106481481)</f>
        <v>44358.84106</v>
      </c>
      <c r="D46" s="39" t="s">
        <v>81</v>
      </c>
      <c r="E46" s="39" t="s">
        <v>433</v>
      </c>
      <c r="F46" s="39" t="s">
        <v>434</v>
      </c>
    </row>
    <row r="47">
      <c r="A47" s="39">
        <v>17.0</v>
      </c>
      <c r="B47" s="39">
        <v>1.623442273E9</v>
      </c>
      <c r="C47" s="40">
        <f>IFERROR(__xludf.DUMMYFUNCTION("INDEX(SPLIT(B47, char(10)), 0, 1)/86400+date(1970,1,1)"),44358.84112268519)</f>
        <v>44358.84112</v>
      </c>
      <c r="D47" s="39" t="s">
        <v>174</v>
      </c>
      <c r="E47" s="39" t="s">
        <v>435</v>
      </c>
      <c r="F47" s="39" t="s">
        <v>436</v>
      </c>
    </row>
    <row r="48">
      <c r="A48" s="39">
        <v>18.0</v>
      </c>
      <c r="B48" s="39">
        <v>1.623442308E9</v>
      </c>
      <c r="C48" s="40">
        <f>IFERROR(__xludf.DUMMYFUNCTION("INDEX(SPLIT(B48, char(10)), 0, 1)/86400+date(1970,1,1)"),44358.84152777778)</f>
        <v>44358.84153</v>
      </c>
      <c r="D48" s="39" t="s">
        <v>136</v>
      </c>
      <c r="E48" s="39" t="s">
        <v>437</v>
      </c>
      <c r="F48" s="39" t="s">
        <v>438</v>
      </c>
    </row>
    <row r="49">
      <c r="A49" s="39">
        <v>18.0</v>
      </c>
      <c r="B49" s="39">
        <v>1.623442351E9</v>
      </c>
      <c r="C49" s="40">
        <f>IFERROR(__xludf.DUMMYFUNCTION("INDEX(SPLIT(B49, char(10)), 0, 1)/86400+date(1970,1,1)"),44358.84202546296)</f>
        <v>44358.84203</v>
      </c>
      <c r="D49" s="39" t="s">
        <v>96</v>
      </c>
      <c r="E49" s="39" t="s">
        <v>439</v>
      </c>
      <c r="F49" s="39" t="s">
        <v>440</v>
      </c>
    </row>
    <row r="50">
      <c r="A50" s="39">
        <v>18.0</v>
      </c>
      <c r="B50" s="39">
        <v>1.623442379E9</v>
      </c>
      <c r="C50" s="40">
        <f>IFERROR(__xludf.DUMMYFUNCTION("INDEX(SPLIT(B50, char(10)), 0, 1)/86400+date(1970,1,1)"),44358.84234953704)</f>
        <v>44358.84235</v>
      </c>
      <c r="D50" s="39" t="s">
        <v>90</v>
      </c>
      <c r="E50" s="39" t="s">
        <v>441</v>
      </c>
      <c r="F50" s="39" t="s">
        <v>442</v>
      </c>
    </row>
    <row r="51">
      <c r="A51" s="39">
        <v>19.0</v>
      </c>
      <c r="B51" s="39">
        <v>1.623442422E9</v>
      </c>
      <c r="C51" s="40">
        <f>IFERROR(__xludf.DUMMYFUNCTION("INDEX(SPLIT(B51, char(10)), 0, 1)/86400+date(1970,1,1)"),44358.84284722222)</f>
        <v>44358.84285</v>
      </c>
      <c r="D51" s="39" t="s">
        <v>103</v>
      </c>
      <c r="E51" s="39" t="s">
        <v>443</v>
      </c>
      <c r="F51" s="39" t="s">
        <v>444</v>
      </c>
    </row>
    <row r="52">
      <c r="A52" s="39">
        <v>19.0</v>
      </c>
      <c r="B52" s="39">
        <v>1.62344244E9</v>
      </c>
      <c r="C52" s="40">
        <f>IFERROR(__xludf.DUMMYFUNCTION("INDEX(SPLIT(B52, char(10)), 0, 1)/86400+date(1970,1,1)"),44358.84305555555)</f>
        <v>44358.84306</v>
      </c>
      <c r="D52" s="39" t="s">
        <v>136</v>
      </c>
      <c r="E52" s="39" t="s">
        <v>445</v>
      </c>
      <c r="F52" s="39" t="s">
        <v>446</v>
      </c>
    </row>
    <row r="53">
      <c r="A53" s="39">
        <v>19.0</v>
      </c>
      <c r="B53" s="39">
        <v>1.623442446E9</v>
      </c>
      <c r="C53" s="40">
        <f>IFERROR(__xludf.DUMMYFUNCTION("INDEX(SPLIT(B53, char(10)), 0, 1)/86400+date(1970,1,1)"),44358.843125)</f>
        <v>44358.84313</v>
      </c>
      <c r="D53" s="39" t="s">
        <v>174</v>
      </c>
      <c r="E53" s="39" t="s">
        <v>447</v>
      </c>
      <c r="F53" s="39" t="s">
        <v>448</v>
      </c>
    </row>
    <row r="54">
      <c r="A54" s="39">
        <v>19.0</v>
      </c>
      <c r="B54" s="39">
        <v>1.623442501E9</v>
      </c>
      <c r="C54" s="40">
        <f>IFERROR(__xludf.DUMMYFUNCTION("INDEX(SPLIT(B54, char(10)), 0, 1)/86400+date(1970,1,1)"),44358.84376157407)</f>
        <v>44358.84376</v>
      </c>
      <c r="D54" s="39" t="s">
        <v>96</v>
      </c>
      <c r="E54" s="39" t="s">
        <v>449</v>
      </c>
      <c r="F54" s="39" t="s">
        <v>450</v>
      </c>
    </row>
    <row r="55">
      <c r="A55" s="39">
        <v>19.0</v>
      </c>
      <c r="B55" s="39">
        <v>1.623442507E9</v>
      </c>
      <c r="C55" s="40">
        <f>IFERROR(__xludf.DUMMYFUNCTION("INDEX(SPLIT(B55, char(10)), 0, 1)/86400+date(1970,1,1)"),44358.843831018516)</f>
        <v>44358.84383</v>
      </c>
      <c r="D55" s="39" t="s">
        <v>90</v>
      </c>
      <c r="E55" s="39" t="s">
        <v>366</v>
      </c>
      <c r="F55" s="39" t="s">
        <v>451</v>
      </c>
    </row>
    <row r="56">
      <c r="A56" s="39">
        <v>20.0</v>
      </c>
      <c r="B56" s="39">
        <v>1.623442547E9</v>
      </c>
      <c r="C56" s="40">
        <f>IFERROR(__xludf.DUMMYFUNCTION("INDEX(SPLIT(B56, char(10)), 0, 1)/86400+date(1970,1,1)"),44358.844293981485)</f>
        <v>44358.84429</v>
      </c>
      <c r="D56" s="39" t="s">
        <v>136</v>
      </c>
      <c r="E56" s="39" t="s">
        <v>196</v>
      </c>
      <c r="F56" s="39" t="s">
        <v>452</v>
      </c>
    </row>
    <row r="57">
      <c r="A57" s="39">
        <v>20.0</v>
      </c>
      <c r="B57" s="39">
        <v>1.623442618E9</v>
      </c>
      <c r="C57" s="40">
        <f>IFERROR(__xludf.DUMMYFUNCTION("INDEX(SPLIT(B57, char(10)), 0, 1)/86400+date(1970,1,1)"),44358.84511574074)</f>
        <v>44358.84512</v>
      </c>
      <c r="D57" s="39" t="s">
        <v>93</v>
      </c>
      <c r="E57" s="39" t="s">
        <v>453</v>
      </c>
      <c r="F57" s="39" t="s">
        <v>454</v>
      </c>
    </row>
    <row r="58">
      <c r="A58" s="39">
        <v>21.0</v>
      </c>
      <c r="B58" s="39">
        <v>1.623442652E9</v>
      </c>
      <c r="C58" s="40">
        <f>IFERROR(__xludf.DUMMYFUNCTION("INDEX(SPLIT(B58, char(10)), 0, 1)/86400+date(1970,1,1)"),44358.84550925926)</f>
        <v>44358.84551</v>
      </c>
      <c r="D58" s="39" t="s">
        <v>81</v>
      </c>
      <c r="E58" s="39" t="s">
        <v>455</v>
      </c>
      <c r="F58" s="39" t="s">
        <v>456</v>
      </c>
    </row>
    <row r="59">
      <c r="A59" s="39">
        <v>21.0</v>
      </c>
      <c r="B59" s="39">
        <v>1.623442654E9</v>
      </c>
      <c r="C59" s="40">
        <f>IFERROR(__xludf.DUMMYFUNCTION("INDEX(SPLIT(B59, char(10)), 0, 1)/86400+date(1970,1,1)"),44358.8455324074)</f>
        <v>44358.84553</v>
      </c>
      <c r="D59" s="39" t="s">
        <v>103</v>
      </c>
      <c r="E59" s="39" t="s">
        <v>198</v>
      </c>
      <c r="F59" s="39" t="s">
        <v>457</v>
      </c>
    </row>
    <row r="60">
      <c r="A60" s="39">
        <v>21.0</v>
      </c>
      <c r="B60" s="39">
        <v>1.623442665E9</v>
      </c>
      <c r="C60" s="40">
        <f>IFERROR(__xludf.DUMMYFUNCTION("INDEX(SPLIT(B60, char(10)), 0, 1)/86400+date(1970,1,1)"),44358.845659722225)</f>
        <v>44358.84566</v>
      </c>
      <c r="D60" s="39" t="s">
        <v>96</v>
      </c>
      <c r="E60" s="39" t="s">
        <v>458</v>
      </c>
      <c r="F60" s="39" t="s">
        <v>459</v>
      </c>
    </row>
    <row r="61">
      <c r="A61" s="39">
        <v>21.0</v>
      </c>
      <c r="B61" s="39">
        <v>1.623442677E9</v>
      </c>
      <c r="C61" s="40">
        <f>IFERROR(__xludf.DUMMYFUNCTION("INDEX(SPLIT(B61, char(10)), 0, 1)/86400+date(1970,1,1)"),44358.84579861111)</f>
        <v>44358.8458</v>
      </c>
      <c r="D61" s="39" t="s">
        <v>90</v>
      </c>
      <c r="E61" s="39" t="s">
        <v>455</v>
      </c>
      <c r="F61" s="39" t="s">
        <v>460</v>
      </c>
    </row>
    <row r="62">
      <c r="A62" s="39">
        <v>22.0</v>
      </c>
      <c r="B62" s="39">
        <v>1.623442848E9</v>
      </c>
      <c r="C62" s="40">
        <f>IFERROR(__xludf.DUMMYFUNCTION("INDEX(SPLIT(B62, char(10)), 0, 1)/86400+date(1970,1,1)"),44358.84777777777)</f>
        <v>44358.84778</v>
      </c>
      <c r="D62" s="39" t="s">
        <v>96</v>
      </c>
      <c r="E62" s="39" t="s">
        <v>461</v>
      </c>
      <c r="F62" s="39" t="s">
        <v>462</v>
      </c>
    </row>
    <row r="63">
      <c r="A63" s="39">
        <v>23.0</v>
      </c>
      <c r="B63" s="39">
        <v>1.623442946E9</v>
      </c>
      <c r="C63" s="40">
        <f>IFERROR(__xludf.DUMMYFUNCTION("INDEX(SPLIT(B63, char(10)), 0, 1)/86400+date(1970,1,1)"),44358.848912037036)</f>
        <v>44358.84891</v>
      </c>
      <c r="D63" s="39" t="s">
        <v>90</v>
      </c>
      <c r="E63" s="39" t="s">
        <v>463</v>
      </c>
      <c r="F63" s="39" t="s">
        <v>464</v>
      </c>
    </row>
    <row r="64">
      <c r="A64" s="39">
        <v>23.0</v>
      </c>
      <c r="B64" s="39">
        <v>1.623442948E9</v>
      </c>
      <c r="C64" s="40">
        <f>IFERROR(__xludf.DUMMYFUNCTION("INDEX(SPLIT(B64, char(10)), 0, 1)/86400+date(1970,1,1)"),44358.84893518519)</f>
        <v>44358.84894</v>
      </c>
      <c r="D64" s="39" t="s">
        <v>96</v>
      </c>
      <c r="E64" s="39" t="s">
        <v>465</v>
      </c>
      <c r="F64" s="39" t="s">
        <v>466</v>
      </c>
    </row>
    <row r="65">
      <c r="A65" s="39">
        <v>23.0</v>
      </c>
      <c r="B65" s="39">
        <v>1.623443019E9</v>
      </c>
      <c r="C65" s="40">
        <f>IFERROR(__xludf.DUMMYFUNCTION("INDEX(SPLIT(B65, char(10)), 0, 1)/86400+date(1970,1,1)"),44358.849756944444)</f>
        <v>44358.84976</v>
      </c>
      <c r="D65" s="39" t="s">
        <v>93</v>
      </c>
      <c r="E65" s="39" t="s">
        <v>467</v>
      </c>
      <c r="F65" s="39" t="s">
        <v>468</v>
      </c>
    </row>
    <row r="66">
      <c r="A66" s="39">
        <v>23.0</v>
      </c>
      <c r="B66" s="39">
        <v>1.623443022E9</v>
      </c>
      <c r="C66" s="40">
        <f>IFERROR(__xludf.DUMMYFUNCTION("INDEX(SPLIT(B66, char(10)), 0, 1)/86400+date(1970,1,1)"),44358.84979166667)</f>
        <v>44358.84979</v>
      </c>
      <c r="D66" s="39" t="s">
        <v>131</v>
      </c>
      <c r="E66" s="39" t="s">
        <v>194</v>
      </c>
      <c r="F66" s="39" t="s">
        <v>469</v>
      </c>
    </row>
    <row r="67">
      <c r="A67" s="39">
        <v>23.0</v>
      </c>
      <c r="B67" s="39">
        <v>1.623443031E9</v>
      </c>
      <c r="C67" s="40">
        <f>IFERROR(__xludf.DUMMYFUNCTION("INDEX(SPLIT(B67, char(10)), 0, 1)/86400+date(1970,1,1)"),44358.84989583334)</f>
        <v>44358.8499</v>
      </c>
      <c r="D67" s="39" t="s">
        <v>81</v>
      </c>
      <c r="E67" s="39" t="s">
        <v>467</v>
      </c>
      <c r="F67" s="39" t="s">
        <v>470</v>
      </c>
    </row>
    <row r="68">
      <c r="A68" s="39">
        <v>24.0</v>
      </c>
      <c r="B68" s="39">
        <v>1.623443042E9</v>
      </c>
      <c r="C68" s="40">
        <f>IFERROR(__xludf.DUMMYFUNCTION("INDEX(SPLIT(B68, char(10)), 0, 1)/86400+date(1970,1,1)"),44358.850023148145)</f>
        <v>44358.85002</v>
      </c>
      <c r="D68" s="39" t="s">
        <v>96</v>
      </c>
      <c r="E68" s="39" t="s">
        <v>467</v>
      </c>
      <c r="F68" s="39" t="s">
        <v>471</v>
      </c>
    </row>
    <row r="69">
      <c r="A69" s="39">
        <v>24.0</v>
      </c>
      <c r="B69" s="39">
        <v>1.623443061E9</v>
      </c>
      <c r="C69" s="40">
        <f>IFERROR(__xludf.DUMMYFUNCTION("INDEX(SPLIT(B69, char(10)), 0, 1)/86400+date(1970,1,1)"),44358.85024305555)</f>
        <v>44358.85024</v>
      </c>
      <c r="D69" s="39" t="s">
        <v>90</v>
      </c>
      <c r="E69" s="39" t="s">
        <v>472</v>
      </c>
      <c r="F69" s="39" t="s">
        <v>473</v>
      </c>
    </row>
    <row r="70">
      <c r="A70" s="39">
        <v>24.0</v>
      </c>
      <c r="B70" s="39">
        <v>1.623443071E9</v>
      </c>
      <c r="C70" s="40">
        <f>IFERROR(__xludf.DUMMYFUNCTION("INDEX(SPLIT(B70, char(10)), 0, 1)/86400+date(1970,1,1)"),44358.85035879629)</f>
        <v>44358.85036</v>
      </c>
      <c r="D70" s="39" t="s">
        <v>151</v>
      </c>
      <c r="E70" s="39" t="s">
        <v>467</v>
      </c>
      <c r="F70" s="39" t="s">
        <v>474</v>
      </c>
    </row>
    <row r="71">
      <c r="A71" s="39">
        <v>24.0</v>
      </c>
      <c r="B71" s="39">
        <v>1.623443082E9</v>
      </c>
      <c r="C71" s="40">
        <f>IFERROR(__xludf.DUMMYFUNCTION("INDEX(SPLIT(B71, char(10)), 0, 1)/86400+date(1970,1,1)"),44358.850486111114)</f>
        <v>44358.85049</v>
      </c>
      <c r="D71" s="39" t="s">
        <v>174</v>
      </c>
      <c r="E71" s="39" t="s">
        <v>475</v>
      </c>
      <c r="F71" s="39" t="s">
        <v>476</v>
      </c>
    </row>
    <row r="72">
      <c r="A72" s="39">
        <v>24.0</v>
      </c>
      <c r="B72" s="39">
        <v>1.623443108E9</v>
      </c>
      <c r="C72" s="40">
        <f>IFERROR(__xludf.DUMMYFUNCTION("INDEX(SPLIT(B72, char(10)), 0, 1)/86400+date(1970,1,1)"),44358.85078703704)</f>
        <v>44358.85079</v>
      </c>
      <c r="D72" s="39" t="s">
        <v>103</v>
      </c>
      <c r="E72" s="39" t="s">
        <v>477</v>
      </c>
      <c r="F72" s="39" t="s">
        <v>478</v>
      </c>
    </row>
    <row r="73">
      <c r="A73" s="39">
        <v>25.0</v>
      </c>
      <c r="B73" s="39">
        <v>1.623443202E9</v>
      </c>
      <c r="C73" s="40">
        <f>IFERROR(__xludf.DUMMYFUNCTION("INDEX(SPLIT(B73, char(10)), 0, 1)/86400+date(1970,1,1)"),44358.851875)</f>
        <v>44358.85188</v>
      </c>
      <c r="D73" s="39" t="s">
        <v>81</v>
      </c>
      <c r="E73" s="39" t="s">
        <v>479</v>
      </c>
      <c r="F73" s="39" t="s">
        <v>480</v>
      </c>
    </row>
    <row r="74">
      <c r="A74" s="39">
        <v>25.0</v>
      </c>
      <c r="B74" s="39">
        <v>1.623443255E9</v>
      </c>
      <c r="C74" s="40">
        <f>IFERROR(__xludf.DUMMYFUNCTION("INDEX(SPLIT(B74, char(10)), 0, 1)/86400+date(1970,1,1)"),44358.852488425924)</f>
        <v>44358.85249</v>
      </c>
      <c r="D74" s="39" t="s">
        <v>96</v>
      </c>
      <c r="E74" s="39" t="s">
        <v>481</v>
      </c>
      <c r="F74" s="39" t="s">
        <v>482</v>
      </c>
    </row>
    <row r="75">
      <c r="A75" s="39">
        <v>25.0</v>
      </c>
      <c r="B75" s="39">
        <v>1.623443284E9</v>
      </c>
      <c r="C75" s="40">
        <f>IFERROR(__xludf.DUMMYFUNCTION("INDEX(SPLIT(B75, char(10)), 0, 1)/86400+date(1970,1,1)"),44358.85282407407)</f>
        <v>44358.85282</v>
      </c>
      <c r="D75" s="39" t="s">
        <v>90</v>
      </c>
      <c r="E75" s="39" t="s">
        <v>483</v>
      </c>
      <c r="F75" s="39" t="s">
        <v>484</v>
      </c>
    </row>
    <row r="76">
      <c r="A76" s="39">
        <v>26.0</v>
      </c>
      <c r="B76" s="39">
        <v>1.623443403E9</v>
      </c>
      <c r="C76" s="40">
        <f>IFERROR(__xludf.DUMMYFUNCTION("INDEX(SPLIT(B76, char(10)), 0, 1)/86400+date(1970,1,1)"),44358.85420138889)</f>
        <v>44358.8542</v>
      </c>
      <c r="D76" s="39" t="s">
        <v>93</v>
      </c>
      <c r="E76" s="39" t="s">
        <v>485</v>
      </c>
      <c r="F76" s="39" t="s">
        <v>486</v>
      </c>
    </row>
    <row r="77">
      <c r="A77" s="39">
        <v>26.0</v>
      </c>
      <c r="B77" s="39">
        <v>1.623443403E9</v>
      </c>
      <c r="C77" s="40">
        <f>IFERROR(__xludf.DUMMYFUNCTION("INDEX(SPLIT(B77, char(10)), 0, 1)/86400+date(1970,1,1)"),44358.85420138889)</f>
        <v>44358.8542</v>
      </c>
      <c r="D77" s="39" t="s">
        <v>96</v>
      </c>
      <c r="E77" s="39" t="s">
        <v>487</v>
      </c>
      <c r="F77" s="39" t="s">
        <v>488</v>
      </c>
    </row>
    <row r="78">
      <c r="A78" s="39">
        <v>27.0</v>
      </c>
      <c r="B78" s="39">
        <v>1.623443507E9</v>
      </c>
      <c r="C78" s="40">
        <f>IFERROR(__xludf.DUMMYFUNCTION("INDEX(SPLIT(B78, char(10)), 0, 1)/86400+date(1970,1,1)"),44358.85540509259)</f>
        <v>44358.85541</v>
      </c>
      <c r="D78" s="39" t="s">
        <v>90</v>
      </c>
      <c r="E78" s="39" t="s">
        <v>489</v>
      </c>
      <c r="F78" s="39" t="s">
        <v>490</v>
      </c>
    </row>
    <row r="79">
      <c r="A79" s="39">
        <v>27.0</v>
      </c>
      <c r="B79" s="39">
        <v>1.623443524E9</v>
      </c>
      <c r="C79" s="40">
        <f>IFERROR(__xludf.DUMMYFUNCTION("INDEX(SPLIT(B79, char(10)), 0, 1)/86400+date(1970,1,1)"),44358.85560185185)</f>
        <v>44358.8556</v>
      </c>
      <c r="D79" s="39" t="s">
        <v>93</v>
      </c>
      <c r="E79" s="39" t="s">
        <v>491</v>
      </c>
      <c r="F79" s="39" t="s">
        <v>492</v>
      </c>
    </row>
    <row r="80">
      <c r="A80" s="39">
        <v>28.0</v>
      </c>
      <c r="B80" s="39">
        <v>1.623443638E9</v>
      </c>
      <c r="C80" s="40">
        <f>IFERROR(__xludf.DUMMYFUNCTION("INDEX(SPLIT(B80, char(10)), 0, 1)/86400+date(1970,1,1)"),44358.8569212963)</f>
        <v>44358.85692</v>
      </c>
      <c r="D80" s="39" t="s">
        <v>90</v>
      </c>
      <c r="E80" s="39" t="s">
        <v>396</v>
      </c>
      <c r="F80" s="39" t="s">
        <v>493</v>
      </c>
    </row>
    <row r="81">
      <c r="A81" s="39">
        <v>28.0</v>
      </c>
      <c r="B81" s="39">
        <v>1.623443642E9</v>
      </c>
      <c r="C81" s="40">
        <f>IFERROR(__xludf.DUMMYFUNCTION("INDEX(SPLIT(B81, char(10)), 0, 1)/86400+date(1970,1,1)"),44358.8569675926)</f>
        <v>44358.85697</v>
      </c>
      <c r="D81" s="39" t="s">
        <v>151</v>
      </c>
      <c r="E81" s="39" t="s">
        <v>396</v>
      </c>
      <c r="F81" s="39" t="s">
        <v>494</v>
      </c>
    </row>
    <row r="82">
      <c r="A82" s="39">
        <v>28.0</v>
      </c>
      <c r="B82" s="39">
        <v>1.623443644E9</v>
      </c>
      <c r="C82" s="40">
        <f>IFERROR(__xludf.DUMMYFUNCTION("INDEX(SPLIT(B82, char(10)), 0, 1)/86400+date(1970,1,1)"),44358.85699074074)</f>
        <v>44358.85699</v>
      </c>
      <c r="D82" s="39" t="s">
        <v>103</v>
      </c>
      <c r="E82" s="39" t="s">
        <v>396</v>
      </c>
      <c r="F82" s="39" t="s">
        <v>495</v>
      </c>
    </row>
    <row r="83">
      <c r="A83" s="39">
        <v>28.0</v>
      </c>
      <c r="B83" s="39">
        <v>1.6234437E9</v>
      </c>
      <c r="C83" s="40">
        <f>IFERROR(__xludf.DUMMYFUNCTION("INDEX(SPLIT(B83, char(10)), 0, 1)/86400+date(1970,1,1)"),44358.85763888889)</f>
        <v>44358.85764</v>
      </c>
      <c r="D83" s="39" t="s">
        <v>174</v>
      </c>
      <c r="E83" s="39" t="s">
        <v>496</v>
      </c>
      <c r="F83" s="39" t="s">
        <v>497</v>
      </c>
    </row>
    <row r="84">
      <c r="A84" s="39">
        <v>29.0</v>
      </c>
      <c r="B84" s="39">
        <v>1.623443743E9</v>
      </c>
      <c r="C84" s="40">
        <f>IFERROR(__xludf.DUMMYFUNCTION("INDEX(SPLIT(B84, char(10)), 0, 1)/86400+date(1970,1,1)"),44358.858136574076)</f>
        <v>44358.85814</v>
      </c>
      <c r="D84" s="39" t="s">
        <v>90</v>
      </c>
      <c r="E84" s="39" t="s">
        <v>498</v>
      </c>
      <c r="F84" s="39" t="s">
        <v>499</v>
      </c>
    </row>
    <row r="85">
      <c r="A85" s="39">
        <v>29.0</v>
      </c>
      <c r="B85" s="39">
        <v>1.623443788E9</v>
      </c>
      <c r="C85" s="40">
        <f>IFERROR(__xludf.DUMMYFUNCTION("INDEX(SPLIT(B85, char(10)), 0, 1)/86400+date(1970,1,1)"),44358.85865740741)</f>
        <v>44358.85866</v>
      </c>
      <c r="D85" s="39" t="s">
        <v>81</v>
      </c>
      <c r="E85" s="39" t="s">
        <v>500</v>
      </c>
      <c r="F85" s="39" t="s">
        <v>501</v>
      </c>
    </row>
    <row r="86">
      <c r="A86" s="39">
        <v>29.0</v>
      </c>
      <c r="B86" s="39">
        <v>1.623443792E9</v>
      </c>
      <c r="C86" s="40">
        <f>IFERROR(__xludf.DUMMYFUNCTION("INDEX(SPLIT(B86, char(10)), 0, 1)/86400+date(1970,1,1)"),44358.85870370371)</f>
        <v>44358.8587</v>
      </c>
      <c r="D86" s="39" t="s">
        <v>93</v>
      </c>
      <c r="E86" s="39" t="s">
        <v>366</v>
      </c>
      <c r="F86" s="39" t="s">
        <v>502</v>
      </c>
    </row>
    <row r="87">
      <c r="A87" s="39">
        <v>29.0</v>
      </c>
      <c r="B87" s="39">
        <v>1.623443801E9</v>
      </c>
      <c r="C87" s="40">
        <f>IFERROR(__xludf.DUMMYFUNCTION("INDEX(SPLIT(B87, char(10)), 0, 1)/86400+date(1970,1,1)"),44358.85880787037)</f>
        <v>44358.85881</v>
      </c>
      <c r="D87" s="39" t="s">
        <v>131</v>
      </c>
      <c r="E87" s="39" t="s">
        <v>194</v>
      </c>
      <c r="F87" s="39" t="s">
        <v>503</v>
      </c>
    </row>
    <row r="88">
      <c r="A88" s="39">
        <v>30.0</v>
      </c>
      <c r="B88" s="39">
        <v>1.623443836E9</v>
      </c>
      <c r="C88" s="40">
        <f>IFERROR(__xludf.DUMMYFUNCTION("INDEX(SPLIT(B88, char(10)), 0, 1)/86400+date(1970,1,1)"),44358.85921296296)</f>
        <v>44358.85921</v>
      </c>
      <c r="D88" s="39" t="s">
        <v>96</v>
      </c>
      <c r="E88" s="39" t="s">
        <v>366</v>
      </c>
      <c r="F88" s="39" t="s">
        <v>504</v>
      </c>
    </row>
    <row r="89">
      <c r="A89" s="39">
        <v>30.0</v>
      </c>
      <c r="B89" s="39">
        <v>1.62344384E9</v>
      </c>
      <c r="C89" s="40">
        <f>IFERROR(__xludf.DUMMYFUNCTION("INDEX(SPLIT(B89, char(10)), 0, 1)/86400+date(1970,1,1)"),44358.85925925926)</f>
        <v>44358.85926</v>
      </c>
      <c r="D89" s="39" t="s">
        <v>174</v>
      </c>
      <c r="E89" s="39" t="s">
        <v>505</v>
      </c>
      <c r="F89" s="39" t="s">
        <v>506</v>
      </c>
    </row>
    <row r="90">
      <c r="A90" s="39">
        <v>30.0</v>
      </c>
      <c r="B90" s="39">
        <v>1.62344384E9</v>
      </c>
      <c r="C90" s="40">
        <f>IFERROR(__xludf.DUMMYFUNCTION("INDEX(SPLIT(B90, char(10)), 0, 1)/86400+date(1970,1,1)"),44358.85925925926)</f>
        <v>44358.85926</v>
      </c>
      <c r="D90" s="39" t="s">
        <v>103</v>
      </c>
      <c r="E90" s="39" t="s">
        <v>507</v>
      </c>
      <c r="F90" s="39" t="s">
        <v>508</v>
      </c>
    </row>
    <row r="91">
      <c r="A91" s="39">
        <v>30.0</v>
      </c>
      <c r="B91" s="39">
        <v>1.623443852E9</v>
      </c>
      <c r="C91" s="40">
        <f>IFERROR(__xludf.DUMMYFUNCTION("INDEX(SPLIT(B91, char(10)), 0, 1)/86400+date(1970,1,1)"),44358.85939814815)</f>
        <v>44358.8594</v>
      </c>
      <c r="D91" s="39" t="s">
        <v>136</v>
      </c>
      <c r="E91" s="39" t="s">
        <v>509</v>
      </c>
      <c r="F91" s="39" t="s">
        <v>510</v>
      </c>
    </row>
    <row r="92">
      <c r="A92" s="39">
        <v>31.0</v>
      </c>
      <c r="B92" s="39">
        <v>1.623443966E9</v>
      </c>
      <c r="C92" s="40">
        <f>IFERROR(__xludf.DUMMYFUNCTION("INDEX(SPLIT(B92, char(10)), 0, 1)/86400+date(1970,1,1)"),44358.86071759259)</f>
        <v>44358.86072</v>
      </c>
      <c r="D92" s="39" t="s">
        <v>96</v>
      </c>
      <c r="E92" s="39" t="s">
        <v>418</v>
      </c>
      <c r="F92" s="39" t="s">
        <v>511</v>
      </c>
    </row>
    <row r="93">
      <c r="A93" s="39">
        <v>31.0</v>
      </c>
      <c r="B93" s="39">
        <v>1.623444048E9</v>
      </c>
      <c r="C93" s="40">
        <f>IFERROR(__xludf.DUMMYFUNCTION("INDEX(SPLIT(B93, char(10)), 0, 1)/86400+date(1970,1,1)"),44358.861666666664)</f>
        <v>44358.86167</v>
      </c>
      <c r="D93" s="39" t="s">
        <v>81</v>
      </c>
      <c r="E93" s="39" t="s">
        <v>512</v>
      </c>
      <c r="F93" s="39" t="s">
        <v>513</v>
      </c>
    </row>
    <row r="94">
      <c r="A94" s="39">
        <v>32.0</v>
      </c>
      <c r="B94" s="39">
        <v>1.62344416E9</v>
      </c>
      <c r="C94" s="40">
        <f>IFERROR(__xludf.DUMMYFUNCTION("INDEX(SPLIT(B94, char(10)), 0, 1)/86400+date(1970,1,1)"),44358.86296296296)</f>
        <v>44358.86296</v>
      </c>
      <c r="D94" s="39" t="s">
        <v>81</v>
      </c>
      <c r="E94" s="39" t="s">
        <v>514</v>
      </c>
      <c r="F94" s="39" t="s">
        <v>515</v>
      </c>
    </row>
    <row r="95">
      <c r="A95" s="39">
        <v>32.0</v>
      </c>
      <c r="B95" s="39">
        <v>1.623444193E9</v>
      </c>
      <c r="C95" s="40">
        <f>IFERROR(__xludf.DUMMYFUNCTION("INDEX(SPLIT(B95, char(10)), 0, 1)/86400+date(1970,1,1)"),44358.86334490741)</f>
        <v>44358.86334</v>
      </c>
      <c r="D95" s="39" t="s">
        <v>103</v>
      </c>
      <c r="E95" s="39" t="s">
        <v>516</v>
      </c>
      <c r="F95" s="39" t="s">
        <v>517</v>
      </c>
    </row>
    <row r="96">
      <c r="A96" s="39">
        <v>32.0</v>
      </c>
      <c r="B96" s="39">
        <v>1.623444205E9</v>
      </c>
      <c r="C96" s="40">
        <f>IFERROR(__xludf.DUMMYFUNCTION("INDEX(SPLIT(B96, char(10)), 0, 1)/86400+date(1970,1,1)"),44358.863483796296)</f>
        <v>44358.86348</v>
      </c>
      <c r="D96" s="39" t="s">
        <v>136</v>
      </c>
      <c r="E96" s="39" t="s">
        <v>518</v>
      </c>
      <c r="F96" s="39" t="s">
        <v>519</v>
      </c>
    </row>
    <row r="97">
      <c r="A97" s="39">
        <v>33.0</v>
      </c>
      <c r="B97" s="39">
        <v>1.623444331E9</v>
      </c>
      <c r="C97" s="40">
        <f>IFERROR(__xludf.DUMMYFUNCTION("INDEX(SPLIT(B97, char(10)), 0, 1)/86400+date(1970,1,1)"),44358.86494212963)</f>
        <v>44358.86494</v>
      </c>
      <c r="D97" s="39" t="s">
        <v>90</v>
      </c>
      <c r="E97" s="39" t="s">
        <v>520</v>
      </c>
      <c r="F97" s="39" t="s">
        <v>521</v>
      </c>
    </row>
    <row r="98">
      <c r="A98" s="39">
        <v>33.0</v>
      </c>
      <c r="B98" s="39">
        <v>1.623444391E9</v>
      </c>
      <c r="C98" s="40">
        <f>IFERROR(__xludf.DUMMYFUNCTION("INDEX(SPLIT(B98, char(10)), 0, 1)/86400+date(1970,1,1)"),44358.865636574075)</f>
        <v>44358.86564</v>
      </c>
      <c r="D98" s="39" t="s">
        <v>81</v>
      </c>
      <c r="E98" s="39" t="s">
        <v>522</v>
      </c>
      <c r="F98" s="39" t="s">
        <v>523</v>
      </c>
    </row>
    <row r="99">
      <c r="A99" s="39">
        <v>34.0</v>
      </c>
      <c r="B99" s="39">
        <v>1.623444488E9</v>
      </c>
      <c r="C99" s="40">
        <f>IFERROR(__xludf.DUMMYFUNCTION("INDEX(SPLIT(B99, char(10)), 0, 1)/86400+date(1970,1,1)"),44358.86675925926)</f>
        <v>44358.86676</v>
      </c>
      <c r="D99" s="39" t="s">
        <v>81</v>
      </c>
      <c r="E99" s="39" t="s">
        <v>524</v>
      </c>
      <c r="F99" s="39" t="s">
        <v>525</v>
      </c>
    </row>
    <row r="100">
      <c r="A100" s="39">
        <v>35.0</v>
      </c>
      <c r="B100" s="39">
        <v>1.623444593E9</v>
      </c>
      <c r="C100" s="40">
        <f>IFERROR(__xludf.DUMMYFUNCTION("INDEX(SPLIT(B100, char(10)), 0, 1)/86400+date(1970,1,1)"),44358.86797453703)</f>
        <v>44358.86797</v>
      </c>
      <c r="D100" s="39" t="s">
        <v>93</v>
      </c>
      <c r="E100" s="39" t="s">
        <v>526</v>
      </c>
      <c r="F100" s="39" t="s">
        <v>527</v>
      </c>
    </row>
    <row r="101">
      <c r="A101" s="39">
        <v>35.0</v>
      </c>
      <c r="B101" s="39">
        <v>1.623444607E9</v>
      </c>
      <c r="C101" s="40">
        <f>IFERROR(__xludf.DUMMYFUNCTION("INDEX(SPLIT(B101, char(10)), 0, 1)/86400+date(1970,1,1)"),44358.86813657408)</f>
        <v>44358.86814</v>
      </c>
      <c r="D101" s="39" t="s">
        <v>128</v>
      </c>
      <c r="E101" s="39" t="s">
        <v>528</v>
      </c>
      <c r="F101" s="39" t="s">
        <v>529</v>
      </c>
    </row>
    <row r="102">
      <c r="A102" s="39">
        <v>35.0</v>
      </c>
      <c r="B102" s="39">
        <v>1.623444619E9</v>
      </c>
      <c r="C102" s="40">
        <f>IFERROR(__xludf.DUMMYFUNCTION("INDEX(SPLIT(B102, char(10)), 0, 1)/86400+date(1970,1,1)"),44358.86827546296)</f>
        <v>44358.86828</v>
      </c>
      <c r="D102" s="39" t="s">
        <v>174</v>
      </c>
      <c r="E102" s="39" t="s">
        <v>530</v>
      </c>
      <c r="F102" s="39" t="s">
        <v>531</v>
      </c>
    </row>
    <row r="103">
      <c r="A103" s="39">
        <v>35.0</v>
      </c>
      <c r="B103" s="39">
        <v>1.62344462E9</v>
      </c>
      <c r="C103" s="40">
        <f>IFERROR(__xludf.DUMMYFUNCTION("INDEX(SPLIT(B103, char(10)), 0, 1)/86400+date(1970,1,1)"),44358.86828703704)</f>
        <v>44358.86829</v>
      </c>
      <c r="D103" s="39" t="s">
        <v>81</v>
      </c>
      <c r="E103" s="39" t="s">
        <v>532</v>
      </c>
      <c r="F103" s="39" t="s">
        <v>533</v>
      </c>
    </row>
    <row r="104">
      <c r="A104" s="39">
        <v>35.0</v>
      </c>
      <c r="B104" s="39">
        <v>1.623444651E9</v>
      </c>
      <c r="C104" s="40">
        <f>IFERROR(__xludf.DUMMYFUNCTION("INDEX(SPLIT(B104, char(10)), 0, 1)/86400+date(1970,1,1)"),44358.86864583333)</f>
        <v>44358.86865</v>
      </c>
      <c r="D104" s="39" t="s">
        <v>151</v>
      </c>
      <c r="E104" s="39" t="s">
        <v>534</v>
      </c>
      <c r="F104" s="39" t="s">
        <v>535</v>
      </c>
    </row>
    <row r="105">
      <c r="A105" s="39">
        <v>35.0</v>
      </c>
      <c r="B105" s="39">
        <v>1.623444661E9</v>
      </c>
      <c r="C105" s="40">
        <f>IFERROR(__xludf.DUMMYFUNCTION("INDEX(SPLIT(B105, char(10)), 0, 1)/86400+date(1970,1,1)"),44358.86876157408)</f>
        <v>44358.86876</v>
      </c>
      <c r="D105" s="39" t="s">
        <v>90</v>
      </c>
      <c r="E105" s="39" t="s">
        <v>536</v>
      </c>
      <c r="F105" s="39" t="s">
        <v>537</v>
      </c>
    </row>
    <row r="106">
      <c r="A106" s="39">
        <v>36.0</v>
      </c>
      <c r="B106" s="39">
        <v>1.623444836E9</v>
      </c>
      <c r="C106" s="40">
        <f>IFERROR(__xludf.DUMMYFUNCTION("INDEX(SPLIT(B106, char(10)), 0, 1)/86400+date(1970,1,1)"),44358.87078703704)</f>
        <v>44358.87079</v>
      </c>
      <c r="D106" s="39" t="s">
        <v>174</v>
      </c>
      <c r="E106" s="39" t="s">
        <v>538</v>
      </c>
      <c r="F106" s="39" t="s">
        <v>539</v>
      </c>
    </row>
    <row r="107">
      <c r="A107" s="39">
        <v>36.0</v>
      </c>
      <c r="B107" s="39">
        <v>1.623444889E9</v>
      </c>
      <c r="C107" s="40">
        <f>IFERROR(__xludf.DUMMYFUNCTION("INDEX(SPLIT(B107, char(10)), 0, 1)/86400+date(1970,1,1)"),44358.87140046296)</f>
        <v>44358.8714</v>
      </c>
      <c r="D107" s="39" t="s">
        <v>90</v>
      </c>
      <c r="E107" s="39" t="s">
        <v>540</v>
      </c>
      <c r="F107" s="39" t="s">
        <v>541</v>
      </c>
    </row>
    <row r="108">
      <c r="A108" s="39">
        <v>37.0</v>
      </c>
      <c r="B108" s="39">
        <v>1.623445019E9</v>
      </c>
      <c r="C108" s="40">
        <f>IFERROR(__xludf.DUMMYFUNCTION("INDEX(SPLIT(B108, char(10)), 0, 1)/86400+date(1970,1,1)"),44358.87290509259)</f>
        <v>44358.87291</v>
      </c>
      <c r="D108" s="39" t="s">
        <v>81</v>
      </c>
      <c r="E108" s="39" t="s">
        <v>542</v>
      </c>
      <c r="F108" s="39" t="s">
        <v>543</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9.0" topLeftCell="E10" activePane="bottomRight" state="frozen"/>
      <selection activeCell="E1" sqref="E1" pane="topRight"/>
      <selection activeCell="A10" sqref="A10" pane="bottomLeft"/>
      <selection activeCell="E10" sqref="E10" pane="bottomRight"/>
    </sheetView>
  </sheetViews>
  <sheetFormatPr customHeight="1" defaultColWidth="12.63" defaultRowHeight="15.75"/>
  <cols>
    <col customWidth="1" min="1" max="1" width="12.0"/>
    <col customWidth="1" min="2" max="2" width="17.13"/>
    <col customWidth="1" min="3" max="3" width="9.13"/>
    <col customWidth="1" min="4" max="4" width="9.75"/>
    <col customWidth="1" min="5" max="5" width="17.13"/>
    <col customWidth="1" min="6" max="6" width="25.75"/>
    <col customWidth="1" min="9" max="9" width="15.88"/>
  </cols>
  <sheetData>
    <row r="1" hidden="1">
      <c r="A1" s="1"/>
      <c r="B1" s="1"/>
      <c r="C1" s="1"/>
      <c r="D1" s="1"/>
      <c r="E1" s="1" t="s">
        <v>30</v>
      </c>
      <c r="F1" s="5" t="str">
        <f>IFERROR(__xludf.DUMMYFUNCTION("TRANSPOSE(UNIQUE(INDIRECT(B2&amp;""!D2:D107"")))"),"['take', 'knee', 'player']")</f>
        <v>['take', 'knee', 'player']</v>
      </c>
      <c r="G1" s="5" t="str">
        <f>IFERROR(__xludf.DUMMYFUNCTION("""COMPUTED_VALUE"""),"['champion', 'final', 'leagu', 'footbal', 'win']")</f>
        <v>['champion', 'final', 'leagu', 'footbal', 'win']</v>
      </c>
      <c r="H1" s="5" t="str">
        <f>IFERROR(__xludf.DUMMYFUNCTION("""COMPUTED_VALUE"""),"['touch', 'cross', 'ball', 'pass']")</f>
        <v>['touch', 'cross', 'ball', 'pass']</v>
      </c>
      <c r="I1" s="5" t="str">
        <f>IFERROR(__xludf.DUMMYFUNCTION("""COMPUTED_VALUE"""),"['deflect', 'kick', 'corner', 'shot', 'net']")</f>
        <v>['deflect', 'kick', 'corner', 'shot', 'net']</v>
      </c>
      <c r="J1" s="5" t="str">
        <f>IFERROR(__xludf.DUMMYFUNCTION("""COMPUTED_VALUE"""),"['goal', 'score', 'conced', 'equalis', 'offsid', 'assist']")</f>
        <v>['goal', 'score', 'conced', 'equalis', 'offsid', 'assist']</v>
      </c>
      <c r="K1" s="5" t="str">
        <f>IFERROR(__xludf.DUMMYFUNCTION("""COMPUTED_VALUE"""),"['gol', 'stream', 'onlin', 'free', 'reddit', 'link', 'EXCLUDED-manchest', 'ff', 'live']")</f>
        <v>['gol', 'stream', 'onlin', 'free', 'reddit', 'link', 'EXCLUDED-manchest', 'ff', 'live']</v>
      </c>
      <c r="L1" s="5" t="str">
        <f>IFERROR(__xludf.DUMMYFUNCTION("""COMPUTED_VALUE"""),"['hit', 'post']")</f>
        <v>['hit', 'post']</v>
      </c>
      <c r="M1" s="5" t="str">
        <f>IFERROR(__xludf.DUMMYFUNCTION("""COMPUTED_VALUE"""),"['keeper', 'best', 'goalkeep', 'defend', 'EXCLUDED-kepa', 'save']")</f>
        <v>['keeper', 'best', 'goalkeep', 'defend', 'EXCLUDED-kepa', 'save']</v>
      </c>
      <c r="N1" s="5" t="str">
        <f>IFERROR(__xludf.DUMMYFUNCTION("""COMPUTED_VALUE"""),"['foul', 'refere', 'book', 'decis', 'var', 'given', 'pen', 'dive', 'ref', 'penalti']")</f>
        <v>['foul', 'refere', 'book', 'decis', 'var', 'given', 'pen', 'dive', 'ref', 'penalti']</v>
      </c>
      <c r="O1" s="5" t="str">
        <f>IFERROR(__xludf.DUMMYFUNCTION("""COMPUTED_VALUE"""),"['need', 'half', 'sub', 'second', 'lead', '2nd']")</f>
        <v>['need', 'half', 'sub', 'second', 'lead', '2nd']</v>
      </c>
      <c r="P1" s="5" t="str">
        <f>IFERROR(__xludf.DUMMYFUNCTION("""COMPUTED_VALUE"""),"['world', 'class', 'striker']")</f>
        <v>['world', 'class', 'striker']</v>
      </c>
      <c r="Q1" s="5" t="str">
        <f>IFERROR(__xludf.DUMMYFUNCTION("""COMPUTED_VALUE"""),"['tackl', 'dribbl', 'yellow', 'red', 'card']")</f>
        <v>['tackl', 'dribbl', 'yellow', 'red', 'card']</v>
      </c>
    </row>
    <row r="2">
      <c r="A2" s="14" t="s">
        <v>31</v>
      </c>
      <c r="B2" s="15" t="s">
        <v>544</v>
      </c>
      <c r="C2" s="14"/>
      <c r="D2" s="14"/>
      <c r="E2" s="16" t="s">
        <v>33</v>
      </c>
      <c r="F2" s="17" t="s">
        <v>34</v>
      </c>
      <c r="G2" s="18" t="s">
        <v>35</v>
      </c>
      <c r="H2" s="16" t="s">
        <v>33</v>
      </c>
      <c r="I2" s="17" t="s">
        <v>34</v>
      </c>
      <c r="J2" s="18" t="s">
        <v>35</v>
      </c>
      <c r="K2" s="16" t="s">
        <v>33</v>
      </c>
      <c r="L2" s="17" t="s">
        <v>34</v>
      </c>
      <c r="M2" s="18" t="s">
        <v>35</v>
      </c>
      <c r="N2" s="16" t="s">
        <v>33</v>
      </c>
      <c r="O2" s="17" t="s">
        <v>34</v>
      </c>
      <c r="P2" s="18" t="s">
        <v>35</v>
      </c>
      <c r="Q2" s="16" t="s">
        <v>33</v>
      </c>
      <c r="R2" s="17" t="s">
        <v>34</v>
      </c>
      <c r="S2" s="18" t="s">
        <v>35</v>
      </c>
      <c r="T2" s="16" t="s">
        <v>33</v>
      </c>
      <c r="U2" s="17" t="s">
        <v>34</v>
      </c>
      <c r="V2" s="18" t="s">
        <v>35</v>
      </c>
      <c r="W2" s="16" t="s">
        <v>33</v>
      </c>
      <c r="X2" s="17" t="s">
        <v>34</v>
      </c>
      <c r="Y2" s="18" t="s">
        <v>35</v>
      </c>
      <c r="Z2" s="16" t="s">
        <v>33</v>
      </c>
      <c r="AA2" s="17" t="s">
        <v>34</v>
      </c>
      <c r="AB2" s="18" t="s">
        <v>35</v>
      </c>
      <c r="AC2" s="16" t="s">
        <v>33</v>
      </c>
      <c r="AD2" s="17" t="s">
        <v>34</v>
      </c>
      <c r="AE2" s="18" t="s">
        <v>35</v>
      </c>
      <c r="AF2" s="16" t="s">
        <v>33</v>
      </c>
      <c r="AG2" s="17" t="s">
        <v>34</v>
      </c>
      <c r="AH2" s="18" t="s">
        <v>35</v>
      </c>
      <c r="AI2" s="16" t="s">
        <v>33</v>
      </c>
      <c r="AJ2" s="17" t="s">
        <v>34</v>
      </c>
      <c r="AK2" s="18" t="s">
        <v>35</v>
      </c>
      <c r="AL2" s="16" t="s">
        <v>33</v>
      </c>
      <c r="AM2" s="17" t="s">
        <v>34</v>
      </c>
      <c r="AN2" s="18" t="s">
        <v>35</v>
      </c>
      <c r="AO2" s="16" t="s">
        <v>33</v>
      </c>
      <c r="AP2" s="17" t="s">
        <v>34</v>
      </c>
      <c r="AQ2" s="18" t="s">
        <v>35</v>
      </c>
      <c r="AR2" s="16" t="s">
        <v>33</v>
      </c>
      <c r="AS2" s="17" t="s">
        <v>34</v>
      </c>
      <c r="AT2" s="18" t="s">
        <v>35</v>
      </c>
      <c r="AU2" s="16" t="s">
        <v>33</v>
      </c>
      <c r="AV2" s="17" t="s">
        <v>34</v>
      </c>
      <c r="AW2" s="18" t="s">
        <v>35</v>
      </c>
      <c r="AX2" s="16" t="s">
        <v>33</v>
      </c>
      <c r="AY2" s="17" t="s">
        <v>34</v>
      </c>
      <c r="AZ2" s="18" t="s">
        <v>35</v>
      </c>
      <c r="BA2" s="16" t="s">
        <v>33</v>
      </c>
      <c r="BB2" s="17" t="s">
        <v>34</v>
      </c>
      <c r="BC2" s="18" t="s">
        <v>35</v>
      </c>
      <c r="BD2" s="16" t="s">
        <v>33</v>
      </c>
      <c r="BE2" s="17" t="s">
        <v>34</v>
      </c>
      <c r="BF2" s="18" t="s">
        <v>35</v>
      </c>
      <c r="BG2" s="16" t="s">
        <v>33</v>
      </c>
      <c r="BH2" s="17" t="s">
        <v>34</v>
      </c>
      <c r="BI2" s="18" t="s">
        <v>35</v>
      </c>
      <c r="BJ2" s="16" t="s">
        <v>33</v>
      </c>
      <c r="BK2" s="17" t="s">
        <v>34</v>
      </c>
      <c r="BL2" s="18" t="s">
        <v>35</v>
      </c>
      <c r="BM2" s="16" t="s">
        <v>33</v>
      </c>
      <c r="BN2" s="17" t="s">
        <v>34</v>
      </c>
      <c r="BO2" s="18" t="s">
        <v>35</v>
      </c>
      <c r="BP2" s="16" t="s">
        <v>33</v>
      </c>
      <c r="BQ2" s="17" t="s">
        <v>34</v>
      </c>
      <c r="BR2" s="18" t="s">
        <v>35</v>
      </c>
      <c r="BS2" s="16" t="s">
        <v>33</v>
      </c>
      <c r="BT2" s="17" t="s">
        <v>34</v>
      </c>
      <c r="BU2" s="18" t="s">
        <v>35</v>
      </c>
      <c r="BV2" s="16" t="s">
        <v>33</v>
      </c>
      <c r="BW2" s="17" t="s">
        <v>34</v>
      </c>
      <c r="BX2" s="18" t="s">
        <v>35</v>
      </c>
      <c r="BY2" s="16" t="s">
        <v>33</v>
      </c>
      <c r="BZ2" s="17" t="s">
        <v>34</v>
      </c>
      <c r="CA2" s="18" t="s">
        <v>35</v>
      </c>
      <c r="CB2" s="16" t="s">
        <v>33</v>
      </c>
      <c r="CC2" s="17" t="s">
        <v>34</v>
      </c>
      <c r="CD2" s="18" t="s">
        <v>35</v>
      </c>
      <c r="CE2" s="16" t="s">
        <v>33</v>
      </c>
      <c r="CF2" s="17" t="s">
        <v>34</v>
      </c>
      <c r="CG2" s="18" t="s">
        <v>35</v>
      </c>
      <c r="CH2" s="16" t="s">
        <v>33</v>
      </c>
      <c r="CI2" s="17" t="s">
        <v>34</v>
      </c>
      <c r="CJ2" s="18" t="s">
        <v>35</v>
      </c>
      <c r="CK2" s="16" t="s">
        <v>33</v>
      </c>
      <c r="CL2" s="17" t="s">
        <v>34</v>
      </c>
      <c r="CM2" s="18" t="s">
        <v>35</v>
      </c>
      <c r="CN2" s="16" t="s">
        <v>33</v>
      </c>
      <c r="CO2" s="17" t="s">
        <v>34</v>
      </c>
      <c r="CP2" s="18" t="s">
        <v>35</v>
      </c>
      <c r="CQ2" s="16" t="s">
        <v>33</v>
      </c>
      <c r="CR2" s="17" t="s">
        <v>34</v>
      </c>
      <c r="CS2" s="18" t="s">
        <v>35</v>
      </c>
      <c r="CT2" s="1"/>
      <c r="CU2" s="1"/>
      <c r="CV2" s="1"/>
      <c r="CW2" s="1"/>
      <c r="CX2" s="1"/>
      <c r="CY2" s="1"/>
      <c r="CZ2" s="1"/>
      <c r="DA2" s="1"/>
      <c r="DB2" s="1"/>
      <c r="DC2" s="1"/>
      <c r="DD2" s="1"/>
      <c r="DE2" s="1"/>
      <c r="DF2" s="1"/>
    </row>
    <row r="3">
      <c r="A3" s="14"/>
      <c r="B3" s="19"/>
      <c r="C3" s="14"/>
      <c r="D3" s="14"/>
      <c r="E3" s="20" t="s">
        <v>14</v>
      </c>
      <c r="F3" s="21">
        <f t="shared" ref="F3:F7" si="1">COUNTIF(G$10:G1007,E3)</f>
        <v>2</v>
      </c>
      <c r="G3" s="22">
        <f t="shared" ref="G3:G7" si="2">F3/SUM(F$3:F$7)</f>
        <v>0.1176470588</v>
      </c>
      <c r="H3" s="20" t="s">
        <v>14</v>
      </c>
      <c r="I3" s="21">
        <f t="shared" ref="I3:I7" si="3">COUNTIF(J$10:J1007,H3)</f>
        <v>0</v>
      </c>
      <c r="J3" s="22">
        <f t="shared" ref="J3:J7" si="4">I3/SUM(I$3:I$7)</f>
        <v>0</v>
      </c>
      <c r="K3" s="20" t="s">
        <v>14</v>
      </c>
      <c r="L3" s="21">
        <f t="shared" ref="L3:L7" si="5">COUNTIF(M$10:M1007,K3)</f>
        <v>1</v>
      </c>
      <c r="M3" s="22">
        <f t="shared" ref="M3:M7" si="6">L3/SUM(L$3:L$7)</f>
        <v>0.09090909091</v>
      </c>
      <c r="N3" s="20" t="s">
        <v>14</v>
      </c>
      <c r="O3" s="21">
        <f t="shared" ref="O3:O7" si="7">COUNTIF(P$10:P1007,N3)</f>
        <v>1</v>
      </c>
      <c r="P3" s="22">
        <f t="shared" ref="P3:P7" si="8">O3/SUM(O$3:O$7)</f>
        <v>0.1428571429</v>
      </c>
      <c r="Q3" s="20" t="s">
        <v>14</v>
      </c>
      <c r="R3" s="21">
        <f t="shared" ref="R3:R7" si="9">COUNTIF(S$10:S1007,Q3)</f>
        <v>1</v>
      </c>
      <c r="S3" s="22">
        <f t="shared" ref="S3:S7" si="10">R3/SUM(R$3:R$7)</f>
        <v>0.07692307692</v>
      </c>
      <c r="T3" s="20" t="s">
        <v>14</v>
      </c>
      <c r="U3" s="21">
        <f t="shared" ref="U3:U7" si="11">COUNTIF(V$10:V1007,T3)</f>
        <v>0</v>
      </c>
      <c r="V3" s="22">
        <f t="shared" ref="V3:V7" si="12">U3/SUM(U$3:U$7)</f>
        <v>0</v>
      </c>
      <c r="W3" s="20" t="s">
        <v>14</v>
      </c>
      <c r="X3" s="21">
        <f t="shared" ref="X3:X7" si="13">COUNTIF(Y$10:Y1007,W3)</f>
        <v>0</v>
      </c>
      <c r="Y3" s="22">
        <f t="shared" ref="Y3:Y7" si="14">X3/SUM(X$3:X$7)</f>
        <v>0</v>
      </c>
      <c r="Z3" s="20" t="s">
        <v>14</v>
      </c>
      <c r="AA3" s="21">
        <f t="shared" ref="AA3:AA7" si="15">COUNTIF(AB$10:AB1007,Z3)</f>
        <v>0</v>
      </c>
      <c r="AB3" s="22">
        <f t="shared" ref="AB3:AB7" si="16">AA3/SUM(AA$3:AA$7)</f>
        <v>0</v>
      </c>
      <c r="AC3" s="20" t="s">
        <v>14</v>
      </c>
      <c r="AD3" s="21">
        <f t="shared" ref="AD3:AD7" si="17">COUNTIF(AE$10:AE1007,AC3)</f>
        <v>0</v>
      </c>
      <c r="AE3" s="22">
        <f t="shared" ref="AE3:AE7" si="18">AD3/SUM(AD$3:AD$7)</f>
        <v>0</v>
      </c>
      <c r="AF3" s="20" t="s">
        <v>14</v>
      </c>
      <c r="AG3" s="21">
        <f t="shared" ref="AG3:AG7" si="19">COUNTIF(AH$10:AH1007,AF3)</f>
        <v>3</v>
      </c>
      <c r="AH3" s="22">
        <f t="shared" ref="AH3:AH7" si="20">AG3/SUM(AG$3:AG$7)</f>
        <v>0.2142857143</v>
      </c>
      <c r="AI3" s="20" t="s">
        <v>14</v>
      </c>
      <c r="AJ3" s="21">
        <f t="shared" ref="AJ3:AJ7" si="21">COUNTIF(AK$10:AK1007,AI3)</f>
        <v>0</v>
      </c>
      <c r="AK3" s="22">
        <f t="shared" ref="AK3:AK7" si="22">AJ3/SUM(AJ$3:AJ$7)</f>
        <v>0</v>
      </c>
      <c r="AL3" s="20" t="s">
        <v>14</v>
      </c>
      <c r="AM3" s="21">
        <f t="shared" ref="AM3:AM7" si="23">COUNTIF(AN$10:AN1007,AL3)</f>
        <v>0</v>
      </c>
      <c r="AN3" s="22">
        <f t="shared" ref="AN3:AN7" si="24">AM3/SUM(AM$3:AM$7)</f>
        <v>0</v>
      </c>
      <c r="AO3" s="20" t="s">
        <v>14</v>
      </c>
      <c r="AP3" s="21">
        <f t="shared" ref="AP3:AP7" si="25">COUNTIF(AQ$10:AQ1007,AO3)</f>
        <v>0</v>
      </c>
      <c r="AQ3" s="22" t="str">
        <f t="shared" ref="AQ3:AQ7" si="26">AP3/SUM(AP$3:AP$7)</f>
        <v>#DIV/0!</v>
      </c>
      <c r="AR3" s="20" t="s">
        <v>14</v>
      </c>
      <c r="AS3" s="21">
        <f t="shared" ref="AS3:AS7" si="27">COUNTIF(AT$10:AT1007,AR3)</f>
        <v>0</v>
      </c>
      <c r="AT3" s="22" t="str">
        <f t="shared" ref="AT3:AT7" si="28">AS3/SUM(AS$3:AS$7)</f>
        <v>#DIV/0!</v>
      </c>
      <c r="AU3" s="20" t="s">
        <v>14</v>
      </c>
      <c r="AV3" s="21">
        <f t="shared" ref="AV3:AV7" si="29">COUNTIF(AW$10:AW1007,AU3)</f>
        <v>0</v>
      </c>
      <c r="AW3" s="22" t="str">
        <f t="shared" ref="AW3:AW7" si="30">AV3/SUM(AV$3:AV$7)</f>
        <v>#DIV/0!</v>
      </c>
      <c r="AX3" s="20" t="s">
        <v>14</v>
      </c>
      <c r="AY3" s="21">
        <f t="shared" ref="AY3:AY7" si="31">COUNTIF(AZ$10:AZ1007,AX3)</f>
        <v>0</v>
      </c>
      <c r="AZ3" s="22" t="str">
        <f t="shared" ref="AZ3:AZ7" si="32">AY3/SUM(AY$3:AY$7)</f>
        <v>#DIV/0!</v>
      </c>
      <c r="BA3" s="20" t="s">
        <v>14</v>
      </c>
      <c r="BB3" s="21">
        <f t="shared" ref="BB3:BB7" si="33">COUNTIF(BC$10:BC1007,BA3)</f>
        <v>0</v>
      </c>
      <c r="BC3" s="22" t="str">
        <f t="shared" ref="BC3:BC7" si="34">BB3/SUM(BB$3:BB$7)</f>
        <v>#DIV/0!</v>
      </c>
      <c r="BD3" s="20" t="s">
        <v>14</v>
      </c>
      <c r="BE3" s="21">
        <f t="shared" ref="BE3:BE7" si="35">COUNTIF(BF$10:BF1007,BD3)</f>
        <v>0</v>
      </c>
      <c r="BF3" s="22" t="str">
        <f t="shared" ref="BF3:BF7" si="36">BE3/SUM(BE$3:BE$7)</f>
        <v>#DIV/0!</v>
      </c>
      <c r="BG3" s="20" t="s">
        <v>14</v>
      </c>
      <c r="BH3" s="21">
        <f t="shared" ref="BH3:BH7" si="37">COUNTIF(BI$10:BI1007,BG3)</f>
        <v>0</v>
      </c>
      <c r="BI3" s="22" t="str">
        <f t="shared" ref="BI3:BI7" si="38">BH3/SUM(BH$3:BH$7)</f>
        <v>#DIV/0!</v>
      </c>
      <c r="BJ3" s="20" t="s">
        <v>14</v>
      </c>
      <c r="BK3" s="21">
        <f t="shared" ref="BK3:BK7" si="39">COUNTIF(BL$10:BL1007,BJ3)</f>
        <v>0</v>
      </c>
      <c r="BL3" s="22" t="str">
        <f t="shared" ref="BL3:BL7" si="40">BK3/SUM(BK$3:BK$7)</f>
        <v>#DIV/0!</v>
      </c>
      <c r="BM3" s="20" t="s">
        <v>14</v>
      </c>
      <c r="BN3" s="21">
        <f t="shared" ref="BN3:BN7" si="41">COUNTIF(BO$10:BO1007,BM3)</f>
        <v>0</v>
      </c>
      <c r="BO3" s="22" t="str">
        <f t="shared" ref="BO3:BO7" si="42">BN3/SUM(BN$3:BN$7)</f>
        <v>#DIV/0!</v>
      </c>
      <c r="BP3" s="20" t="s">
        <v>14</v>
      </c>
      <c r="BQ3" s="21">
        <f t="shared" ref="BQ3:BQ7" si="43">COUNTIF(BR$10:BR1007,BP3)</f>
        <v>0</v>
      </c>
      <c r="BR3" s="22" t="str">
        <f t="shared" ref="BR3:BR7" si="44">BQ3/SUM(BQ$3:BQ$7)</f>
        <v>#DIV/0!</v>
      </c>
      <c r="BS3" s="20" t="s">
        <v>14</v>
      </c>
      <c r="BT3" s="21">
        <f t="shared" ref="BT3:BT7" si="45">COUNTIF(BU$10:BU1007,BS3)</f>
        <v>0</v>
      </c>
      <c r="BU3" s="22" t="str">
        <f t="shared" ref="BU3:BU7" si="46">BT3/SUM(BT$3:BT$7)</f>
        <v>#DIV/0!</v>
      </c>
      <c r="BV3" s="20" t="s">
        <v>14</v>
      </c>
      <c r="BW3" s="21">
        <f t="shared" ref="BW3:BW7" si="47">COUNTIF(BX$10:BX1007,BV3)</f>
        <v>0</v>
      </c>
      <c r="BX3" s="22" t="str">
        <f t="shared" ref="BX3:BX7" si="48">BW3/SUM(BW$3:BW$7)</f>
        <v>#DIV/0!</v>
      </c>
      <c r="BY3" s="20" t="s">
        <v>14</v>
      </c>
      <c r="BZ3" s="21">
        <f t="shared" ref="BZ3:BZ7" si="49">COUNTIF(CA$10:CA1007,BY3)</f>
        <v>0</v>
      </c>
      <c r="CA3" s="22" t="str">
        <f t="shared" ref="CA3:CA7" si="50">BZ3/SUM(BZ$3:BZ$7)</f>
        <v>#DIV/0!</v>
      </c>
      <c r="CB3" s="20" t="s">
        <v>14</v>
      </c>
      <c r="CC3" s="21">
        <f t="shared" ref="CC3:CC7" si="51">COUNTIF(CD$10:CD1007,CB3)</f>
        <v>0</v>
      </c>
      <c r="CD3" s="22" t="str">
        <f t="shared" ref="CD3:CD7" si="52">CC3/SUM(CC$3:CC$7)</f>
        <v>#DIV/0!</v>
      </c>
      <c r="CE3" s="20" t="s">
        <v>14</v>
      </c>
      <c r="CF3" s="21">
        <f t="shared" ref="CF3:CF7" si="53">COUNTIF(CG$10:CG1007,CE3)</f>
        <v>0</v>
      </c>
      <c r="CG3" s="22" t="str">
        <f t="shared" ref="CG3:CG7" si="54">CF3/SUM(CF$3:CF$7)</f>
        <v>#DIV/0!</v>
      </c>
      <c r="CH3" s="20" t="s">
        <v>14</v>
      </c>
      <c r="CI3" s="21">
        <f t="shared" ref="CI3:CI7" si="55">COUNTIF(CJ$10:CJ1007,CH3)</f>
        <v>0</v>
      </c>
      <c r="CJ3" s="22" t="str">
        <f t="shared" ref="CJ3:CJ7" si="56">CI3/SUM(CI$3:CI$7)</f>
        <v>#DIV/0!</v>
      </c>
      <c r="CK3" s="20" t="s">
        <v>14</v>
      </c>
      <c r="CL3" s="21">
        <f t="shared" ref="CL3:CL7" si="57">COUNTIF(CM$10:CM1007,CK3)</f>
        <v>0</v>
      </c>
      <c r="CM3" s="22" t="str">
        <f t="shared" ref="CM3:CM7" si="58">CL3/SUM(CL$3:CL$7)</f>
        <v>#DIV/0!</v>
      </c>
      <c r="CN3" s="20" t="s">
        <v>14</v>
      </c>
      <c r="CO3" s="21">
        <f t="shared" ref="CO3:CO7" si="59">COUNTIF(CP$10:CP1007,CN3)</f>
        <v>0</v>
      </c>
      <c r="CP3" s="22" t="str">
        <f t="shared" ref="CP3:CP7" si="60">CO3/SUM(CO$3:CO$7)</f>
        <v>#DIV/0!</v>
      </c>
      <c r="CQ3" s="20" t="s">
        <v>14</v>
      </c>
      <c r="CR3" s="21">
        <f t="shared" ref="CR3:CR7" si="61">COUNTIF(CS$10:CS1007,CQ3)</f>
        <v>0</v>
      </c>
      <c r="CS3" s="22" t="str">
        <f t="shared" ref="CS3:CS7" si="62">CR3/SUM(CR$3:CR$7)</f>
        <v>#DIV/0!</v>
      </c>
      <c r="CT3" s="6"/>
      <c r="CU3" s="6"/>
      <c r="CV3" s="6"/>
      <c r="CW3" s="6"/>
      <c r="CX3" s="6"/>
      <c r="CY3" s="6"/>
      <c r="CZ3" s="6"/>
      <c r="DA3" s="6"/>
      <c r="DB3" s="6"/>
      <c r="DC3" s="6"/>
      <c r="DD3" s="6"/>
      <c r="DE3" s="6"/>
      <c r="DF3" s="6"/>
    </row>
    <row r="4">
      <c r="A4" s="14"/>
      <c r="B4" s="19"/>
      <c r="C4" s="14"/>
      <c r="D4" s="14"/>
      <c r="E4" s="20" t="s">
        <v>15</v>
      </c>
      <c r="F4" s="21">
        <f t="shared" si="1"/>
        <v>2</v>
      </c>
      <c r="G4" s="22">
        <f t="shared" si="2"/>
        <v>0.1176470588</v>
      </c>
      <c r="H4" s="20" t="s">
        <v>15</v>
      </c>
      <c r="I4" s="21">
        <f t="shared" si="3"/>
        <v>2</v>
      </c>
      <c r="J4" s="22">
        <f t="shared" si="4"/>
        <v>0.125</v>
      </c>
      <c r="K4" s="20" t="s">
        <v>15</v>
      </c>
      <c r="L4" s="21">
        <f t="shared" si="5"/>
        <v>0</v>
      </c>
      <c r="M4" s="22">
        <f t="shared" si="6"/>
        <v>0</v>
      </c>
      <c r="N4" s="20" t="s">
        <v>15</v>
      </c>
      <c r="O4" s="21">
        <f t="shared" si="7"/>
        <v>0</v>
      </c>
      <c r="P4" s="22">
        <f t="shared" si="8"/>
        <v>0</v>
      </c>
      <c r="Q4" s="20" t="s">
        <v>15</v>
      </c>
      <c r="R4" s="21">
        <f t="shared" si="9"/>
        <v>0</v>
      </c>
      <c r="S4" s="22">
        <f t="shared" si="10"/>
        <v>0</v>
      </c>
      <c r="T4" s="20" t="s">
        <v>15</v>
      </c>
      <c r="U4" s="21">
        <f t="shared" si="11"/>
        <v>0</v>
      </c>
      <c r="V4" s="22">
        <f t="shared" si="12"/>
        <v>0</v>
      </c>
      <c r="W4" s="20" t="s">
        <v>15</v>
      </c>
      <c r="X4" s="21">
        <f t="shared" si="13"/>
        <v>0</v>
      </c>
      <c r="Y4" s="22">
        <f t="shared" si="14"/>
        <v>0</v>
      </c>
      <c r="Z4" s="20" t="s">
        <v>15</v>
      </c>
      <c r="AA4" s="21">
        <f t="shared" si="15"/>
        <v>0</v>
      </c>
      <c r="AB4" s="22">
        <f t="shared" si="16"/>
        <v>0</v>
      </c>
      <c r="AC4" s="20" t="s">
        <v>15</v>
      </c>
      <c r="AD4" s="21">
        <f t="shared" si="17"/>
        <v>0</v>
      </c>
      <c r="AE4" s="22">
        <f t="shared" si="18"/>
        <v>0</v>
      </c>
      <c r="AF4" s="20" t="s">
        <v>15</v>
      </c>
      <c r="AG4" s="21">
        <f t="shared" si="19"/>
        <v>0</v>
      </c>
      <c r="AH4" s="22">
        <f t="shared" si="20"/>
        <v>0</v>
      </c>
      <c r="AI4" s="20" t="s">
        <v>15</v>
      </c>
      <c r="AJ4" s="21">
        <f t="shared" si="21"/>
        <v>0</v>
      </c>
      <c r="AK4" s="22">
        <f t="shared" si="22"/>
        <v>0</v>
      </c>
      <c r="AL4" s="20" t="s">
        <v>15</v>
      </c>
      <c r="AM4" s="21">
        <f t="shared" si="23"/>
        <v>0</v>
      </c>
      <c r="AN4" s="22">
        <f t="shared" si="24"/>
        <v>0</v>
      </c>
      <c r="AO4" s="20" t="s">
        <v>15</v>
      </c>
      <c r="AP4" s="21">
        <f t="shared" si="25"/>
        <v>0</v>
      </c>
      <c r="AQ4" s="22" t="str">
        <f t="shared" si="26"/>
        <v>#DIV/0!</v>
      </c>
      <c r="AR4" s="20" t="s">
        <v>15</v>
      </c>
      <c r="AS4" s="21">
        <f t="shared" si="27"/>
        <v>0</v>
      </c>
      <c r="AT4" s="22" t="str">
        <f t="shared" si="28"/>
        <v>#DIV/0!</v>
      </c>
      <c r="AU4" s="20" t="s">
        <v>15</v>
      </c>
      <c r="AV4" s="21">
        <f t="shared" si="29"/>
        <v>0</v>
      </c>
      <c r="AW4" s="22" t="str">
        <f t="shared" si="30"/>
        <v>#DIV/0!</v>
      </c>
      <c r="AX4" s="20" t="s">
        <v>15</v>
      </c>
      <c r="AY4" s="21">
        <f t="shared" si="31"/>
        <v>0</v>
      </c>
      <c r="AZ4" s="22" t="str">
        <f t="shared" si="32"/>
        <v>#DIV/0!</v>
      </c>
      <c r="BA4" s="20" t="s">
        <v>15</v>
      </c>
      <c r="BB4" s="21">
        <f t="shared" si="33"/>
        <v>0</v>
      </c>
      <c r="BC4" s="22" t="str">
        <f t="shared" si="34"/>
        <v>#DIV/0!</v>
      </c>
      <c r="BD4" s="20" t="s">
        <v>15</v>
      </c>
      <c r="BE4" s="21">
        <f t="shared" si="35"/>
        <v>0</v>
      </c>
      <c r="BF4" s="22" t="str">
        <f t="shared" si="36"/>
        <v>#DIV/0!</v>
      </c>
      <c r="BG4" s="20" t="s">
        <v>15</v>
      </c>
      <c r="BH4" s="21">
        <f t="shared" si="37"/>
        <v>0</v>
      </c>
      <c r="BI4" s="22" t="str">
        <f t="shared" si="38"/>
        <v>#DIV/0!</v>
      </c>
      <c r="BJ4" s="20" t="s">
        <v>15</v>
      </c>
      <c r="BK4" s="21">
        <f t="shared" si="39"/>
        <v>0</v>
      </c>
      <c r="BL4" s="22" t="str">
        <f t="shared" si="40"/>
        <v>#DIV/0!</v>
      </c>
      <c r="BM4" s="20" t="s">
        <v>15</v>
      </c>
      <c r="BN4" s="21">
        <f t="shared" si="41"/>
        <v>0</v>
      </c>
      <c r="BO4" s="22" t="str">
        <f t="shared" si="42"/>
        <v>#DIV/0!</v>
      </c>
      <c r="BP4" s="20" t="s">
        <v>15</v>
      </c>
      <c r="BQ4" s="21">
        <f t="shared" si="43"/>
        <v>0</v>
      </c>
      <c r="BR4" s="22" t="str">
        <f t="shared" si="44"/>
        <v>#DIV/0!</v>
      </c>
      <c r="BS4" s="20" t="s">
        <v>15</v>
      </c>
      <c r="BT4" s="21">
        <f t="shared" si="45"/>
        <v>0</v>
      </c>
      <c r="BU4" s="22" t="str">
        <f t="shared" si="46"/>
        <v>#DIV/0!</v>
      </c>
      <c r="BV4" s="20" t="s">
        <v>15</v>
      </c>
      <c r="BW4" s="21">
        <f t="shared" si="47"/>
        <v>0</v>
      </c>
      <c r="BX4" s="22" t="str">
        <f t="shared" si="48"/>
        <v>#DIV/0!</v>
      </c>
      <c r="BY4" s="20" t="s">
        <v>15</v>
      </c>
      <c r="BZ4" s="21">
        <f t="shared" si="49"/>
        <v>0</v>
      </c>
      <c r="CA4" s="22" t="str">
        <f t="shared" si="50"/>
        <v>#DIV/0!</v>
      </c>
      <c r="CB4" s="20" t="s">
        <v>15</v>
      </c>
      <c r="CC4" s="21">
        <f t="shared" si="51"/>
        <v>0</v>
      </c>
      <c r="CD4" s="22" t="str">
        <f t="shared" si="52"/>
        <v>#DIV/0!</v>
      </c>
      <c r="CE4" s="20" t="s">
        <v>15</v>
      </c>
      <c r="CF4" s="21">
        <f t="shared" si="53"/>
        <v>0</v>
      </c>
      <c r="CG4" s="22" t="str">
        <f t="shared" si="54"/>
        <v>#DIV/0!</v>
      </c>
      <c r="CH4" s="20" t="s">
        <v>15</v>
      </c>
      <c r="CI4" s="21">
        <f t="shared" si="55"/>
        <v>0</v>
      </c>
      <c r="CJ4" s="22" t="str">
        <f t="shared" si="56"/>
        <v>#DIV/0!</v>
      </c>
      <c r="CK4" s="20" t="s">
        <v>15</v>
      </c>
      <c r="CL4" s="21">
        <f t="shared" si="57"/>
        <v>0</v>
      </c>
      <c r="CM4" s="22" t="str">
        <f t="shared" si="58"/>
        <v>#DIV/0!</v>
      </c>
      <c r="CN4" s="20" t="s">
        <v>15</v>
      </c>
      <c r="CO4" s="21">
        <f t="shared" si="59"/>
        <v>0</v>
      </c>
      <c r="CP4" s="22" t="str">
        <f t="shared" si="60"/>
        <v>#DIV/0!</v>
      </c>
      <c r="CQ4" s="20" t="s">
        <v>15</v>
      </c>
      <c r="CR4" s="21">
        <f t="shared" si="61"/>
        <v>0</v>
      </c>
      <c r="CS4" s="22" t="str">
        <f t="shared" si="62"/>
        <v>#DIV/0!</v>
      </c>
      <c r="CT4" s="6"/>
      <c r="CU4" s="6"/>
      <c r="CV4" s="6"/>
      <c r="CW4" s="6"/>
      <c r="CX4" s="6"/>
      <c r="CY4" s="6"/>
      <c r="CZ4" s="6"/>
      <c r="DA4" s="6"/>
      <c r="DB4" s="6"/>
      <c r="DC4" s="6"/>
      <c r="DD4" s="6"/>
      <c r="DE4" s="6"/>
      <c r="DF4" s="6"/>
    </row>
    <row r="5">
      <c r="A5" s="23"/>
      <c r="B5" s="19"/>
      <c r="C5" s="14"/>
      <c r="D5" s="14"/>
      <c r="E5" s="20" t="s">
        <v>16</v>
      </c>
      <c r="F5" s="21">
        <f t="shared" si="1"/>
        <v>6</v>
      </c>
      <c r="G5" s="22">
        <f t="shared" si="2"/>
        <v>0.3529411765</v>
      </c>
      <c r="H5" s="20" t="s">
        <v>16</v>
      </c>
      <c r="I5" s="21">
        <f t="shared" si="3"/>
        <v>4</v>
      </c>
      <c r="J5" s="22">
        <f t="shared" si="4"/>
        <v>0.25</v>
      </c>
      <c r="K5" s="20" t="s">
        <v>16</v>
      </c>
      <c r="L5" s="21">
        <f t="shared" si="5"/>
        <v>0</v>
      </c>
      <c r="M5" s="22">
        <f t="shared" si="6"/>
        <v>0</v>
      </c>
      <c r="N5" s="20" t="s">
        <v>16</v>
      </c>
      <c r="O5" s="21">
        <f t="shared" si="7"/>
        <v>0</v>
      </c>
      <c r="P5" s="22">
        <f t="shared" si="8"/>
        <v>0</v>
      </c>
      <c r="Q5" s="20" t="s">
        <v>16</v>
      </c>
      <c r="R5" s="21">
        <f t="shared" si="9"/>
        <v>1</v>
      </c>
      <c r="S5" s="22">
        <f t="shared" si="10"/>
        <v>0.07692307692</v>
      </c>
      <c r="T5" s="20" t="s">
        <v>16</v>
      </c>
      <c r="U5" s="21">
        <f t="shared" si="11"/>
        <v>0</v>
      </c>
      <c r="V5" s="22">
        <f t="shared" si="12"/>
        <v>0</v>
      </c>
      <c r="W5" s="20" t="s">
        <v>16</v>
      </c>
      <c r="X5" s="21">
        <f t="shared" si="13"/>
        <v>0</v>
      </c>
      <c r="Y5" s="22">
        <f t="shared" si="14"/>
        <v>0</v>
      </c>
      <c r="Z5" s="20" t="s">
        <v>16</v>
      </c>
      <c r="AA5" s="21">
        <f t="shared" si="15"/>
        <v>4</v>
      </c>
      <c r="AB5" s="22">
        <f t="shared" si="16"/>
        <v>0.3636363636</v>
      </c>
      <c r="AC5" s="20" t="s">
        <v>16</v>
      </c>
      <c r="AD5" s="21">
        <f t="shared" si="17"/>
        <v>1</v>
      </c>
      <c r="AE5" s="22">
        <f t="shared" si="18"/>
        <v>0.3333333333</v>
      </c>
      <c r="AF5" s="20" t="s">
        <v>16</v>
      </c>
      <c r="AG5" s="21">
        <f t="shared" si="19"/>
        <v>4</v>
      </c>
      <c r="AH5" s="22">
        <f t="shared" si="20"/>
        <v>0.2857142857</v>
      </c>
      <c r="AI5" s="20" t="s">
        <v>16</v>
      </c>
      <c r="AJ5" s="21">
        <f t="shared" si="21"/>
        <v>4</v>
      </c>
      <c r="AK5" s="22">
        <f t="shared" si="22"/>
        <v>1</v>
      </c>
      <c r="AL5" s="20" t="s">
        <v>16</v>
      </c>
      <c r="AM5" s="21">
        <f t="shared" si="23"/>
        <v>0</v>
      </c>
      <c r="AN5" s="22">
        <f t="shared" si="24"/>
        <v>0</v>
      </c>
      <c r="AO5" s="20" t="s">
        <v>16</v>
      </c>
      <c r="AP5" s="21">
        <f t="shared" si="25"/>
        <v>0</v>
      </c>
      <c r="AQ5" s="22" t="str">
        <f t="shared" si="26"/>
        <v>#DIV/0!</v>
      </c>
      <c r="AR5" s="20" t="s">
        <v>16</v>
      </c>
      <c r="AS5" s="21">
        <f t="shared" si="27"/>
        <v>0</v>
      </c>
      <c r="AT5" s="22" t="str">
        <f t="shared" si="28"/>
        <v>#DIV/0!</v>
      </c>
      <c r="AU5" s="20" t="s">
        <v>16</v>
      </c>
      <c r="AV5" s="21">
        <f t="shared" si="29"/>
        <v>0</v>
      </c>
      <c r="AW5" s="22" t="str">
        <f t="shared" si="30"/>
        <v>#DIV/0!</v>
      </c>
      <c r="AX5" s="20" t="s">
        <v>16</v>
      </c>
      <c r="AY5" s="21">
        <f t="shared" si="31"/>
        <v>0</v>
      </c>
      <c r="AZ5" s="22" t="str">
        <f t="shared" si="32"/>
        <v>#DIV/0!</v>
      </c>
      <c r="BA5" s="20" t="s">
        <v>16</v>
      </c>
      <c r="BB5" s="21">
        <f t="shared" si="33"/>
        <v>0</v>
      </c>
      <c r="BC5" s="22" t="str">
        <f t="shared" si="34"/>
        <v>#DIV/0!</v>
      </c>
      <c r="BD5" s="20" t="s">
        <v>16</v>
      </c>
      <c r="BE5" s="21">
        <f t="shared" si="35"/>
        <v>0</v>
      </c>
      <c r="BF5" s="22" t="str">
        <f t="shared" si="36"/>
        <v>#DIV/0!</v>
      </c>
      <c r="BG5" s="20" t="s">
        <v>16</v>
      </c>
      <c r="BH5" s="21">
        <f t="shared" si="37"/>
        <v>0</v>
      </c>
      <c r="BI5" s="22" t="str">
        <f t="shared" si="38"/>
        <v>#DIV/0!</v>
      </c>
      <c r="BJ5" s="20" t="s">
        <v>16</v>
      </c>
      <c r="BK5" s="21">
        <f t="shared" si="39"/>
        <v>0</v>
      </c>
      <c r="BL5" s="22" t="str">
        <f t="shared" si="40"/>
        <v>#DIV/0!</v>
      </c>
      <c r="BM5" s="20" t="s">
        <v>16</v>
      </c>
      <c r="BN5" s="21">
        <f t="shared" si="41"/>
        <v>0</v>
      </c>
      <c r="BO5" s="22" t="str">
        <f t="shared" si="42"/>
        <v>#DIV/0!</v>
      </c>
      <c r="BP5" s="20" t="s">
        <v>16</v>
      </c>
      <c r="BQ5" s="21">
        <f t="shared" si="43"/>
        <v>0</v>
      </c>
      <c r="BR5" s="22" t="str">
        <f t="shared" si="44"/>
        <v>#DIV/0!</v>
      </c>
      <c r="BS5" s="20" t="s">
        <v>16</v>
      </c>
      <c r="BT5" s="21">
        <f t="shared" si="45"/>
        <v>0</v>
      </c>
      <c r="BU5" s="22" t="str">
        <f t="shared" si="46"/>
        <v>#DIV/0!</v>
      </c>
      <c r="BV5" s="20" t="s">
        <v>16</v>
      </c>
      <c r="BW5" s="21">
        <f t="shared" si="47"/>
        <v>0</v>
      </c>
      <c r="BX5" s="22" t="str">
        <f t="shared" si="48"/>
        <v>#DIV/0!</v>
      </c>
      <c r="BY5" s="20" t="s">
        <v>16</v>
      </c>
      <c r="BZ5" s="21">
        <f t="shared" si="49"/>
        <v>0</v>
      </c>
      <c r="CA5" s="22" t="str">
        <f t="shared" si="50"/>
        <v>#DIV/0!</v>
      </c>
      <c r="CB5" s="20" t="s">
        <v>16</v>
      </c>
      <c r="CC5" s="21">
        <f t="shared" si="51"/>
        <v>0</v>
      </c>
      <c r="CD5" s="22" t="str">
        <f t="shared" si="52"/>
        <v>#DIV/0!</v>
      </c>
      <c r="CE5" s="20" t="s">
        <v>16</v>
      </c>
      <c r="CF5" s="21">
        <f t="shared" si="53"/>
        <v>0</v>
      </c>
      <c r="CG5" s="22" t="str">
        <f t="shared" si="54"/>
        <v>#DIV/0!</v>
      </c>
      <c r="CH5" s="20" t="s">
        <v>16</v>
      </c>
      <c r="CI5" s="21">
        <f t="shared" si="55"/>
        <v>0</v>
      </c>
      <c r="CJ5" s="22" t="str">
        <f t="shared" si="56"/>
        <v>#DIV/0!</v>
      </c>
      <c r="CK5" s="20" t="s">
        <v>16</v>
      </c>
      <c r="CL5" s="21">
        <f t="shared" si="57"/>
        <v>0</v>
      </c>
      <c r="CM5" s="22" t="str">
        <f t="shared" si="58"/>
        <v>#DIV/0!</v>
      </c>
      <c r="CN5" s="20" t="s">
        <v>16</v>
      </c>
      <c r="CO5" s="21">
        <f t="shared" si="59"/>
        <v>0</v>
      </c>
      <c r="CP5" s="22" t="str">
        <f t="shared" si="60"/>
        <v>#DIV/0!</v>
      </c>
      <c r="CQ5" s="20" t="s">
        <v>16</v>
      </c>
      <c r="CR5" s="21">
        <f t="shared" si="61"/>
        <v>0</v>
      </c>
      <c r="CS5" s="22" t="str">
        <f t="shared" si="62"/>
        <v>#DIV/0!</v>
      </c>
      <c r="CT5" s="6"/>
      <c r="CU5" s="6"/>
      <c r="CV5" s="6"/>
      <c r="CW5" s="6"/>
      <c r="CX5" s="6"/>
      <c r="CY5" s="6"/>
      <c r="CZ5" s="6"/>
      <c r="DA5" s="6"/>
      <c r="DB5" s="6"/>
      <c r="DC5" s="6"/>
      <c r="DD5" s="6"/>
      <c r="DE5" s="6"/>
      <c r="DF5" s="6"/>
    </row>
    <row r="6">
      <c r="A6" s="14"/>
      <c r="B6" s="19"/>
      <c r="C6" s="14"/>
      <c r="D6" s="14"/>
      <c r="E6" s="20" t="s">
        <v>17</v>
      </c>
      <c r="F6" s="21">
        <f t="shared" si="1"/>
        <v>4</v>
      </c>
      <c r="G6" s="22">
        <f t="shared" si="2"/>
        <v>0.2352941176</v>
      </c>
      <c r="H6" s="20" t="s">
        <v>17</v>
      </c>
      <c r="I6" s="21">
        <f t="shared" si="3"/>
        <v>5</v>
      </c>
      <c r="J6" s="22">
        <f t="shared" si="4"/>
        <v>0.3125</v>
      </c>
      <c r="K6" s="20" t="s">
        <v>17</v>
      </c>
      <c r="L6" s="21">
        <f t="shared" si="5"/>
        <v>2</v>
      </c>
      <c r="M6" s="22">
        <f t="shared" si="6"/>
        <v>0.1818181818</v>
      </c>
      <c r="N6" s="20" t="s">
        <v>17</v>
      </c>
      <c r="O6" s="21">
        <f t="shared" si="7"/>
        <v>2</v>
      </c>
      <c r="P6" s="22">
        <f t="shared" si="8"/>
        <v>0.2857142857</v>
      </c>
      <c r="Q6" s="20" t="s">
        <v>17</v>
      </c>
      <c r="R6" s="21">
        <f t="shared" si="9"/>
        <v>4</v>
      </c>
      <c r="S6" s="22">
        <f t="shared" si="10"/>
        <v>0.3076923077</v>
      </c>
      <c r="T6" s="20" t="s">
        <v>17</v>
      </c>
      <c r="U6" s="21">
        <f t="shared" si="11"/>
        <v>3</v>
      </c>
      <c r="V6" s="22">
        <f t="shared" si="12"/>
        <v>0.75</v>
      </c>
      <c r="W6" s="20" t="s">
        <v>17</v>
      </c>
      <c r="X6" s="21">
        <f t="shared" si="13"/>
        <v>0</v>
      </c>
      <c r="Y6" s="22">
        <f t="shared" si="14"/>
        <v>0</v>
      </c>
      <c r="Z6" s="20" t="s">
        <v>17</v>
      </c>
      <c r="AA6" s="21">
        <f t="shared" si="15"/>
        <v>3</v>
      </c>
      <c r="AB6" s="22">
        <f t="shared" si="16"/>
        <v>0.2727272727</v>
      </c>
      <c r="AC6" s="20" t="s">
        <v>17</v>
      </c>
      <c r="AD6" s="21">
        <f t="shared" si="17"/>
        <v>0</v>
      </c>
      <c r="AE6" s="22">
        <f t="shared" si="18"/>
        <v>0</v>
      </c>
      <c r="AF6" s="20" t="s">
        <v>17</v>
      </c>
      <c r="AG6" s="21">
        <f t="shared" si="19"/>
        <v>5</v>
      </c>
      <c r="AH6" s="22">
        <f t="shared" si="20"/>
        <v>0.3571428571</v>
      </c>
      <c r="AI6" s="20" t="s">
        <v>17</v>
      </c>
      <c r="AJ6" s="21">
        <f t="shared" si="21"/>
        <v>0</v>
      </c>
      <c r="AK6" s="22">
        <f t="shared" si="22"/>
        <v>0</v>
      </c>
      <c r="AL6" s="20" t="s">
        <v>17</v>
      </c>
      <c r="AM6" s="21">
        <f t="shared" si="23"/>
        <v>0</v>
      </c>
      <c r="AN6" s="22">
        <f t="shared" si="24"/>
        <v>0</v>
      </c>
      <c r="AO6" s="20" t="s">
        <v>17</v>
      </c>
      <c r="AP6" s="21">
        <f t="shared" si="25"/>
        <v>0</v>
      </c>
      <c r="AQ6" s="22" t="str">
        <f t="shared" si="26"/>
        <v>#DIV/0!</v>
      </c>
      <c r="AR6" s="20" t="s">
        <v>17</v>
      </c>
      <c r="AS6" s="21">
        <f t="shared" si="27"/>
        <v>0</v>
      </c>
      <c r="AT6" s="22" t="str">
        <f t="shared" si="28"/>
        <v>#DIV/0!</v>
      </c>
      <c r="AU6" s="20" t="s">
        <v>17</v>
      </c>
      <c r="AV6" s="21">
        <f t="shared" si="29"/>
        <v>0</v>
      </c>
      <c r="AW6" s="22" t="str">
        <f t="shared" si="30"/>
        <v>#DIV/0!</v>
      </c>
      <c r="AX6" s="20" t="s">
        <v>17</v>
      </c>
      <c r="AY6" s="21">
        <f t="shared" si="31"/>
        <v>0</v>
      </c>
      <c r="AZ6" s="22" t="str">
        <f t="shared" si="32"/>
        <v>#DIV/0!</v>
      </c>
      <c r="BA6" s="20" t="s">
        <v>17</v>
      </c>
      <c r="BB6" s="21">
        <f t="shared" si="33"/>
        <v>0</v>
      </c>
      <c r="BC6" s="22" t="str">
        <f t="shared" si="34"/>
        <v>#DIV/0!</v>
      </c>
      <c r="BD6" s="20" t="s">
        <v>17</v>
      </c>
      <c r="BE6" s="21">
        <f t="shared" si="35"/>
        <v>0</v>
      </c>
      <c r="BF6" s="22" t="str">
        <f t="shared" si="36"/>
        <v>#DIV/0!</v>
      </c>
      <c r="BG6" s="20" t="s">
        <v>17</v>
      </c>
      <c r="BH6" s="21">
        <f t="shared" si="37"/>
        <v>0</v>
      </c>
      <c r="BI6" s="22" t="str">
        <f t="shared" si="38"/>
        <v>#DIV/0!</v>
      </c>
      <c r="BJ6" s="20" t="s">
        <v>17</v>
      </c>
      <c r="BK6" s="21">
        <f t="shared" si="39"/>
        <v>0</v>
      </c>
      <c r="BL6" s="22" t="str">
        <f t="shared" si="40"/>
        <v>#DIV/0!</v>
      </c>
      <c r="BM6" s="20" t="s">
        <v>17</v>
      </c>
      <c r="BN6" s="21">
        <f t="shared" si="41"/>
        <v>0</v>
      </c>
      <c r="BO6" s="22" t="str">
        <f t="shared" si="42"/>
        <v>#DIV/0!</v>
      </c>
      <c r="BP6" s="20" t="s">
        <v>17</v>
      </c>
      <c r="BQ6" s="21">
        <f t="shared" si="43"/>
        <v>0</v>
      </c>
      <c r="BR6" s="22" t="str">
        <f t="shared" si="44"/>
        <v>#DIV/0!</v>
      </c>
      <c r="BS6" s="20" t="s">
        <v>17</v>
      </c>
      <c r="BT6" s="21">
        <f t="shared" si="45"/>
        <v>0</v>
      </c>
      <c r="BU6" s="22" t="str">
        <f t="shared" si="46"/>
        <v>#DIV/0!</v>
      </c>
      <c r="BV6" s="20" t="s">
        <v>17</v>
      </c>
      <c r="BW6" s="21">
        <f t="shared" si="47"/>
        <v>0</v>
      </c>
      <c r="BX6" s="22" t="str">
        <f t="shared" si="48"/>
        <v>#DIV/0!</v>
      </c>
      <c r="BY6" s="20" t="s">
        <v>17</v>
      </c>
      <c r="BZ6" s="21">
        <f t="shared" si="49"/>
        <v>0</v>
      </c>
      <c r="CA6" s="22" t="str">
        <f t="shared" si="50"/>
        <v>#DIV/0!</v>
      </c>
      <c r="CB6" s="20" t="s">
        <v>17</v>
      </c>
      <c r="CC6" s="21">
        <f t="shared" si="51"/>
        <v>0</v>
      </c>
      <c r="CD6" s="22" t="str">
        <f t="shared" si="52"/>
        <v>#DIV/0!</v>
      </c>
      <c r="CE6" s="20" t="s">
        <v>17</v>
      </c>
      <c r="CF6" s="21">
        <f t="shared" si="53"/>
        <v>0</v>
      </c>
      <c r="CG6" s="22" t="str">
        <f t="shared" si="54"/>
        <v>#DIV/0!</v>
      </c>
      <c r="CH6" s="20" t="s">
        <v>17</v>
      </c>
      <c r="CI6" s="21">
        <f t="shared" si="55"/>
        <v>0</v>
      </c>
      <c r="CJ6" s="22" t="str">
        <f t="shared" si="56"/>
        <v>#DIV/0!</v>
      </c>
      <c r="CK6" s="20" t="s">
        <v>17</v>
      </c>
      <c r="CL6" s="21">
        <f t="shared" si="57"/>
        <v>0</v>
      </c>
      <c r="CM6" s="22" t="str">
        <f t="shared" si="58"/>
        <v>#DIV/0!</v>
      </c>
      <c r="CN6" s="20" t="s">
        <v>17</v>
      </c>
      <c r="CO6" s="21">
        <f t="shared" si="59"/>
        <v>0</v>
      </c>
      <c r="CP6" s="22" t="str">
        <f t="shared" si="60"/>
        <v>#DIV/0!</v>
      </c>
      <c r="CQ6" s="20" t="s">
        <v>17</v>
      </c>
      <c r="CR6" s="21">
        <f t="shared" si="61"/>
        <v>0</v>
      </c>
      <c r="CS6" s="22" t="str">
        <f t="shared" si="62"/>
        <v>#DIV/0!</v>
      </c>
      <c r="CT6" s="6"/>
      <c r="CU6" s="6"/>
      <c r="CV6" s="6"/>
      <c r="CW6" s="6"/>
      <c r="CX6" s="6"/>
      <c r="CY6" s="6"/>
      <c r="CZ6" s="6"/>
      <c r="DA6" s="6"/>
      <c r="DB6" s="6"/>
      <c r="DC6" s="6"/>
      <c r="DD6" s="6"/>
      <c r="DE6" s="6"/>
      <c r="DF6" s="6"/>
    </row>
    <row r="7">
      <c r="A7" s="14"/>
      <c r="B7" s="19"/>
      <c r="C7" s="14"/>
      <c r="D7" s="14"/>
      <c r="E7" s="20" t="s">
        <v>18</v>
      </c>
      <c r="F7" s="21">
        <f t="shared" si="1"/>
        <v>3</v>
      </c>
      <c r="G7" s="22">
        <f t="shared" si="2"/>
        <v>0.1764705882</v>
      </c>
      <c r="H7" s="20" t="s">
        <v>18</v>
      </c>
      <c r="I7" s="21">
        <f t="shared" si="3"/>
        <v>5</v>
      </c>
      <c r="J7" s="22">
        <f t="shared" si="4"/>
        <v>0.3125</v>
      </c>
      <c r="K7" s="20" t="s">
        <v>18</v>
      </c>
      <c r="L7" s="21">
        <f t="shared" si="5"/>
        <v>8</v>
      </c>
      <c r="M7" s="22">
        <f t="shared" si="6"/>
        <v>0.7272727273</v>
      </c>
      <c r="N7" s="20" t="s">
        <v>18</v>
      </c>
      <c r="O7" s="21">
        <f t="shared" si="7"/>
        <v>4</v>
      </c>
      <c r="P7" s="22">
        <f t="shared" si="8"/>
        <v>0.5714285714</v>
      </c>
      <c r="Q7" s="20" t="s">
        <v>18</v>
      </c>
      <c r="R7" s="21">
        <f t="shared" si="9"/>
        <v>7</v>
      </c>
      <c r="S7" s="22">
        <f t="shared" si="10"/>
        <v>0.5384615385</v>
      </c>
      <c r="T7" s="20" t="s">
        <v>18</v>
      </c>
      <c r="U7" s="21">
        <f t="shared" si="11"/>
        <v>1</v>
      </c>
      <c r="V7" s="22">
        <f t="shared" si="12"/>
        <v>0.25</v>
      </c>
      <c r="W7" s="20" t="s">
        <v>18</v>
      </c>
      <c r="X7" s="21">
        <f t="shared" si="13"/>
        <v>1</v>
      </c>
      <c r="Y7" s="22">
        <f t="shared" si="14"/>
        <v>1</v>
      </c>
      <c r="Z7" s="20" t="s">
        <v>18</v>
      </c>
      <c r="AA7" s="21">
        <f t="shared" si="15"/>
        <v>4</v>
      </c>
      <c r="AB7" s="22">
        <f t="shared" si="16"/>
        <v>0.3636363636</v>
      </c>
      <c r="AC7" s="20" t="s">
        <v>18</v>
      </c>
      <c r="AD7" s="21">
        <f t="shared" si="17"/>
        <v>2</v>
      </c>
      <c r="AE7" s="22">
        <f t="shared" si="18"/>
        <v>0.6666666667</v>
      </c>
      <c r="AF7" s="20" t="s">
        <v>18</v>
      </c>
      <c r="AG7" s="21">
        <f t="shared" si="19"/>
        <v>2</v>
      </c>
      <c r="AH7" s="22">
        <f t="shared" si="20"/>
        <v>0.1428571429</v>
      </c>
      <c r="AI7" s="20" t="s">
        <v>18</v>
      </c>
      <c r="AJ7" s="21">
        <f t="shared" si="21"/>
        <v>0</v>
      </c>
      <c r="AK7" s="22">
        <f t="shared" si="22"/>
        <v>0</v>
      </c>
      <c r="AL7" s="20" t="s">
        <v>18</v>
      </c>
      <c r="AM7" s="21">
        <f t="shared" si="23"/>
        <v>1</v>
      </c>
      <c r="AN7" s="22">
        <f t="shared" si="24"/>
        <v>1</v>
      </c>
      <c r="AO7" s="20" t="s">
        <v>18</v>
      </c>
      <c r="AP7" s="21">
        <f t="shared" si="25"/>
        <v>0</v>
      </c>
      <c r="AQ7" s="22" t="str">
        <f t="shared" si="26"/>
        <v>#DIV/0!</v>
      </c>
      <c r="AR7" s="20" t="s">
        <v>18</v>
      </c>
      <c r="AS7" s="21">
        <f t="shared" si="27"/>
        <v>0</v>
      </c>
      <c r="AT7" s="22" t="str">
        <f t="shared" si="28"/>
        <v>#DIV/0!</v>
      </c>
      <c r="AU7" s="20" t="s">
        <v>18</v>
      </c>
      <c r="AV7" s="21">
        <f t="shared" si="29"/>
        <v>0</v>
      </c>
      <c r="AW7" s="22" t="str">
        <f t="shared" si="30"/>
        <v>#DIV/0!</v>
      </c>
      <c r="AX7" s="20" t="s">
        <v>18</v>
      </c>
      <c r="AY7" s="21">
        <f t="shared" si="31"/>
        <v>0</v>
      </c>
      <c r="AZ7" s="22" t="str">
        <f t="shared" si="32"/>
        <v>#DIV/0!</v>
      </c>
      <c r="BA7" s="20" t="s">
        <v>18</v>
      </c>
      <c r="BB7" s="21">
        <f t="shared" si="33"/>
        <v>0</v>
      </c>
      <c r="BC7" s="22" t="str">
        <f t="shared" si="34"/>
        <v>#DIV/0!</v>
      </c>
      <c r="BD7" s="20" t="s">
        <v>18</v>
      </c>
      <c r="BE7" s="21">
        <f t="shared" si="35"/>
        <v>0</v>
      </c>
      <c r="BF7" s="22" t="str">
        <f t="shared" si="36"/>
        <v>#DIV/0!</v>
      </c>
      <c r="BG7" s="20" t="s">
        <v>18</v>
      </c>
      <c r="BH7" s="21">
        <f t="shared" si="37"/>
        <v>0</v>
      </c>
      <c r="BI7" s="22" t="str">
        <f t="shared" si="38"/>
        <v>#DIV/0!</v>
      </c>
      <c r="BJ7" s="20" t="s">
        <v>18</v>
      </c>
      <c r="BK7" s="21">
        <f t="shared" si="39"/>
        <v>0</v>
      </c>
      <c r="BL7" s="22" t="str">
        <f t="shared" si="40"/>
        <v>#DIV/0!</v>
      </c>
      <c r="BM7" s="20" t="s">
        <v>18</v>
      </c>
      <c r="BN7" s="21">
        <f t="shared" si="41"/>
        <v>0</v>
      </c>
      <c r="BO7" s="22" t="str">
        <f t="shared" si="42"/>
        <v>#DIV/0!</v>
      </c>
      <c r="BP7" s="20" t="s">
        <v>18</v>
      </c>
      <c r="BQ7" s="21">
        <f t="shared" si="43"/>
        <v>0</v>
      </c>
      <c r="BR7" s="22" t="str">
        <f t="shared" si="44"/>
        <v>#DIV/0!</v>
      </c>
      <c r="BS7" s="20" t="s">
        <v>18</v>
      </c>
      <c r="BT7" s="21">
        <f t="shared" si="45"/>
        <v>0</v>
      </c>
      <c r="BU7" s="22" t="str">
        <f t="shared" si="46"/>
        <v>#DIV/0!</v>
      </c>
      <c r="BV7" s="20" t="s">
        <v>18</v>
      </c>
      <c r="BW7" s="21">
        <f t="shared" si="47"/>
        <v>0</v>
      </c>
      <c r="BX7" s="22" t="str">
        <f t="shared" si="48"/>
        <v>#DIV/0!</v>
      </c>
      <c r="BY7" s="20" t="s">
        <v>18</v>
      </c>
      <c r="BZ7" s="21">
        <f t="shared" si="49"/>
        <v>0</v>
      </c>
      <c r="CA7" s="22" t="str">
        <f t="shared" si="50"/>
        <v>#DIV/0!</v>
      </c>
      <c r="CB7" s="20" t="s">
        <v>18</v>
      </c>
      <c r="CC7" s="21">
        <f t="shared" si="51"/>
        <v>0</v>
      </c>
      <c r="CD7" s="22" t="str">
        <f t="shared" si="52"/>
        <v>#DIV/0!</v>
      </c>
      <c r="CE7" s="20" t="s">
        <v>18</v>
      </c>
      <c r="CF7" s="21">
        <f t="shared" si="53"/>
        <v>0</v>
      </c>
      <c r="CG7" s="22" t="str">
        <f t="shared" si="54"/>
        <v>#DIV/0!</v>
      </c>
      <c r="CH7" s="20" t="s">
        <v>18</v>
      </c>
      <c r="CI7" s="21">
        <f t="shared" si="55"/>
        <v>0</v>
      </c>
      <c r="CJ7" s="22" t="str">
        <f t="shared" si="56"/>
        <v>#DIV/0!</v>
      </c>
      <c r="CK7" s="20" t="s">
        <v>18</v>
      </c>
      <c r="CL7" s="21">
        <f t="shared" si="57"/>
        <v>0</v>
      </c>
      <c r="CM7" s="22" t="str">
        <f t="shared" si="58"/>
        <v>#DIV/0!</v>
      </c>
      <c r="CN7" s="20" t="s">
        <v>18</v>
      </c>
      <c r="CO7" s="21">
        <f t="shared" si="59"/>
        <v>0</v>
      </c>
      <c r="CP7" s="22" t="str">
        <f t="shared" si="60"/>
        <v>#DIV/0!</v>
      </c>
      <c r="CQ7" s="20" t="s">
        <v>18</v>
      </c>
      <c r="CR7" s="21">
        <f t="shared" si="61"/>
        <v>0</v>
      </c>
      <c r="CS7" s="22" t="str">
        <f t="shared" si="62"/>
        <v>#DIV/0!</v>
      </c>
      <c r="CT7" s="6"/>
      <c r="CU7" s="6"/>
      <c r="CV7" s="6"/>
      <c r="CW7" s="6"/>
      <c r="CX7" s="6"/>
      <c r="CY7" s="6"/>
      <c r="CZ7" s="6"/>
      <c r="DA7" s="6"/>
      <c r="DB7" s="6"/>
      <c r="DC7" s="6"/>
      <c r="DD7" s="6"/>
      <c r="DE7" s="6"/>
      <c r="DF7" s="6"/>
    </row>
    <row r="8">
      <c r="A8" s="14"/>
      <c r="B8" s="19"/>
      <c r="C8" s="14"/>
      <c r="D8" s="14"/>
      <c r="E8" s="24" t="s">
        <v>13</v>
      </c>
      <c r="F8" s="5">
        <f>SUM(F3:F7)</f>
        <v>17</v>
      </c>
      <c r="G8" s="25">
        <f>SUM(G6:G7)</f>
        <v>0.4117647059</v>
      </c>
      <c r="H8" s="24" t="s">
        <v>13</v>
      </c>
      <c r="I8" s="5">
        <f>SUM(I3:I7)</f>
        <v>16</v>
      </c>
      <c r="J8" s="25">
        <f>SUM(J6:J7)</f>
        <v>0.625</v>
      </c>
      <c r="K8" s="24" t="s">
        <v>13</v>
      </c>
      <c r="L8" s="5">
        <f>SUM(L3:L7)</f>
        <v>11</v>
      </c>
      <c r="M8" s="25">
        <f>SUM(M6:M7)</f>
        <v>0.9090909091</v>
      </c>
      <c r="N8" s="24" t="s">
        <v>13</v>
      </c>
      <c r="O8" s="5">
        <f>SUM(O3:O7)</f>
        <v>7</v>
      </c>
      <c r="P8" s="25">
        <f>SUM(P6:P7)</f>
        <v>0.8571428571</v>
      </c>
      <c r="Q8" s="24" t="s">
        <v>13</v>
      </c>
      <c r="R8" s="5">
        <f>SUM(R3:R7)</f>
        <v>13</v>
      </c>
      <c r="S8" s="25">
        <f>SUM(S6:S7)</f>
        <v>0.8461538462</v>
      </c>
      <c r="T8" s="24" t="s">
        <v>13</v>
      </c>
      <c r="U8" s="5">
        <f>SUM(U3:U7)</f>
        <v>4</v>
      </c>
      <c r="V8" s="25">
        <f>SUM(V6:V7)</f>
        <v>1</v>
      </c>
      <c r="W8" s="24" t="s">
        <v>13</v>
      </c>
      <c r="X8" s="5">
        <f>SUM(X3:X7)</f>
        <v>1</v>
      </c>
      <c r="Y8" s="25">
        <f>SUM(Y6:Y7)</f>
        <v>1</v>
      </c>
      <c r="Z8" s="24" t="s">
        <v>13</v>
      </c>
      <c r="AA8" s="5">
        <f>SUM(AA3:AA7)</f>
        <v>11</v>
      </c>
      <c r="AB8" s="25">
        <f>SUM(AB6:AB7)</f>
        <v>0.6363636364</v>
      </c>
      <c r="AC8" s="24" t="s">
        <v>13</v>
      </c>
      <c r="AD8" s="5">
        <f>SUM(AD3:AD7)</f>
        <v>3</v>
      </c>
      <c r="AE8" s="25">
        <f>SUM(AE6:AE7)</f>
        <v>0.6666666667</v>
      </c>
      <c r="AF8" s="24" t="s">
        <v>13</v>
      </c>
      <c r="AG8" s="5">
        <f>SUM(AG3:AG7)</f>
        <v>14</v>
      </c>
      <c r="AH8" s="25">
        <f>SUM(AH6:AH7)</f>
        <v>0.5</v>
      </c>
      <c r="AI8" s="24" t="s">
        <v>13</v>
      </c>
      <c r="AJ8" s="5">
        <f>SUM(AJ3:AJ7)</f>
        <v>4</v>
      </c>
      <c r="AK8" s="25">
        <f>SUM(AK6:AK7)</f>
        <v>0</v>
      </c>
      <c r="AL8" s="24" t="s">
        <v>13</v>
      </c>
      <c r="AM8" s="5">
        <f>SUM(AM3:AM7)</f>
        <v>1</v>
      </c>
      <c r="AN8" s="25">
        <f>SUM(AN6:AN7)</f>
        <v>1</v>
      </c>
      <c r="AO8" s="24" t="s">
        <v>13</v>
      </c>
      <c r="AP8" s="5">
        <f>SUM(AP3:AP7)</f>
        <v>0</v>
      </c>
      <c r="AQ8" s="25" t="str">
        <f>SUM(AQ6:AQ7)</f>
        <v>#DIV/0!</v>
      </c>
      <c r="AR8" s="24" t="s">
        <v>13</v>
      </c>
      <c r="AS8" s="5">
        <f>SUM(AS3:AS7)</f>
        <v>0</v>
      </c>
      <c r="AT8" s="25" t="str">
        <f>SUM(AT6:AT7)</f>
        <v>#DIV/0!</v>
      </c>
      <c r="AU8" s="24" t="s">
        <v>13</v>
      </c>
      <c r="AV8" s="5">
        <f>SUM(AV3:AV7)</f>
        <v>0</v>
      </c>
      <c r="AW8" s="25" t="str">
        <f>SUM(AW6:AW7)</f>
        <v>#DIV/0!</v>
      </c>
      <c r="AX8" s="24" t="s">
        <v>13</v>
      </c>
      <c r="AY8" s="5">
        <f>SUM(AY3:AY7)</f>
        <v>0</v>
      </c>
      <c r="AZ8" s="25" t="str">
        <f>SUM(AZ6:AZ7)</f>
        <v>#DIV/0!</v>
      </c>
      <c r="BA8" s="24" t="s">
        <v>13</v>
      </c>
      <c r="BB8" s="5">
        <f>SUM(BB3:BB7)</f>
        <v>0</v>
      </c>
      <c r="BC8" s="25" t="str">
        <f>SUM(BC6:BC7)</f>
        <v>#DIV/0!</v>
      </c>
      <c r="BD8" s="24" t="s">
        <v>13</v>
      </c>
      <c r="BE8" s="5">
        <f>SUM(BE3:BE7)</f>
        <v>0</v>
      </c>
      <c r="BF8" s="25" t="str">
        <f>SUM(BF6:BF7)</f>
        <v>#DIV/0!</v>
      </c>
      <c r="BG8" s="24" t="s">
        <v>13</v>
      </c>
      <c r="BH8" s="5">
        <f>SUM(BH3:BH7)</f>
        <v>0</v>
      </c>
      <c r="BI8" s="25" t="str">
        <f>SUM(BI6:BI7)</f>
        <v>#DIV/0!</v>
      </c>
      <c r="BJ8" s="24" t="s">
        <v>13</v>
      </c>
      <c r="BK8" s="5">
        <f>SUM(BK3:BK7)</f>
        <v>0</v>
      </c>
      <c r="BL8" s="25" t="str">
        <f>SUM(BL6:BL7)</f>
        <v>#DIV/0!</v>
      </c>
      <c r="BM8" s="24" t="s">
        <v>13</v>
      </c>
      <c r="BN8" s="5">
        <f>SUM(BN3:BN7)</f>
        <v>0</v>
      </c>
      <c r="BO8" s="25" t="str">
        <f>SUM(BO6:BO7)</f>
        <v>#DIV/0!</v>
      </c>
      <c r="BP8" s="24" t="s">
        <v>13</v>
      </c>
      <c r="BQ8" s="5">
        <f>SUM(BQ3:BQ7)</f>
        <v>0</v>
      </c>
      <c r="BR8" s="25" t="str">
        <f>SUM(BR6:BR7)</f>
        <v>#DIV/0!</v>
      </c>
      <c r="BS8" s="24" t="s">
        <v>13</v>
      </c>
      <c r="BT8" s="5">
        <f>SUM(BT3:BT7)</f>
        <v>0</v>
      </c>
      <c r="BU8" s="25" t="str">
        <f>SUM(BU6:BU7)</f>
        <v>#DIV/0!</v>
      </c>
      <c r="BV8" s="24" t="s">
        <v>13</v>
      </c>
      <c r="BW8" s="5">
        <f>SUM(BW3:BW7)</f>
        <v>0</v>
      </c>
      <c r="BX8" s="25" t="str">
        <f>SUM(BX6:BX7)</f>
        <v>#DIV/0!</v>
      </c>
      <c r="BY8" s="24" t="s">
        <v>13</v>
      </c>
      <c r="BZ8" s="5">
        <f>SUM(BZ3:BZ7)</f>
        <v>0</v>
      </c>
      <c r="CA8" s="25" t="str">
        <f>SUM(CA6:CA7)</f>
        <v>#DIV/0!</v>
      </c>
      <c r="CB8" s="24" t="s">
        <v>13</v>
      </c>
      <c r="CC8" s="5">
        <f>SUM(CC3:CC7)</f>
        <v>0</v>
      </c>
      <c r="CD8" s="25" t="str">
        <f>SUM(CD6:CD7)</f>
        <v>#DIV/0!</v>
      </c>
      <c r="CE8" s="24" t="s">
        <v>13</v>
      </c>
      <c r="CF8" s="5">
        <f>SUM(CF3:CF7)</f>
        <v>0</v>
      </c>
      <c r="CG8" s="25" t="str">
        <f>SUM(CG6:CG7)</f>
        <v>#DIV/0!</v>
      </c>
      <c r="CH8" s="24" t="s">
        <v>13</v>
      </c>
      <c r="CI8" s="5">
        <f>SUM(CI3:CI7)</f>
        <v>0</v>
      </c>
      <c r="CJ8" s="25" t="str">
        <f>SUM(CJ6:CJ7)</f>
        <v>#DIV/0!</v>
      </c>
      <c r="CK8" s="24" t="s">
        <v>13</v>
      </c>
      <c r="CL8" s="5">
        <f>SUM(CL3:CL7)</f>
        <v>0</v>
      </c>
      <c r="CM8" s="25" t="str">
        <f>SUM(CM6:CM7)</f>
        <v>#DIV/0!</v>
      </c>
      <c r="CN8" s="24" t="s">
        <v>13</v>
      </c>
      <c r="CO8" s="5">
        <f>SUM(CO3:CO7)</f>
        <v>0</v>
      </c>
      <c r="CP8" s="25" t="str">
        <f>SUM(CP6:CP7)</f>
        <v>#DIV/0!</v>
      </c>
      <c r="CQ8" s="24" t="s">
        <v>13</v>
      </c>
      <c r="CR8" s="5">
        <f>SUM(CR3:CR7)</f>
        <v>0</v>
      </c>
      <c r="CS8" s="25" t="str">
        <f>SUM(CS6:CS7)</f>
        <v>#DIV/0!</v>
      </c>
      <c r="CT8" s="26"/>
      <c r="CU8" s="26"/>
      <c r="CV8" s="26"/>
      <c r="CW8" s="26"/>
      <c r="CX8" s="26"/>
      <c r="CY8" s="26"/>
      <c r="CZ8" s="26"/>
      <c r="DA8" s="26"/>
      <c r="DB8" s="26"/>
      <c r="DC8" s="26"/>
      <c r="DD8" s="26"/>
      <c r="DE8" s="26"/>
      <c r="DF8" s="26"/>
    </row>
    <row r="9">
      <c r="A9" s="14" t="s">
        <v>33</v>
      </c>
      <c r="B9" s="19"/>
      <c r="C9" s="14" t="s">
        <v>34</v>
      </c>
      <c r="D9" s="14" t="s">
        <v>35</v>
      </c>
      <c r="E9" s="27" t="str">
        <f>IF((COLUMN(E9) - 2)/3 = INT((COLUMN(E9) - 2)/3), INDIRECT("R1C"&amp;CEILING(4 + COLUMN(E9)/3,1), FALSE), "")</f>
        <v>['take', 'knee', 'player']</v>
      </c>
      <c r="F9" s="28"/>
      <c r="G9" s="29"/>
      <c r="H9" s="27" t="str">
        <f>IF((COLUMN(H9) - 2)/3 = INT((COLUMN(H9) - 2)/3), INDIRECT("R1C"&amp;CEILING(4 + COLUMN(H9)/3,1), FALSE), "")</f>
        <v>['champion', 'final', 'leagu', 'footbal', 'win']</v>
      </c>
      <c r="I9" s="28"/>
      <c r="J9" s="29"/>
      <c r="K9" s="27" t="str">
        <f>IF((COLUMN(K9) - 2)/3 = INT((COLUMN(K9) - 2)/3), INDIRECT("R1C"&amp;CEILING(4 + COLUMN(K9)/3,1), FALSE), "")</f>
        <v>['touch', 'cross', 'ball', 'pass']</v>
      </c>
      <c r="L9" s="28"/>
      <c r="M9" s="29"/>
      <c r="N9" s="27" t="str">
        <f>IF((COLUMN(N9) - 2)/3 = INT((COLUMN(N9) - 2)/3), INDIRECT("R1C"&amp;CEILING(4 + COLUMN(N9)/3,1), FALSE), "")</f>
        <v>['deflect', 'kick', 'corner', 'shot', 'net']</v>
      </c>
      <c r="O9" s="28"/>
      <c r="P9" s="29"/>
      <c r="Q9" s="27" t="str">
        <f>IF((COLUMN(Q9) - 2)/3 = INT((COLUMN(Q9) - 2)/3), INDIRECT("R1C"&amp;CEILING(4 + COLUMN(Q9)/3,1), FALSE), "")</f>
        <v>['goal', 'score', 'conced', 'equalis', 'offsid', 'assist']</v>
      </c>
      <c r="R9" s="28"/>
      <c r="S9" s="29"/>
      <c r="T9" s="27" t="str">
        <f>IF((COLUMN(T9) - 2)/3 = INT((COLUMN(T9) - 2)/3), INDIRECT("R1C"&amp;CEILING(4 + COLUMN(T9)/3,1), FALSE), "")</f>
        <v>['gol', 'stream', 'onlin', 'free', 'reddit', 'link', 'EXCLUDED-manchest', 'ff', 'live']</v>
      </c>
      <c r="U9" s="28"/>
      <c r="V9" s="29"/>
      <c r="W9" s="27" t="str">
        <f>IF((COLUMN(W9) - 2)/3 = INT((COLUMN(W9) - 2)/3), INDIRECT("R1C"&amp;CEILING(4 + COLUMN(W9)/3,1), FALSE), "")</f>
        <v>['hit', 'post']</v>
      </c>
      <c r="X9" s="28"/>
      <c r="Y9" s="29"/>
      <c r="Z9" s="27" t="str">
        <f>IF((COLUMN(Z9) - 2)/3 = INT((COLUMN(Z9) - 2)/3), INDIRECT("R1C"&amp;CEILING(4 + COLUMN(Z9)/3,1), FALSE), "")</f>
        <v>['keeper', 'best', 'goalkeep', 'defend', 'EXCLUDED-kepa', 'save']</v>
      </c>
      <c r="AA9" s="28"/>
      <c r="AB9" s="29"/>
      <c r="AC9" s="27" t="str">
        <f>IF((COLUMN(AC9) - 2)/3 = INT((COLUMN(AC9) - 2)/3), INDIRECT("R1C"&amp;CEILING(4 + COLUMN(AC9)/3,1), FALSE), "")</f>
        <v>['foul', 'refere', 'book', 'decis', 'var', 'given', 'pen', 'dive', 'ref', 'penalti']</v>
      </c>
      <c r="AD9" s="28"/>
      <c r="AE9" s="29"/>
      <c r="AF9" s="27" t="str">
        <f>IF((COLUMN(AF9) - 2)/3 = INT((COLUMN(AF9) - 2)/3), INDIRECT("R1C"&amp;CEILING(4 + COLUMN(AF9)/3,1), FALSE), "")</f>
        <v>['need', 'half', 'sub', 'second', 'lead', '2nd']</v>
      </c>
      <c r="AG9" s="28"/>
      <c r="AH9" s="29"/>
      <c r="AI9" s="27" t="str">
        <f>IF((COLUMN(AI9) - 2)/3 = INT((COLUMN(AI9) - 2)/3), INDIRECT("R1C"&amp;CEILING(4 + COLUMN(AI9)/3,1), FALSE), "")</f>
        <v>['world', 'class', 'striker']</v>
      </c>
      <c r="AJ9" s="28"/>
      <c r="AK9" s="29"/>
      <c r="AL9" s="27" t="str">
        <f>IF((COLUMN(AL9) - 2)/3 = INT((COLUMN(AL9) - 2)/3), INDIRECT("R1C"&amp;CEILING(4 + COLUMN(AL9)/3,1), FALSE), "")</f>
        <v>['tackl', 'dribbl', 'yellow', 'red', 'card']</v>
      </c>
      <c r="AM9" s="28"/>
      <c r="AN9" s="29"/>
      <c r="AO9" s="27" t="str">
        <f>IF((COLUMN(AO9) - 2)/3 = INT((COLUMN(AO9) - 2)/3), INDIRECT("R1C"&amp;CEILING(4 + COLUMN(AO9)/3,1), FALSE), "")</f>
        <v/>
      </c>
      <c r="AP9" s="28"/>
      <c r="AQ9" s="29"/>
      <c r="AR9" s="27" t="str">
        <f>IF((COLUMN(AR9) - 2)/3 = INT((COLUMN(AR9) - 2)/3), INDIRECT("R1C"&amp;CEILING(4 + COLUMN(AR9)/3,1), FALSE), "")</f>
        <v/>
      </c>
      <c r="AS9" s="28"/>
      <c r="AT9" s="29"/>
      <c r="AU9" s="27" t="str">
        <f>IF((COLUMN(AU9) - 2)/3 = INT((COLUMN(AU9) - 2)/3), INDIRECT("R1C"&amp;CEILING(4 + COLUMN(AU9)/3,1), FALSE), "")</f>
        <v/>
      </c>
      <c r="AV9" s="28"/>
      <c r="AW9" s="29"/>
      <c r="AX9" s="27" t="str">
        <f>IF((COLUMN(AX9) - 2)/3 = INT((COLUMN(AX9) - 2)/3), INDIRECT("R1C"&amp;CEILING(4 + COLUMN(AX9)/3,1), FALSE), "")</f>
        <v/>
      </c>
      <c r="AY9" s="28"/>
      <c r="AZ9" s="29"/>
      <c r="BA9" s="27" t="str">
        <f>IF((COLUMN(BA9) - 2)/3 = INT((COLUMN(BA9) - 2)/3), INDIRECT("R1C"&amp;CEILING(4 + COLUMN(BA9)/3,1), FALSE), "")</f>
        <v/>
      </c>
      <c r="BB9" s="28"/>
      <c r="BC9" s="29"/>
      <c r="BD9" s="27" t="str">
        <f>IF((COLUMN(BD9) - 2)/3 = INT((COLUMN(BD9) - 2)/3), INDIRECT("R1C"&amp;CEILING(4 + COLUMN(BD9)/3,1), FALSE), "")</f>
        <v/>
      </c>
      <c r="BE9" s="28"/>
      <c r="BF9" s="29"/>
      <c r="BG9" s="27" t="str">
        <f>IF((COLUMN(BG9) - 2)/3 = INT((COLUMN(BG9) - 2)/3), INDIRECT("R1C"&amp;CEILING(4 + COLUMN(BG9)/3,1), FALSE), "")</f>
        <v/>
      </c>
      <c r="BH9" s="28"/>
      <c r="BI9" s="29"/>
      <c r="BJ9" s="27" t="str">
        <f>IF((COLUMN(BJ9) - 2)/3 = INT((COLUMN(BJ9) - 2)/3), INDIRECT("R1C"&amp;CEILING(4 + COLUMN(BJ9)/3,1), FALSE), "")</f>
        <v/>
      </c>
      <c r="BK9" s="28"/>
      <c r="BL9" s="29"/>
      <c r="BM9" s="27" t="str">
        <f>IF((COLUMN(BM9) - 2)/3 = INT((COLUMN(BM9) - 2)/3), INDIRECT("R1C"&amp;CEILING(4 + COLUMN(BM9)/3,1), FALSE), "")</f>
        <v/>
      </c>
      <c r="BN9" s="28"/>
      <c r="BO9" s="29"/>
      <c r="BP9" s="27" t="str">
        <f>IF((COLUMN(BP9) - 2)/3 = INT((COLUMN(BP9) - 2)/3), INDIRECT("R1C"&amp;CEILING(4 + COLUMN(BP9)/3,1), FALSE), "")</f>
        <v/>
      </c>
      <c r="BQ9" s="28"/>
      <c r="BR9" s="29"/>
      <c r="BS9" s="27" t="str">
        <f>IF((COLUMN(BS9) - 2)/3 = INT((COLUMN(BS9) - 2)/3), INDIRECT("R1C"&amp;CEILING(4 + COLUMN(BS9)/3,1), FALSE), "")</f>
        <v/>
      </c>
      <c r="BT9" s="28"/>
      <c r="BU9" s="29"/>
      <c r="BV9" s="27" t="str">
        <f>IF((COLUMN(BV9) - 2)/3 = INT((COLUMN(BV9) - 2)/3), INDIRECT("R1C"&amp;CEILING(4 + COLUMN(BV9)/3,1), FALSE), "")</f>
        <v/>
      </c>
      <c r="BW9" s="28"/>
      <c r="BX9" s="29"/>
      <c r="BY9" s="27" t="str">
        <f>IF((COLUMN(BY9) - 2)/3 = INT((COLUMN(BY9) - 2)/3), INDIRECT("R1C"&amp;CEILING(4 + COLUMN(BY9)/3,1), FALSE), "")</f>
        <v/>
      </c>
      <c r="BZ9" s="28"/>
      <c r="CA9" s="29"/>
      <c r="CB9" s="27" t="str">
        <f>IF((COLUMN(CB9) - 2)/3 = INT((COLUMN(CB9) - 2)/3), INDIRECT("R1C"&amp;CEILING(4 + COLUMN(CB9)/3,1), FALSE), "")</f>
        <v/>
      </c>
      <c r="CC9" s="28"/>
      <c r="CD9" s="29"/>
      <c r="CE9" s="27" t="str">
        <f>IF((COLUMN(CE9) - 2)/3 = INT((COLUMN(CE9) - 2)/3), INDIRECT("R1C"&amp;CEILING(4 + COLUMN(CE9)/3,1), FALSE), "")</f>
        <v/>
      </c>
      <c r="CF9" s="28"/>
      <c r="CG9" s="29"/>
      <c r="CH9" s="27" t="str">
        <f>IF((COLUMN(CH9) - 2)/3 = INT((COLUMN(CH9) - 2)/3), INDIRECT("R1C"&amp;CEILING(4 + COLUMN(CH9)/3,1), FALSE), "")</f>
        <v/>
      </c>
      <c r="CI9" s="28"/>
      <c r="CJ9" s="29"/>
      <c r="CK9" s="27" t="str">
        <f>IF((COLUMN(CK9) - 2)/3 = INT((COLUMN(CK9) - 2)/3), INDIRECT("R1C"&amp;CEILING(4 + COLUMN(CK9)/3,1), FALSE), "")</f>
        <v/>
      </c>
      <c r="CL9" s="28"/>
      <c r="CM9" s="29"/>
      <c r="CN9" s="27" t="str">
        <f>IF((COLUMN(CN9) - 2)/3 = INT((COLUMN(CN9) - 2)/3), INDIRECT("R1C"&amp;CEILING(4 + COLUMN(CN9)/3,1), FALSE), "")</f>
        <v/>
      </c>
      <c r="CO9" s="28"/>
      <c r="CP9" s="29"/>
      <c r="CQ9" s="27" t="str">
        <f>IF((COLUMN(CQ9) - 2)/3 = INT((COLUMN(CQ9) - 2)/3), INDIRECT("R1C"&amp;CEILING(4 + COLUMN(CQ9)/3,1), FALSE), "")</f>
        <v/>
      </c>
      <c r="CR9" s="28"/>
      <c r="CS9" s="29"/>
    </row>
    <row r="10">
      <c r="A10" s="19" t="s">
        <v>14</v>
      </c>
      <c r="B10" s="19" t="s">
        <v>36</v>
      </c>
      <c r="C10" s="30">
        <f>IFERROR(__xludf.DUMMYFUNCTION("SUM(FILTER($E3:DF3, (COLUMN($E3:DF3)) / 3 = ROUND((COLUMN($E3:DF3)) / 3), NOT(ISERROR($E3:DF3))))"),8.0)</f>
        <v>8</v>
      </c>
      <c r="D10" s="26">
        <f t="shared" ref="D10:D14" si="63">$C10/$C$15</f>
        <v>0.07843137255</v>
      </c>
      <c r="E10" s="5" t="str">
        <f>IFERROR(__xludf.DUMMYFUNCTION("QUERY(INDIRECT($B$2&amp;""!$A$1:$F""), ""SELECT C, F WHERE D = """""" &amp; E9 &amp; """""""")"),"date")</f>
        <v>date</v>
      </c>
      <c r="F10" s="5" t="str">
        <f>IFERROR(__xludf.DUMMYFUNCTION("""COMPUTED_VALUE"""),"summary")</f>
        <v>summary</v>
      </c>
      <c r="H10" s="5" t="str">
        <f>IFERROR(__xludf.DUMMYFUNCTION("QUERY(INDIRECT($B$2&amp;""!$A$1:$F""), ""SELECT C, F WHERE D = """""" &amp; H9 &amp; """""""")"),"date")</f>
        <v>date</v>
      </c>
      <c r="I10" s="5" t="str">
        <f>IFERROR(__xludf.DUMMYFUNCTION("""COMPUTED_VALUE"""),"summary")</f>
        <v>summary</v>
      </c>
      <c r="K10" s="5" t="str">
        <f>IFERROR(__xludf.DUMMYFUNCTION("QUERY(INDIRECT($B$2&amp;""!$A$1:$F""), ""SELECT C, F WHERE D = """""" &amp; K9 &amp; """""""")"),"date")</f>
        <v>date</v>
      </c>
      <c r="L10" s="5" t="str">
        <f>IFERROR(__xludf.DUMMYFUNCTION("""COMPUTED_VALUE"""),"summary")</f>
        <v>summary</v>
      </c>
      <c r="N10" s="5" t="str">
        <f>IFERROR(__xludf.DUMMYFUNCTION("QUERY(INDIRECT($B$2&amp;""!$A$1:$F""), ""SELECT C, F WHERE D = """""" &amp; N9 &amp; """""""")"),"date")</f>
        <v>date</v>
      </c>
      <c r="O10" s="5" t="str">
        <f>IFERROR(__xludf.DUMMYFUNCTION("""COMPUTED_VALUE"""),"summary")</f>
        <v>summary</v>
      </c>
      <c r="Q10" s="5" t="str">
        <f>IFERROR(__xludf.DUMMYFUNCTION("QUERY(INDIRECT($B$2&amp;""!$A$1:$F""), ""SELECT C, F WHERE D = """""" &amp; Q9 &amp; """""""")"),"date")</f>
        <v>date</v>
      </c>
      <c r="R10" s="5" t="str">
        <f>IFERROR(__xludf.DUMMYFUNCTION("""COMPUTED_VALUE"""),"summary")</f>
        <v>summary</v>
      </c>
      <c r="T10" s="5" t="str">
        <f>IFERROR(__xludf.DUMMYFUNCTION("QUERY(INDIRECT($B$2&amp;""!$A$1:$F""), ""SELECT C, F WHERE D = """""" &amp; T9 &amp; """""""")"),"date")</f>
        <v>date</v>
      </c>
      <c r="U10" s="5" t="str">
        <f>IFERROR(__xludf.DUMMYFUNCTION("""COMPUTED_VALUE"""),"summary")</f>
        <v>summary</v>
      </c>
      <c r="W10" s="5" t="str">
        <f>IFERROR(__xludf.DUMMYFUNCTION("QUERY(INDIRECT($B$2&amp;""!$A$1:$F""), ""SELECT C, F WHERE D = """""" &amp; W9 &amp; """""""")"),"date")</f>
        <v>date</v>
      </c>
      <c r="X10" s="5" t="str">
        <f>IFERROR(__xludf.DUMMYFUNCTION("""COMPUTED_VALUE"""),"summary")</f>
        <v>summary</v>
      </c>
      <c r="Z10" s="5" t="str">
        <f>IFERROR(__xludf.DUMMYFUNCTION("QUERY(INDIRECT($B$2&amp;""!$A$1:$F""), ""SELECT C, F WHERE D = """""" &amp; Z9 &amp; """""""")"),"date")</f>
        <v>date</v>
      </c>
      <c r="AA10" s="5" t="str">
        <f>IFERROR(__xludf.DUMMYFUNCTION("""COMPUTED_VALUE"""),"summary")</f>
        <v>summary</v>
      </c>
      <c r="AC10" s="5" t="str">
        <f>IFERROR(__xludf.DUMMYFUNCTION("QUERY(INDIRECT($B$2&amp;""!$A$1:$F""), ""SELECT C, F WHERE D = """""" &amp; AC9 &amp; """""""")"),"date")</f>
        <v>date</v>
      </c>
      <c r="AD10" s="5" t="str">
        <f>IFERROR(__xludf.DUMMYFUNCTION("""COMPUTED_VALUE"""),"summary")</f>
        <v>summary</v>
      </c>
      <c r="AF10" s="5" t="str">
        <f>IFERROR(__xludf.DUMMYFUNCTION("QUERY(INDIRECT($B$2&amp;""!$A$1:$F""), ""SELECT C, F WHERE D = """""" &amp; AF9 &amp; """""""")"),"date")</f>
        <v>date</v>
      </c>
      <c r="AG10" s="5" t="str">
        <f>IFERROR(__xludf.DUMMYFUNCTION("""COMPUTED_VALUE"""),"summary")</f>
        <v>summary</v>
      </c>
      <c r="AI10" s="5" t="str">
        <f>IFERROR(__xludf.DUMMYFUNCTION("QUERY(INDIRECT($B$2&amp;""!$A$1:$F""), ""SELECT C, F WHERE D = """""" &amp; AI9 &amp; """""""")"),"date")</f>
        <v>date</v>
      </c>
      <c r="AJ10" s="5" t="str">
        <f>IFERROR(__xludf.DUMMYFUNCTION("""COMPUTED_VALUE"""),"summary")</f>
        <v>summary</v>
      </c>
      <c r="AL10" s="5" t="str">
        <f>IFERROR(__xludf.DUMMYFUNCTION("QUERY(INDIRECT($B$2&amp;""!$A$1:$F""), ""SELECT C, F WHERE D = """""" &amp; AL9 &amp; """""""")"),"date")</f>
        <v>date</v>
      </c>
      <c r="AM10" s="5" t="str">
        <f>IFERROR(__xludf.DUMMYFUNCTION("""COMPUTED_VALUE"""),"summary")</f>
        <v>summary</v>
      </c>
      <c r="AO10" s="5" t="str">
        <f>IFERROR(__xludf.DUMMYFUNCTION("QUERY(INDIRECT($B$2&amp;""!$A$1:$F""), ""SELECT C, F WHERE D = """""" &amp; AO9 &amp; """""""")"),"date")</f>
        <v>date</v>
      </c>
      <c r="AP10" s="5" t="str">
        <f>IFERROR(__xludf.DUMMYFUNCTION("""COMPUTED_VALUE"""),"summary")</f>
        <v>summary</v>
      </c>
      <c r="AR10" s="5" t="str">
        <f>IFERROR(__xludf.DUMMYFUNCTION("QUERY(INDIRECT($B$2&amp;""!$A$1:$F""), ""SELECT C, F WHERE D = """""" &amp; AR9 &amp; """""""")"),"date")</f>
        <v>date</v>
      </c>
      <c r="AS10" s="5" t="str">
        <f>IFERROR(__xludf.DUMMYFUNCTION("""COMPUTED_VALUE"""),"summary")</f>
        <v>summary</v>
      </c>
      <c r="AU10" s="5" t="str">
        <f>IFERROR(__xludf.DUMMYFUNCTION("QUERY(INDIRECT($B$2&amp;""!$A$1:$F""), ""SELECT C, F WHERE D = """""" &amp; AU9 &amp; """""""")"),"date")</f>
        <v>date</v>
      </c>
      <c r="AV10" s="5" t="str">
        <f>IFERROR(__xludf.DUMMYFUNCTION("""COMPUTED_VALUE"""),"summary")</f>
        <v>summary</v>
      </c>
      <c r="AX10" s="5" t="str">
        <f>IFERROR(__xludf.DUMMYFUNCTION("QUERY(INDIRECT($B$2&amp;""!$A$1:$F""), ""SELECT C, F WHERE D = """""" &amp; AX9 &amp; """""""")"),"date")</f>
        <v>date</v>
      </c>
      <c r="AY10" s="5" t="str">
        <f>IFERROR(__xludf.DUMMYFUNCTION("""COMPUTED_VALUE"""),"summary")</f>
        <v>summary</v>
      </c>
      <c r="BA10" s="5" t="str">
        <f>IFERROR(__xludf.DUMMYFUNCTION("QUERY(INDIRECT($B$2&amp;""!$A$1:$F""), ""SELECT C, F WHERE D = """""" &amp; BA9 &amp; """""""")"),"date")</f>
        <v>date</v>
      </c>
      <c r="BB10" s="5" t="str">
        <f>IFERROR(__xludf.DUMMYFUNCTION("""COMPUTED_VALUE"""),"summary")</f>
        <v>summary</v>
      </c>
      <c r="BD10" s="5" t="str">
        <f>IFERROR(__xludf.DUMMYFUNCTION("QUERY(INDIRECT($B$2&amp;""!$A$1:$F""), ""SELECT C, F WHERE D = """""" &amp; BD9 &amp; """""""")"),"date")</f>
        <v>date</v>
      </c>
      <c r="BE10" s="5" t="str">
        <f>IFERROR(__xludf.DUMMYFUNCTION("""COMPUTED_VALUE"""),"summary")</f>
        <v>summary</v>
      </c>
      <c r="BG10" s="5" t="str">
        <f>IFERROR(__xludf.DUMMYFUNCTION("QUERY(INDIRECT($B$2&amp;""!$A$1:$F""), ""SELECT C, F WHERE D = """""" &amp; BG9 &amp; """""""")"),"date")</f>
        <v>date</v>
      </c>
      <c r="BH10" s="5" t="str">
        <f>IFERROR(__xludf.DUMMYFUNCTION("""COMPUTED_VALUE"""),"summary")</f>
        <v>summary</v>
      </c>
      <c r="BJ10" s="5" t="str">
        <f>IFERROR(__xludf.DUMMYFUNCTION("QUERY(INDIRECT($B$2&amp;""!$A$1:$F""), ""SELECT C, F WHERE D = """""" &amp; BJ9 &amp; """""""")"),"date")</f>
        <v>date</v>
      </c>
      <c r="BK10" s="5" t="str">
        <f>IFERROR(__xludf.DUMMYFUNCTION("""COMPUTED_VALUE"""),"summary")</f>
        <v>summary</v>
      </c>
      <c r="BM10" s="5" t="str">
        <f>IFERROR(__xludf.DUMMYFUNCTION("QUERY(INDIRECT($B$2&amp;""!$A$1:$F""), ""SELECT C, F WHERE D = """""" &amp; BM9 &amp; """""""")"),"date")</f>
        <v>date</v>
      </c>
      <c r="BN10" s="5" t="str">
        <f>IFERROR(__xludf.DUMMYFUNCTION("""COMPUTED_VALUE"""),"summary")</f>
        <v>summary</v>
      </c>
      <c r="BP10" s="5" t="str">
        <f>IFERROR(__xludf.DUMMYFUNCTION("QUERY(INDIRECT($B$2&amp;""!$A$1:$F""), ""SELECT C, F WHERE D = """""" &amp; BP9 &amp; """""""")"),"date")</f>
        <v>date</v>
      </c>
      <c r="BQ10" s="5" t="str">
        <f>IFERROR(__xludf.DUMMYFUNCTION("""COMPUTED_VALUE"""),"summary")</f>
        <v>summary</v>
      </c>
      <c r="BS10" s="5" t="str">
        <f>IFERROR(__xludf.DUMMYFUNCTION("QUERY(INDIRECT($B$2&amp;""!$A$1:$F""), ""SELECT C, F WHERE D = """""" &amp; BS9 &amp; """""""")"),"date")</f>
        <v>date</v>
      </c>
      <c r="BT10" s="5" t="str">
        <f>IFERROR(__xludf.DUMMYFUNCTION("""COMPUTED_VALUE"""),"summary")</f>
        <v>summary</v>
      </c>
      <c r="BV10" s="5" t="str">
        <f>IFERROR(__xludf.DUMMYFUNCTION("QUERY(INDIRECT($B$2&amp;""!$A$1:$F""), ""SELECT C, F WHERE D = """""" &amp; BV9 &amp; """""""")"),"date")</f>
        <v>date</v>
      </c>
      <c r="BW10" s="5" t="str">
        <f>IFERROR(__xludf.DUMMYFUNCTION("""COMPUTED_VALUE"""),"summary")</f>
        <v>summary</v>
      </c>
      <c r="BY10" s="5" t="str">
        <f>IFERROR(__xludf.DUMMYFUNCTION("QUERY(INDIRECT($B$2&amp;""!$A$1:$F""), ""SELECT C, F WHERE D = """""" &amp; BY9 &amp; """""""")"),"date")</f>
        <v>date</v>
      </c>
      <c r="BZ10" s="5" t="str">
        <f>IFERROR(__xludf.DUMMYFUNCTION("""COMPUTED_VALUE"""),"summary")</f>
        <v>summary</v>
      </c>
      <c r="CB10" s="5" t="str">
        <f>IFERROR(__xludf.DUMMYFUNCTION("QUERY(INDIRECT($B$2&amp;""!$A$1:$F""), ""SELECT C, F WHERE D = """""" &amp; CB9 &amp; """""""")"),"date")</f>
        <v>date</v>
      </c>
      <c r="CC10" s="5" t="str">
        <f>IFERROR(__xludf.DUMMYFUNCTION("""COMPUTED_VALUE"""),"summary")</f>
        <v>summary</v>
      </c>
      <c r="CE10" s="5" t="str">
        <f>IFERROR(__xludf.DUMMYFUNCTION("QUERY(INDIRECT($B$2&amp;""!$A$1:$F""), ""SELECT C, F WHERE D = """""" &amp; CE9 &amp; """""""")"),"date")</f>
        <v>date</v>
      </c>
      <c r="CF10" s="5" t="str">
        <f>IFERROR(__xludf.DUMMYFUNCTION("""COMPUTED_VALUE"""),"summary")</f>
        <v>summary</v>
      </c>
      <c r="CH10" s="5" t="str">
        <f>IFERROR(__xludf.DUMMYFUNCTION("QUERY(INDIRECT($B$2&amp;""!$A$1:$F""), ""SELECT C, F WHERE D = """""" &amp; CH9 &amp; """""""")"),"date")</f>
        <v>date</v>
      </c>
      <c r="CI10" s="5" t="str">
        <f>IFERROR(__xludf.DUMMYFUNCTION("""COMPUTED_VALUE"""),"summary")</f>
        <v>summary</v>
      </c>
      <c r="CK10" s="5" t="str">
        <f>IFERROR(__xludf.DUMMYFUNCTION("QUERY(INDIRECT($B$2&amp;""!$A$1:$F""), ""SELECT C, F WHERE D = """""" &amp; CK9 &amp; """""""")"),"date")</f>
        <v>date</v>
      </c>
      <c r="CL10" s="5" t="str">
        <f>IFERROR(__xludf.DUMMYFUNCTION("""COMPUTED_VALUE"""),"summary")</f>
        <v>summary</v>
      </c>
      <c r="CN10" s="5" t="str">
        <f>IFERROR(__xludf.DUMMYFUNCTION("QUERY(INDIRECT($B$2&amp;""!$A$1:$F""), ""SELECT C, F WHERE D = """""" &amp; CN9 &amp; """""""")"),"date")</f>
        <v>date</v>
      </c>
      <c r="CO10" s="5" t="str">
        <f>IFERROR(__xludf.DUMMYFUNCTION("""COMPUTED_VALUE"""),"summary")</f>
        <v>summary</v>
      </c>
      <c r="CQ10" s="5" t="str">
        <f>IFERROR(__xludf.DUMMYFUNCTION("QUERY(INDIRECT($B$2&amp;""!$A$1:$F""), ""SELECT C, F WHERE D = """""" &amp; CQ9 &amp; """""""")"),"date")</f>
        <v>date</v>
      </c>
      <c r="CR10" s="5" t="str">
        <f>IFERROR(__xludf.DUMMYFUNCTION("""COMPUTED_VALUE"""),"summary")</f>
        <v>summary</v>
      </c>
    </row>
    <row r="11">
      <c r="A11" s="19" t="s">
        <v>15</v>
      </c>
      <c r="B11" s="19" t="s">
        <v>37</v>
      </c>
      <c r="C11" s="30">
        <f>IFERROR(__xludf.DUMMYFUNCTION("SUM(FILTER($E4:DF4, (COLUMN($E4:DF4)) / 3 = ROUND((COLUMN($E4:DF4)) / 3), NOT(ISERROR($E4:DF4))))"),4.0)</f>
        <v>4</v>
      </c>
      <c r="D11" s="26">
        <f t="shared" si="63"/>
        <v>0.03921568627</v>
      </c>
      <c r="E11" s="40">
        <f>IFERROR(__xludf.DUMMYFUNCTION("""COMPUTED_VALUE"""),44358.790300925924)</f>
        <v>44358.7903</v>
      </c>
      <c r="F11" s="5" t="str">
        <f>IFERROR(__xludf.DUMMYFUNCTION("""COMPUTED_VALUE"""),"Can't believe chiellini is still player at 50 👀. Watch Barella and takes notes people. EURO 2020. Now that's how you sing your national anthem. England players take note #ita. I have a feeling that my favourite player to watch will be Okay tonight! EURO "&amp;"2020 #TURITA.")</f>
        <v>Can't believe chiellini is still player at 50 👀. Watch Barella and takes notes people. EURO 2020. Now that's how you sing your national anthem. England players take note #ita. I have a feeling that my favourite player to watch will be Okay tonight! EURO 2020 #TURITA.</v>
      </c>
      <c r="G11" s="5"/>
      <c r="H11" s="40">
        <f>IFERROR(__xludf.DUMMYFUNCTION("""COMPUTED_VALUE"""),44358.79063657408)</f>
        <v>44358.79064</v>
      </c>
      <c r="I11" s="5" t="str">
        <f>IFERROR(__xludf.DUMMYFUNCTION("""COMPUTED_VALUE"""),"Football is back 😍😍😍. #TURITA. Football! Yes! #TURITA EURO 2020. So Chiellini no go retire from football? Chiellini honestly has the biggest nose in football 😂. Feel like i was watching chiellini play football my whole life. Is Chiellini the best 'bas"&amp;"tard' still in football?")</f>
        <v>Football is back 😍😍😍. #TURITA. Football! Yes! #TURITA EURO 2020. So Chiellini no go retire from football? Chiellini honestly has the biggest nose in football 😂. Feel like i was watching chiellini play football my whole life. Is Chiellini the best 'bastard' still in football?</v>
      </c>
      <c r="J11" s="5"/>
      <c r="K11" s="40">
        <f>IFERROR(__xludf.DUMMYFUNCTION("""COMPUTED_VALUE"""),44358.79232638889)</f>
        <v>44358.79233</v>
      </c>
      <c r="L11" s="5" t="str">
        <f>IFERROR(__xludf.DUMMYFUNCTION("""COMPUTED_VALUE"""),"Insigne was defo driving that car with the ball in 😂. Genius that match ball in a car thingy 👏🏻 #ita #tur. Why did they use Insigne’s car to bring the ball on the pitch? That car must be brought into the premiership -the car presentation of the ball wa"&amp;"s brilliant 👏🏽👏🏽#TURITA.")</f>
        <v>Insigne was defo driving that car with the ball in 😂. Genius that match ball in a car thingy 👏🏻 #ita #tur. Why did they use Insigne’s car to bring the ball on the pitch? That car must be brought into the premiership -the car presentation of the ball was brilliant 👏🏽👏🏽#TURITA.</v>
      </c>
      <c r="M11" s="39" t="s">
        <v>18</v>
      </c>
      <c r="N11" s="40">
        <f>IFERROR(__xludf.DUMMYFUNCTION("""COMPUTED_VALUE"""),44358.794016203705)</f>
        <v>44358.79402</v>
      </c>
      <c r="O11" s="5" t="str">
        <f>IFERROR(__xludf.DUMMYFUNCTION("""COMPUTED_VALUE"""),"Would’ve been better if the car had kicked the ball to the ref #TURITA EURO 2020. Andrea Bocelli, Mancini’s jacket, the RC VW carrying the ball… proper Euro-madness to kick off EURO 2020. The cast of Downsizing driving the ball to the halfway line for kic"&amp;"k-off. Nice. #TURITA.")</f>
        <v>Would’ve been better if the car had kicked the ball to the ref #TURITA EURO 2020. Andrea Bocelli, Mancini’s jacket, the RC VW carrying the ball… proper Euro-madness to kick off EURO 2020. The cast of Downsizing driving the ball to the halfway line for kick-off. Nice. #TURITA.</v>
      </c>
      <c r="P11" s="39" t="s">
        <v>18</v>
      </c>
      <c r="Q11" s="40">
        <f>IFERROR(__xludf.DUMMYFUNCTION("""COMPUTED_VALUE"""),44358.804247685184)</f>
        <v>44358.80425</v>
      </c>
      <c r="R11" s="5" t="str">
        <f>IFERROR(__xludf.DUMMYFUNCTION("""COMPUTED_VALUE"""),"That should have been a goal INSIGNE! Insigne should be scoring that. 😌. La hawla this midget Insigne robbing me off a Berardi assist. I reckon Insigne is small enough to fit in that tiny car and that means he could take goal celebrations to a whole new "&amp;"level.")</f>
        <v>That should have been a goal INSIGNE! Insigne should be scoring that. 😌. La hawla this midget Insigne robbing me off a Berardi assist. I reckon Insigne is small enough to fit in that tiny car and that means he could take goal celebrations to a whole new level.</v>
      </c>
      <c r="S11" s="39" t="s">
        <v>18</v>
      </c>
      <c r="T11" s="40">
        <f>IFERROR(__xludf.DUMMYFUNCTION("""COMPUTED_VALUE"""),44358.80425925926)</f>
        <v>44358.80426</v>
      </c>
      <c r="U11" s="5" t="str">
        <f>IFERROR(__xludf.DUMMYFUNCTION("""COMPUTED_VALUE"""),"INSIGNE YOU HAVE TO SCORE FFS. Ffsss Insigne bottleman. BURY THAT INSIGNE FFS. Insigne ffs so close. Ffs Insigne. Look at Insigne ffs. Ffs Insigne i last minute transferred you into my Fantasy team. Ffs insigne, I saw 4 points being stole in front of me e"&amp;"yes. COME ON INSIGNE FFS.")</f>
        <v>INSIGNE YOU HAVE TO SCORE FFS. Ffsss Insigne bottleman. BURY THAT INSIGNE FFS. Insigne ffs so close. Ffs Insigne. Look at Insigne ffs. Ffs Insigne i last minute transferred you into my Fantasy team. Ffs insigne, I saw 4 points being stole in front of me eyes. COME ON INSIGNE FFS.</v>
      </c>
      <c r="V11" s="39" t="s">
        <v>18</v>
      </c>
      <c r="W11" s="40">
        <f>IFERROR(__xludf.DUMMYFUNCTION("""COMPUTED_VALUE"""),44358.80482638889)</f>
        <v>44358.80483</v>
      </c>
      <c r="X11" s="5" t="str">
        <f>IFERROR(__xludf.DUMMYFUNCTION("""COMPUTED_VALUE"""),"Insigne has to hit that on target. Go near post insigne. Lovely one two, Insigne tries to curl it inside the far post but gets it wrong and it goes wide. 0-0 (18) Dooooh Insigne should have hit the target. Insigne with a miss post-Liverpool Torres would h"&amp;"ave been proud of #TURITA.")</f>
        <v>Insigne has to hit that on target. Go near post insigne. Lovely one two, Insigne tries to curl it inside the far post but gets it wrong and it goes wide. 0-0 (18) Dooooh Insigne should have hit the target. Insigne with a miss post-Liverpool Torres would have been proud of #TURITA.</v>
      </c>
      <c r="Y11" s="39" t="s">
        <v>18</v>
      </c>
      <c r="Z11" s="40">
        <f>IFERROR(__xludf.DUMMYFUNCTION("""COMPUTED_VALUE"""),44358.80731481481)</f>
        <v>44358.80731</v>
      </c>
      <c r="AA11" s="5" t="str">
        <f>IFERROR(__xludf.DUMMYFUNCTION("""COMPUTED_VALUE"""),"What a save from the keeper on Chiellini’s header. What a save by Cakir! Awful marking by Turkey aswell. Outrageous save from Cakir 👏 would have loved Chiellini to score the opening goal of the tournament EURO 2020. The save from the keeper was impressiv"&amp;"e EURO 2020 #TURITA.")</f>
        <v>What a save from the keeper on Chiellini’s header. What a save by Cakir! Awful marking by Turkey aswell. Outrageous save from Cakir 👏 would have loved Chiellini to score the opening goal of the tournament EURO 2020. The save from the keeper was impressive EURO 2020 #TURITA.</v>
      </c>
      <c r="AB11" s="39" t="s">
        <v>18</v>
      </c>
      <c r="AC11" s="40">
        <f>IFERROR(__xludf.DUMMYFUNCTION("""COMPUTED_VALUE"""),44358.807800925926)</f>
        <v>44358.8078</v>
      </c>
      <c r="AD11" s="5" t="str">
        <f>IFERROR(__xludf.DUMMYFUNCTION("""COMPUTED_VALUE"""),"Penalty appeals central, even VAR isn't having those though EURO 2020 #TURITA. Why TF is VAR in another country 😂😂😂 #ITATUR. VAR 0 for 1 after that clear Soyuncu handball. Are the VAR refs in full kit for this tournament? In a different country to the "&amp;"games. EURO 2020 #TURITA.")</f>
        <v>Penalty appeals central, even VAR isn't having those though EURO 2020 #TURITA. Why TF is VAR in another country 😂😂😂 #ITATUR. VAR 0 for 1 after that clear Soyuncu handball. Are the VAR refs in full kit for this tournament? In a different country to the games. EURO 2020 #TURITA.</v>
      </c>
      <c r="AE11" s="39" t="s">
        <v>18</v>
      </c>
      <c r="AF11" s="40">
        <f>IFERROR(__xludf.DUMMYFUNCTION("""COMPUTED_VALUE"""),44358.813368055555)</f>
        <v>44358.81337</v>
      </c>
      <c r="AG11" s="5" t="str">
        <f>IFERROR(__xludf.DUMMYFUNCTION("""COMPUTED_VALUE"""),"Turkey haven't turned up and look nervous in this half #ITATUR. Insigne a half space demon. #ITA with 65% possession through half an hour. But just 7 touches for Immobile. EURO 2020. A lot of bad decisions in this first half by the Italian team euro 2020 "&amp;"#TURITA.")</f>
        <v>Turkey haven't turned up and look nervous in this half #ITATUR. Insigne a half space demon. #ITA with 65% possession through half an hour. But just 7 touches for Immobile. EURO 2020. A lot of bad decisions in this first half by the Italian team euro 2020 #TURITA.</v>
      </c>
      <c r="AH11" s="39" t="s">
        <v>18</v>
      </c>
      <c r="AI11" s="40">
        <f>IFERROR(__xludf.DUMMYFUNCTION("""COMPUTED_VALUE"""),44358.8234375)</f>
        <v>44358.82344</v>
      </c>
      <c r="AJ11" s="5" t="str">
        <f>IFERROR(__xludf.DUMMYFUNCTION("""COMPUTED_VALUE"""),"Spinazzola has been class till now! Jorginho world clarse. Jorginho is actually world clarse. Not being reactionary but Spinazzola is the best full back in the world. Spinazzola has been class this first half. Spinazzola is class! Spinazzola is class.")</f>
        <v>Spinazzola has been class till now! Jorginho world clarse. Jorginho is actually world clarse. Not being reactionary but Spinazzola is the best full back in the world. Spinazzola has been class this first half. Spinazzola is class! Spinazzola is class.</v>
      </c>
      <c r="AK11" s="39" t="s">
        <v>16</v>
      </c>
      <c r="AL11" s="40">
        <f>IFERROR(__xludf.DUMMYFUNCTION("""COMPUTED_VALUE"""),44358.86813657408)</f>
        <v>44358.86814</v>
      </c>
      <c r="AM11" s="5" t="str">
        <f>IFERROR(__xludf.DUMMYFUNCTION("""COMPUTED_VALUE"""),"All those years of experience from chiellini there, what a tackle. Chiellini lunging in for tackles like he's not been 36 for the last 3 tournaments. 📸 - Wonderful tackle from Chiellini to deny Yilmaz from scoring there... Chiellini celebrating a tackle "&amp;"3-0 up. Love to see it.")</f>
        <v>All those years of experience from chiellini there, what a tackle. Chiellini lunging in for tackles like he's not been 36 for the last 3 tournaments. 📸 - Wonderful tackle from Chiellini to deny Yilmaz from scoring there... Chiellini celebrating a tackle 3-0 up. Love to see it.</v>
      </c>
      <c r="AN11" s="39" t="s">
        <v>18</v>
      </c>
      <c r="AO11" s="40"/>
      <c r="AP11" s="5"/>
      <c r="AQ11" s="5"/>
      <c r="AR11" s="40"/>
      <c r="AS11" s="5"/>
      <c r="AT11" s="5"/>
      <c r="AU11" s="40"/>
      <c r="AV11" s="5"/>
      <c r="AW11" s="5"/>
      <c r="AX11" s="40"/>
      <c r="AY11" s="5"/>
      <c r="AZ11" s="5"/>
      <c r="BA11" s="40"/>
      <c r="BB11" s="5"/>
      <c r="BC11" s="5"/>
      <c r="BD11" s="40"/>
      <c r="BE11" s="5"/>
      <c r="BF11" s="5"/>
      <c r="BG11" s="40"/>
      <c r="BH11" s="5"/>
      <c r="BI11" s="5"/>
      <c r="BJ11" s="40"/>
      <c r="BK11" s="5"/>
      <c r="BL11" s="5"/>
      <c r="BM11" s="40"/>
      <c r="BN11" s="5"/>
      <c r="BO11" s="5"/>
      <c r="BP11" s="40"/>
      <c r="BQ11" s="5"/>
      <c r="BR11" s="5"/>
      <c r="BS11" s="40"/>
      <c r="BT11" s="5"/>
      <c r="BU11" s="5"/>
      <c r="BV11" s="40"/>
      <c r="BW11" s="5"/>
      <c r="BX11" s="5"/>
      <c r="BY11" s="40"/>
      <c r="BZ11" s="5"/>
      <c r="CA11" s="5"/>
      <c r="CB11" s="40"/>
      <c r="CC11" s="5"/>
      <c r="CD11" s="5"/>
      <c r="CE11" s="40"/>
      <c r="CF11" s="5"/>
      <c r="CG11" s="5"/>
      <c r="CH11" s="40"/>
      <c r="CI11" s="5"/>
      <c r="CJ11" s="5"/>
      <c r="CK11" s="40"/>
      <c r="CL11" s="5"/>
      <c r="CM11" s="5"/>
      <c r="CN11" s="40"/>
      <c r="CO11" s="5"/>
      <c r="CP11" s="5"/>
      <c r="CQ11" s="40"/>
      <c r="CR11" s="5"/>
      <c r="CS11" s="5"/>
      <c r="CT11" s="5"/>
      <c r="CU11" s="5"/>
      <c r="CV11" s="5"/>
      <c r="CW11" s="5"/>
      <c r="CX11" s="5"/>
      <c r="CY11" s="5"/>
      <c r="CZ11" s="5"/>
      <c r="DA11" s="5"/>
      <c r="DB11" s="5"/>
      <c r="DC11" s="5"/>
      <c r="DD11" s="5"/>
      <c r="DE11" s="5"/>
      <c r="DF11" s="5"/>
    </row>
    <row r="12">
      <c r="A12" s="19" t="s">
        <v>16</v>
      </c>
      <c r="B12" s="19" t="s">
        <v>38</v>
      </c>
      <c r="C12" s="30">
        <f>IFERROR(__xludf.DUMMYFUNCTION("SUM(FILTER($E5:DF5, (COLUMN($E5:DF5)) / 3 = ROUND((COLUMN($E5:DF5)) / 3), NOT(ISERROR($E5:DF5))))"),24.0)</f>
        <v>24</v>
      </c>
      <c r="D12" s="26">
        <f t="shared" si="63"/>
        <v>0.2352941176</v>
      </c>
      <c r="E12" s="40">
        <f>IFERROR(__xludf.DUMMYFUNCTION("""COMPUTED_VALUE"""),44358.792604166665)</f>
        <v>44358.7926</v>
      </c>
      <c r="F12" s="5" t="str">
        <f>IFERROR(__xludf.DUMMYFUNCTION("""COMPUTED_VALUE"""),"Yilmaz taking over vs Italy. Ffs hope a player volleys that car Ita Tur EURO 2020. Did you see that little VW car to take the ball out 🤣. EURO 2020. #ita. I cy just see that remote-controlled car taking out some star player before kickoff #TURITA EURO 20"&amp;"20.")</f>
        <v>Yilmaz taking over vs Italy. Ffs hope a player volleys that car Ita Tur EURO 2020. Did you see that little VW car to take the ball out 🤣. EURO 2020. #ita. I cy just see that remote-controlled car taking out some star player before kickoff #TURITA EURO 2020.</v>
      </c>
      <c r="G12" s="39" t="s">
        <v>18</v>
      </c>
      <c r="H12" s="40">
        <f>IFERROR(__xludf.DUMMYFUNCTION("""COMPUTED_VALUE"""),44358.79236111111)</f>
        <v>44358.79236</v>
      </c>
      <c r="I12" s="5" t="str">
        <f>IFERROR(__xludf.DUMMYFUNCTION("""COMPUTED_VALUE"""),"EURO 2020 #TURITA Euro 2020, sponsored by Rocket League! Ok I want a VW football delivering car #TURITA EURO 2020. He Rocket League #TURITA EURO 2020. Getting excited then thought the ball carrying remote control car was gonna start playing Rocket League "&amp;"🚀 ⚽️. EURO 2020 #TURITA.")</f>
        <v>EURO 2020 #TURITA Euro 2020, sponsored by Rocket League! Ok I want a VW football delivering car #TURITA EURO 2020. He Rocket League #TURITA EURO 2020. Getting excited then thought the ball carrying remote control car was gonna start playing Rocket League 🚀 ⚽️. EURO 2020 #TURITA.</v>
      </c>
      <c r="J12" s="39" t="s">
        <v>18</v>
      </c>
      <c r="K12" s="40">
        <f>IFERROR(__xludf.DUMMYFUNCTION("""COMPUTED_VALUE"""),44358.8116087963)</f>
        <v>44358.81161</v>
      </c>
      <c r="L12" s="5" t="str">
        <f>IFERROR(__xludf.DUMMYFUNCTION("""COMPUTED_VALUE"""),"Is soyuncu supposed to be good on the ball. Soyuncu has to stop losing the ball😂. It's good pressing from Italy, but Söyüncü and Demiral not showing what they can do on the ball so far. Soyuncu get out and let my boy Kabak ball.")</f>
        <v>Is soyuncu supposed to be good on the ball. Soyuncu has to stop losing the ball😂. It's good pressing from Italy, but Söyüncü and Demiral not showing what they can do on the ball so far. Soyuncu get out and let my boy Kabak ball.</v>
      </c>
      <c r="M12" s="39" t="s">
        <v>18</v>
      </c>
      <c r="N12" s="40">
        <f>IFERROR(__xludf.DUMMYFUNCTION("""COMPUTED_VALUE"""),44358.8368287037)</f>
        <v>44358.83683</v>
      </c>
      <c r="O12" s="5" t="str">
        <f>IFERROR(__xludf.DUMMYFUNCTION("""COMPUTED_VALUE"""),"Imagine practicing and still being offside from a corner 🙄 #TURITA. Berardi is so talented that he can create offside from corner.. #ITATUR. Since when has it been possible to be offside from a corner? #ITATUR. You can’t be offside from a corner! euro 20"&amp;"20 #ITA.")</f>
        <v>Imagine practicing and still being offside from a corner 🙄 #TURITA. Berardi is so talented that he can create offside from corner.. #ITATUR. Since when has it been possible to be offside from a corner? #ITATUR. You can’t be offside from a corner! euro 2020 #ITA.</v>
      </c>
      <c r="P12" s="39" t="s">
        <v>18</v>
      </c>
      <c r="Q12" s="40">
        <f>IFERROR(__xludf.DUMMYFUNCTION("""COMPUTED_VALUE"""),44358.807754629626)</f>
        <v>44358.80775</v>
      </c>
      <c r="R12" s="5" t="str">
        <f>IFERROR(__xludf.DUMMYFUNCTION("""COMPUTED_VALUE"""),"So close by chiellini swear that was gonna score. Jermaine Jenas. “Chiellini left wide open again”. Yes that probably why he was offside 🤷‍♂️🤷‍♂️🤷‍♂️. Chiellini was offside anyways, but a wonderful save by Çakir. Yilmaz is offside all the bloody time.")</f>
        <v>So close by chiellini swear that was gonna score. Jermaine Jenas. “Chiellini left wide open again”. Yes that probably why he was offside 🤷‍♂️🤷‍♂️🤷‍♂️. Chiellini was offside anyways, but a wonderful save by Çakir. Yilmaz is offside all the bloody time.</v>
      </c>
      <c r="S12" s="39" t="s">
        <v>18</v>
      </c>
      <c r="T12" s="40">
        <f>IFERROR(__xludf.DUMMYFUNCTION("""COMPUTED_VALUE"""),44358.84065972222)</f>
        <v>44358.84066</v>
      </c>
      <c r="U12" s="5" t="str">
        <f>IFERROR(__xludf.DUMMYFUNCTION("""COMPUTED_VALUE"""),"Ffs demiral’s been their best player too. Spurs linked to Demiral… he then scores an og. Been hit with the Spurs curse. We were linked with this Demiral guy in January?Dont Virgil my Van Dijk😭. Weren't we linked with demiral?😭😭. Italia Turchia Gooooooo"&amp;"lll Demiral top.")</f>
        <v>Ffs demiral’s been their best player too. Spurs linked to Demiral… he then scores an og. Been hit with the Spurs curse. We were linked with this Demiral guy in January?Dont Virgil my Van Dijk😭. Weren't we linked with demiral?😭😭. Italia Turchia Gooooooolll Demiral top.</v>
      </c>
      <c r="V12" s="39" t="s">
        <v>17</v>
      </c>
      <c r="Y12" s="5"/>
      <c r="Z12" s="40">
        <f>IFERROR(__xludf.DUMMYFUNCTION("""COMPUTED_VALUE"""),44358.818032407406)</f>
        <v>44358.81803</v>
      </c>
      <c r="AA12" s="5" t="str">
        <f>IFERROR(__xludf.DUMMYFUNCTION("""COMPUTED_VALUE"""),"Donnarumma’s awareness as a keeper is top notch. #TURITA. Insigne with a good attempt, turkish gk with a classic donnarumma save, right into his hands. Has a number one international goalkeeper ever started an international tournament without a club? #Don"&amp;"narumma.")</f>
        <v>Donnarumma’s awareness as a keeper is top notch. #TURITA. Insigne with a good attempt, turkish gk with a classic donnarumma save, right into his hands. Has a number one international goalkeeper ever started an international tournament without a club? #Donnarumma.</v>
      </c>
      <c r="AB12" s="39" t="s">
        <v>18</v>
      </c>
      <c r="AC12" s="40">
        <f>IFERROR(__xludf.DUMMYFUNCTION("""COMPUTED_VALUE"""),44358.82246527778)</f>
        <v>44358.82247</v>
      </c>
      <c r="AD12" s="5" t="str">
        <f>IFERROR(__xludf.DUMMYFUNCTION("""COMPUTED_VALUE"""),"Anti football from them and then a Grealish style dive 😂😂😂 #TURITA. Dirty dive from yilmaz what is he thinking 😂. Burak that was a great dive. Don't do it again. #TUR. So the shit ref not gonna book him for diving then?? #TURITA.")</f>
        <v>Anti football from them and then a Grealish style dive 😂😂😂 #TURITA. Dirty dive from yilmaz what is he thinking 😂. Burak that was a great dive. Don't do it again. #TUR. So the shit ref not gonna book him for diving then?? #TURITA.</v>
      </c>
      <c r="AE12" s="39" t="s">
        <v>18</v>
      </c>
      <c r="AF12" s="40">
        <f>IFERROR(__xludf.DUMMYFUNCTION("""COMPUTED_VALUE"""),44358.834131944444)</f>
        <v>44358.83413</v>
      </c>
      <c r="AG12" s="5" t="str">
        <f>IFERROR(__xludf.DUMMYFUNCTION("""COMPUTED_VALUE"""),"I need Chiesa to come on. Insigne desperately needs a Pen lol😭😭😂😂. Italy need to bring Belotti on. Immobile just doesn't offer enough up front when playing for Italy. No need for 3 CMs here. Take locatelli off put an attacker on. Turkey have no intere"&amp;"st in scoring here.")</f>
        <v>I need Chiesa to come on. Insigne desperately needs a Pen lol😭😭😂😂. Italy need to bring Belotti on. Immobile just doesn't offer enough up front when playing for Italy. No need for 3 CMs here. Take locatelli off put an attacker on. Turkey have no interest in scoring here.</v>
      </c>
      <c r="AH12" s="39" t="s">
        <v>16</v>
      </c>
      <c r="AI12" s="40">
        <f>IFERROR(__xludf.DUMMYFUNCTION("""COMPUTED_VALUE"""),44358.85035879629)</f>
        <v>44358.85036</v>
      </c>
      <c r="AJ12" s="5" t="str">
        <f>IFERROR(__xludf.DUMMYFUNCTION("""COMPUTED_VALUE"""),"Immobile is class. Very very surprised that Immobile isn’t one of the strikers that we are looking at. He grantees you goals no matter what. Immobile. My strikerrrrrrrrre🔥🔥. People say #ITA don’t have a proper striker. Immobile is good enough to help th"&amp;"em go very far.")</f>
        <v>Immobile is class. Very very surprised that Immobile isn’t one of the strikers that we are looking at. He grantees you goals no matter what. Immobile. My strikerrrrrrrrre🔥🔥. People say #ITA don’t have a proper striker. Immobile is good enough to help them go very far.</v>
      </c>
      <c r="AK12" s="39" t="s">
        <v>16</v>
      </c>
      <c r="AN12" s="5"/>
      <c r="AO12" s="40"/>
      <c r="AP12" s="5"/>
      <c r="AQ12" s="5"/>
      <c r="AR12" s="40"/>
      <c r="AS12" s="5"/>
      <c r="AT12" s="5"/>
      <c r="AU12" s="40"/>
      <c r="AV12" s="5"/>
      <c r="AW12" s="5"/>
      <c r="AX12" s="40"/>
      <c r="AY12" s="5"/>
      <c r="AZ12" s="5"/>
      <c r="BA12" s="40"/>
      <c r="BB12" s="5"/>
      <c r="BC12" s="5"/>
      <c r="BD12" s="40"/>
      <c r="BE12" s="5"/>
      <c r="BF12" s="5"/>
      <c r="BG12" s="40"/>
      <c r="BH12" s="5"/>
      <c r="BI12" s="5"/>
      <c r="BJ12" s="40"/>
      <c r="BK12" s="5"/>
      <c r="BL12" s="5"/>
      <c r="BM12" s="40"/>
      <c r="BN12" s="5"/>
      <c r="BO12" s="5"/>
      <c r="BP12" s="40"/>
      <c r="BQ12" s="5"/>
      <c r="BR12" s="5"/>
      <c r="BS12" s="40"/>
      <c r="BT12" s="5"/>
      <c r="BU12" s="5"/>
      <c r="BV12" s="40"/>
      <c r="BW12" s="5"/>
      <c r="BX12" s="5"/>
      <c r="BY12" s="40"/>
      <c r="BZ12" s="5"/>
      <c r="CA12" s="5"/>
      <c r="CB12" s="40"/>
      <c r="CC12" s="5"/>
      <c r="CD12" s="5"/>
      <c r="CE12" s="40"/>
      <c r="CF12" s="5"/>
      <c r="CG12" s="5"/>
      <c r="CH12" s="40"/>
      <c r="CI12" s="5"/>
      <c r="CJ12" s="5"/>
      <c r="CK12" s="40"/>
      <c r="CL12" s="5"/>
      <c r="CM12" s="5"/>
      <c r="CN12" s="40"/>
      <c r="CO12" s="5"/>
      <c r="CP12" s="5"/>
      <c r="CQ12" s="40"/>
      <c r="CR12" s="5"/>
      <c r="CS12" s="5"/>
      <c r="CT12" s="5"/>
      <c r="CU12" s="5"/>
      <c r="CV12" s="5"/>
      <c r="CW12" s="5"/>
      <c r="CX12" s="5"/>
      <c r="CY12" s="5"/>
      <c r="CZ12" s="5"/>
      <c r="DA12" s="5"/>
      <c r="DB12" s="5"/>
      <c r="DC12" s="5"/>
      <c r="DD12" s="5"/>
      <c r="DE12" s="5"/>
      <c r="DF12" s="5"/>
    </row>
    <row r="13">
      <c r="A13" s="19" t="s">
        <v>17</v>
      </c>
      <c r="B13" s="19" t="s">
        <v>39</v>
      </c>
      <c r="C13" s="30">
        <f>IFERROR(__xludf.DUMMYFUNCTION("SUM(FILTER($E6:DF6, (COLUMN($E6:DF6)) / 3 = ROUND((COLUMN($E6:DF6)) / 3), NOT(ISERROR($E6:DF6))))"),28.0)</f>
        <v>28</v>
      </c>
      <c r="D13" s="26">
        <f t="shared" si="63"/>
        <v>0.2745098039</v>
      </c>
      <c r="E13" s="40">
        <f>IFERROR(__xludf.DUMMYFUNCTION("""COMPUTED_VALUE"""),44358.82221064815)</f>
        <v>44358.82221</v>
      </c>
      <c r="F13" s="5" t="str">
        <f>IFERROR(__xludf.DUMMYFUNCTION("""COMPUTED_VALUE"""),"10 #TUR players inside the box at one point. Impossible. Chiellini looks like a dad charging onto the field to take charge in a U-11 kids’ match. Chiellini takes football so serious and personal. I like it. The Italians are a passionate lot. Chiellini is "&amp;"still a player 👏🏻.")</f>
        <v>10 #TUR players inside the box at one point. Impossible. Chiellini looks like a dad charging onto the field to take charge in a U-11 kids’ match. Chiellini takes football so serious and personal. I like it. The Italians are a passionate lot. Chiellini is still a player 👏🏻.</v>
      </c>
      <c r="G13" s="39" t="s">
        <v>18</v>
      </c>
      <c r="H13" s="40">
        <f>IFERROR(__xludf.DUMMYFUNCTION("""COMPUTED_VALUE"""),44358.793587962966)</f>
        <v>44358.79359</v>
      </c>
      <c r="I13" s="5" t="str">
        <f>IFERROR(__xludf.DUMMYFUNCTION("""COMPUTED_VALUE"""),"Mancini in that suit. Call it off - that combo should win the euros.. EURO 2020 #Mancini. So out of touch with international football didn’t even know Mancini was Italy manager. Mancini wins best dressed already for EURO 2020.")</f>
        <v>Mancini in that suit. Call it off - that combo should win the euros.. EURO 2020 #Mancini. So out of touch with international football didn’t even know Mancini was Italy manager. Mancini wins best dressed already for EURO 2020.</v>
      </c>
      <c r="J13" s="39" t="s">
        <v>16</v>
      </c>
      <c r="K13" s="40">
        <f>IFERROR(__xludf.DUMMYFUNCTION("""COMPUTED_VALUE"""),44358.81721064815)</f>
        <v>44358.81721</v>
      </c>
      <c r="L13" s="5" t="str">
        <f>IFERROR(__xludf.DUMMYFUNCTION("""COMPUTED_VALUE"""),"Turkey's strategy should be just pass it to Yilmaz 😭. Berardi gotta stop with these flipping chip passes. Why are Italy trying to pass it in? Give it immobile to thundercunt it top bins 🔥. PASS TO BARELLA. Pass the ball to Barella pls.")</f>
        <v>Turkey's strategy should be just pass it to Yilmaz 😭. Berardi gotta stop with these flipping chip passes. Why are Italy trying to pass it in? Give it immobile to thundercunt it top bins 🔥. PASS TO BARELLA. Pass the ball to Barella pls.</v>
      </c>
      <c r="M13" s="39" t="s">
        <v>18</v>
      </c>
      <c r="N13" s="40">
        <f>IFERROR(__xludf.DUMMYFUNCTION("""COMPUTED_VALUE"""),44358.84152777778)</f>
        <v>44358.84153</v>
      </c>
      <c r="O13" s="5" t="str">
        <f>IFERROR(__xludf.DUMMYFUNCTION("""COMPUTED_VALUE"""),"GOAAAL! 1-0 ITALY! Merih Demiral puts it into his own net. Euro 2020. OOF.. 0-1 to #ITA as Demiral chests a Berardi cross into his own net.. Goal was surely coming.. #TURITA. Berardi should really have shot there on his own.")</f>
        <v>GOAAAL! 1-0 ITALY! Merih Demiral puts it into his own net. Euro 2020. OOF.. 0-1 to #ITA as Demiral chests a Berardi cross into his own net.. Goal was surely coming.. #TURITA. Berardi should really have shot there on his own.</v>
      </c>
      <c r="P13" s="39" t="s">
        <v>17</v>
      </c>
      <c r="Q13" s="40">
        <f>IFERROR(__xludf.DUMMYFUNCTION("""COMPUTED_VALUE"""),44358.81472222222)</f>
        <v>44358.81472</v>
      </c>
      <c r="R13" s="5" t="str">
        <f>IFERROR(__xludf.DUMMYFUNCTION("""COMPUTED_VALUE"""),"Why isnt the Italian striker scoring goals? Because he is Immobile. Immobile is 100% scoring today. Immobile getting closer, goals defo coming soon. So close to a Berardi assist. Immobile just robbed me of a berardi assist. Immobile wasting a Berardi assi"&amp;"st, thanks a lot.")</f>
        <v>Why isnt the Italian striker scoring goals? Because he is Immobile. Immobile is 100% scoring today. Immobile getting closer, goals defo coming soon. So close to a Berardi assist. Immobile just robbed me of a berardi assist. Immobile wasting a Berardi assist, thanks a lot.</v>
      </c>
      <c r="S13" s="39" t="s">
        <v>18</v>
      </c>
      <c r="T13" s="40">
        <f>IFERROR(__xludf.DUMMYFUNCTION("""COMPUTED_VALUE"""),44358.84979166667)</f>
        <v>44358.84979</v>
      </c>
      <c r="U13" s="5" t="str">
        <f>IFERROR(__xludf.DUMMYFUNCTION("""COMPUTED_VALUE"""),"Gol de #ITA ⚽️⚽️. Gol de #Ita 2-0. Gol T-Mobile #TURITA #strefaeuro. GOOOL #ITA Insigne ⚽️. ¡Gooool de #ITA! Goool de Italia 2-0 #ITA. Gooool de Italia 🇮🇹. #TUR 0-2 #ITA. Gol de #ITA. Immobile fede a gol. Gollllllllll immobile. GOOOL. #TUR 0 x 2 #ITA. G"&amp;"ooooollll de #ITA.")</f>
        <v>Gol de #ITA ⚽️⚽️. Gol de #Ita 2-0. Gol T-Mobile #TURITA #strefaeuro. GOOOL #ITA Insigne ⚽️. ¡Gooool de #ITA! Goool de Italia 2-0 #ITA. Gooool de Italia 🇮🇹. #TUR 0-2 #ITA. Gol de #ITA. Immobile fede a gol. Gollllllllll immobile. GOOOL. #TUR 0 x 2 #ITA. Gooooollll de #ITA.</v>
      </c>
      <c r="V13" s="39" t="s">
        <v>17</v>
      </c>
      <c r="Y13" s="5"/>
      <c r="Z13" s="40">
        <f>IFERROR(__xludf.DUMMYFUNCTION("""COMPUTED_VALUE"""),44358.82240740741)</f>
        <v>44358.82241</v>
      </c>
      <c r="AA13" s="5" t="str">
        <f>IFERROR(__xludf.DUMMYFUNCTION("""COMPUTED_VALUE"""),"Jorginho best player on the pitch so far. Turkey defending, Italy passing hoping to find some space, Immobile finally does but it's fairly easy for Çakir. 0-0 (44) #TURITA another good Turkish save. Turkey has such a great goal keeper 😲. #TURITA. Cakir s"&amp;"aves Immobile's quick shot.")</f>
        <v>Jorginho best player on the pitch so far. Turkey defending, Italy passing hoping to find some space, Immobile finally does but it's fairly easy for Çakir. 0-0 (44) #TURITA another good Turkish save. Turkey has such a great goal keeper 😲. #TURITA. Cakir saves Immobile's quick shot.</v>
      </c>
      <c r="AB13" s="39" t="s">
        <v>18</v>
      </c>
      <c r="AC13" s="40">
        <f>IFERROR(__xludf.DUMMYFUNCTION("""COMPUTED_VALUE"""),44358.82372685186)</f>
        <v>44358.82373</v>
      </c>
      <c r="AD13" s="5" t="str">
        <f>IFERROR(__xludf.DUMMYFUNCTION("""COMPUTED_VALUE"""),"That’s twice #ita got fucked out of a penalty kick. euro 2020. Literally how many penalties is this ref gonna let slide, so far 1 clear foul and 1 clear handball! Forca Italia! #ITA. Wtf is this ref 💀💀 celik was playing basketball in the box.")</f>
        <v>That’s twice #ita got fucked out of a penalty kick. euro 2020. Literally how many penalties is this ref gonna let slide, so far 1 clear foul and 1 clear handball! Forca Italia! #ITA. Wtf is this ref 💀💀 celik was playing basketball in the box.</v>
      </c>
      <c r="AE13" s="39" t="s">
        <v>16</v>
      </c>
      <c r="AF13" s="40">
        <f>IFERROR(__xludf.DUMMYFUNCTION("""COMPUTED_VALUE"""),44358.83545138889)</f>
        <v>44358.83545</v>
      </c>
      <c r="AG13" s="5" t="str">
        <f>IFERROR(__xludf.DUMMYFUNCTION("""COMPUTED_VALUE"""),"They subbed off Yazici??? yeah they aren't scoring now lol. Fuck fuck fuck yusuf yazici subbed off fuck go fuck yourself Turkey. 99 pace under is coming on. Good sub.#ITATUR. Why is Di Lorenzo subbed in. WHY DID HE SUB OUT FLORENZI. Cengiz Under good sub "&amp;"from Turkey.")</f>
        <v>They subbed off Yazici??? yeah they aren't scoring now lol. Fuck fuck fuck yusuf yazici subbed off fuck go fuck yourself Turkey. 99 pace under is coming on. Good sub.#ITATUR. Why is Di Lorenzo subbed in. WHY DID HE SUB OUT FLORENZI. Cengiz Under good sub from Turkey.</v>
      </c>
      <c r="AH13" s="39" t="s">
        <v>17</v>
      </c>
      <c r="AI13" s="40">
        <f>IFERROR(__xludf.DUMMYFUNCTION("""COMPUTED_VALUE"""),44358.8569675926)</f>
        <v>44358.85697</v>
      </c>
      <c r="AJ13" s="5" t="str">
        <f>IFERROR(__xludf.DUMMYFUNCTION("""COMPUTED_VALUE"""),"Oh Jorginho have mercy, sheer class. Jorginho looking like a world beater tonight… weird. Jorginho has been class tonight. Jorginho is genuinely one of the best midfielders in world football what a joy to watch man. Jorginho is world class suck my dick if"&amp;" you disagree Idc.")</f>
        <v>Oh Jorginho have mercy, sheer class. Jorginho looking like a world beater tonight… weird. Jorginho has been class tonight. Jorginho is genuinely one of the best midfielders in world football what a joy to watch man. Jorginho is world class suck my dick if you disagree Idc.</v>
      </c>
      <c r="AK13" s="39" t="s">
        <v>16</v>
      </c>
      <c r="AN13" s="5"/>
      <c r="AO13" s="40"/>
      <c r="AP13" s="5"/>
      <c r="AQ13" s="5"/>
      <c r="AR13" s="40"/>
      <c r="AS13" s="5"/>
      <c r="AT13" s="5"/>
      <c r="AU13" s="40"/>
      <c r="AV13" s="5"/>
      <c r="AW13" s="5"/>
      <c r="AX13" s="40"/>
      <c r="AY13" s="5"/>
      <c r="AZ13" s="5"/>
      <c r="BA13" s="40"/>
      <c r="BB13" s="5"/>
      <c r="BC13" s="5"/>
      <c r="BD13" s="40"/>
      <c r="BE13" s="5"/>
      <c r="BF13" s="5"/>
      <c r="BG13" s="40"/>
      <c r="BH13" s="5"/>
      <c r="BI13" s="5"/>
      <c r="BJ13" s="40"/>
      <c r="BK13" s="5"/>
      <c r="BL13" s="5"/>
      <c r="BM13" s="40"/>
      <c r="BN13" s="5"/>
      <c r="BO13" s="5"/>
      <c r="BP13" s="40"/>
      <c r="BQ13" s="5"/>
      <c r="BR13" s="5"/>
      <c r="BS13" s="40"/>
      <c r="BT13" s="5"/>
      <c r="BU13" s="5"/>
      <c r="BV13" s="40"/>
      <c r="BW13" s="5"/>
      <c r="BX13" s="5"/>
      <c r="BY13" s="40"/>
      <c r="BZ13" s="5"/>
      <c r="CA13" s="5"/>
      <c r="CB13" s="40"/>
      <c r="CC13" s="5"/>
      <c r="CD13" s="5"/>
      <c r="CE13" s="40"/>
      <c r="CF13" s="5"/>
      <c r="CG13" s="5"/>
      <c r="CH13" s="40"/>
      <c r="CI13" s="5"/>
      <c r="CJ13" s="5"/>
      <c r="CK13" s="40"/>
      <c r="CL13" s="5"/>
      <c r="CM13" s="5"/>
      <c r="CN13" s="40"/>
      <c r="CO13" s="5"/>
      <c r="CP13" s="5"/>
      <c r="CQ13" s="40"/>
      <c r="CR13" s="5"/>
      <c r="CS13" s="5"/>
      <c r="CT13" s="5"/>
      <c r="CU13" s="5"/>
      <c r="CV13" s="5"/>
      <c r="CW13" s="5"/>
      <c r="CX13" s="5"/>
      <c r="CY13" s="5"/>
      <c r="CZ13" s="5"/>
      <c r="DA13" s="5"/>
      <c r="DB13" s="5"/>
      <c r="DC13" s="5"/>
      <c r="DD13" s="5"/>
      <c r="DE13" s="5"/>
      <c r="DF13" s="5"/>
    </row>
    <row r="14">
      <c r="A14" s="19" t="s">
        <v>18</v>
      </c>
      <c r="B14" s="19" t="s">
        <v>40</v>
      </c>
      <c r="C14" s="30">
        <f>IFERROR(__xludf.DUMMYFUNCTION("SUM(FILTER($E7:DF7, (COLUMN($E7:DF7)) / 3 = ROUND((COLUMN($E7:DF7)) / 3), NOT(ISERROR($E7:DF7))))"),38.0)</f>
        <v>38</v>
      </c>
      <c r="D14" s="26">
        <f t="shared" si="63"/>
        <v>0.3725490196</v>
      </c>
      <c r="E14" s="40">
        <f>IFERROR(__xludf.DUMMYFUNCTION("""COMPUTED_VALUE"""),44358.82354166667)</f>
        <v>44358.82354</v>
      </c>
      <c r="F14" s="5" t="str">
        <f>IFERROR(__xludf.DUMMYFUNCTION("""COMPUTED_VALUE"""),"What a player Spinazzola is. Jorginho what a player. Immobile hadda take this no Jorginho bs. Jorginho is the best player on the pitch. Spinazzola best player on the pitch by far. Jorginho doing the work of 2 players blud he's insane. Jorginho best player"&amp;" on the field yet again.")</f>
        <v>What a player Spinazzola is. Jorginho what a player. Immobile hadda take this no Jorginho bs. Jorginho is the best player on the pitch. Spinazzola best player on the pitch by far. Jorginho doing the work of 2 players blud he's insane. Jorginho best player on the field yet again.</v>
      </c>
      <c r="G14" s="39" t="s">
        <v>16</v>
      </c>
      <c r="H14" s="40">
        <f>IFERROR(__xludf.DUMMYFUNCTION("""COMPUTED_VALUE"""),44358.80037037037)</f>
        <v>44358.80037</v>
      </c>
      <c r="I14" s="5" t="str">
        <f>IFERROR(__xludf.DUMMYFUNCTION("""COMPUTED_VALUE"""),"It was fucking nice of Insigne to let his Uber carry the football to the centre circle😂.")</f>
        <v>It was fucking nice of Insigne to let his Uber carry the football to the centre circle😂.</v>
      </c>
      <c r="J14" s="39" t="s">
        <v>15</v>
      </c>
      <c r="K14" s="40">
        <f>IFERROR(__xludf.DUMMYFUNCTION("""COMPUTED_VALUE"""),44358.82318287037)</f>
        <v>44358.82318</v>
      </c>
      <c r="L14" s="5" t="str">
        <f>IFERROR(__xludf.DUMMYFUNCTION("""COMPUTED_VALUE"""),"What a pass Jorginho. I don’t wanna pick on him but Jorginho needs to be braver with his passes. What a ball by Jorginho! Moer that pass by Jorginho. Thats the most typical Jorginho pass and I love it. Jorginho has been class this first half. His passing "&amp;"technique.")</f>
        <v>What a pass Jorginho. I don’t wanna pick on him but Jorginho needs to be braver with his passes. What a ball by Jorginho! Moer that pass by Jorginho. Thats the most typical Jorginho pass and I love it. Jorginho has been class this first half. His passing technique.</v>
      </c>
      <c r="M14" s="39" t="s">
        <v>18</v>
      </c>
      <c r="N14" s="40">
        <f>IFERROR(__xludf.DUMMYFUNCTION("""COMPUTED_VALUE"""),44358.84305555555)</f>
        <v>44358.84306</v>
      </c>
      <c r="O14" s="5" t="str">
        <f>IFERROR(__xludf.DUMMYFUNCTION("""COMPUTED_VALUE"""),"Demiral finds himself in a difficult situation as Berradi's shot is deflected off him into Goal. ITALY takes the lead ! #ITA #TUR. Insigne cuts in and tries to curl one, this time it takes a deflection over. 0-1 (57) Berardi's cross deflects in—Italy stri"&amp;"ke first at EURO 2020.")</f>
        <v>Demiral finds himself in a difficult situation as Berradi's shot is deflected off him into Goal. ITALY takes the lead ! #ITA #TUR. Insigne cuts in and tries to curl one, this time it takes a deflection over. 0-1 (57) Berardi's cross deflects in—Italy strike first at EURO 2020.</v>
      </c>
      <c r="P14" s="39" t="s">
        <v>18</v>
      </c>
      <c r="Q14" s="40">
        <f>IFERROR(__xludf.DUMMYFUNCTION("""COMPUTED_VALUE"""),44358.81799768518)</f>
        <v>44358.818</v>
      </c>
      <c r="R14" s="5" t="str">
        <f>IFERROR(__xludf.DUMMYFUNCTION("""COMPUTED_VALUE"""),"Insigne just score please I beg. C'mon insigne you should be scoring that. Idk man gut says Insigne is scoring. Insigne has come short of scoring the first goal. Insigne soon get the goal man.")</f>
        <v>Insigne just score please I beg. C'mon insigne you should be scoring that. Idk man gut says Insigne is scoring. Insigne has come short of scoring the first goal. Insigne soon get the goal man.</v>
      </c>
      <c r="S14" s="39" t="s">
        <v>16</v>
      </c>
      <c r="T14" s="40">
        <f>IFERROR(__xludf.DUMMYFUNCTION("""COMPUTED_VALUE"""),44358.85880787037)</f>
        <v>44358.85881</v>
      </c>
      <c r="U14" s="5" t="str">
        <f>IFERROR(__xludf.DUMMYFUNCTION("""COMPUTED_VALUE"""),"Um gol ""alla Insigne"". Merecia. Goooooooooooooooooooooooooooooooooooooooooooooool de #Insigne. Gol de #Ita 3-0. Goooooool chaparrito Insigne. Gol de Italia Insigne 0-3 Eurocopa 2020. GOOOOOOOOOOOOOOL!!!!!!!!!!!!!!! 🇮🇹. Italshow. Ita Tur. Goooool de It"&amp;"alia 🇮🇹. #TUR 0-3 #ITA.")</f>
        <v>Um gol "alla Insigne". Merecia. Goooooooooooooooooooooooooooooooooooooooooooooool de #Insigne. Gol de #Ita 3-0. Goooooool chaparrito Insigne. Gol de Italia Insigne 0-3 Eurocopa 2020. GOOOOOOOOOOOOOOL!!!!!!!!!!!!!!! 🇮🇹. Italshow. Ita Tur. Goooool de Italia 🇮🇹. #TUR 0-3 #ITA.</v>
      </c>
      <c r="V14" s="39" t="s">
        <v>17</v>
      </c>
      <c r="Y14" s="5"/>
      <c r="Z14" s="40">
        <f>IFERROR(__xludf.DUMMYFUNCTION("""COMPUTED_VALUE"""),44358.82450231482)</f>
        <v>44358.8245</v>
      </c>
      <c r="AA14" s="5" t="str">
        <f>IFERROR(__xludf.DUMMYFUNCTION("""COMPUTED_VALUE"""),"Jorginho’s broken up play like 6 times in transition this is bread and butter for him. Best player on the pitch. Jorginho is italy's best. locatelli and berardi are the worst. j5 wud finally get the respect he deserves. Jorginho been the best player on th"&amp;"e pitch.")</f>
        <v>Jorginho’s broken up play like 6 times in transition this is bread and butter for him. Best player on the pitch. Jorginho is italy's best. locatelli and berardi are the worst. j5 wud finally get the respect he deserves. Jorginho been the best player on the pitch.</v>
      </c>
      <c r="AB14" s="39" t="s">
        <v>18</v>
      </c>
      <c r="AE14" s="5"/>
      <c r="AF14" s="40">
        <f>IFERROR(__xludf.DUMMYFUNCTION("""COMPUTED_VALUE"""),44358.840740740736)</f>
        <v>44358.84074</v>
      </c>
      <c r="AG14" s="5" t="str">
        <f>IFERROR(__xludf.DUMMYFUNCTION("""COMPUTED_VALUE"""),"First goal is an own goal. #ITA lead. Italy take the lead via an own goal. 1-0 #ITA #TUR. GOAAAAAAL! WE HAVE OUR FIRST OF EURO 2020. Italy lead through an Own Goal from Demiral! Own Goal leading the golden boot #TURITA EURO 2020. I needed that goal from I"&amp;"mmobile.")</f>
        <v>First goal is an own goal. #ITA lead. Italy take the lead via an own goal. 1-0 #ITA #TUR. GOAAAAAAL! WE HAVE OUR FIRST OF EURO 2020. Italy lead through an Own Goal from Demiral! Own Goal leading the golden boot #TURITA EURO 2020. I needed that goal from Immobile.</v>
      </c>
      <c r="AH14" s="39" t="s">
        <v>17</v>
      </c>
      <c r="AI14" s="40">
        <f>IFERROR(__xludf.DUMMYFUNCTION("""COMPUTED_VALUE"""),44358.86864583333)</f>
        <v>44358.86865</v>
      </c>
      <c r="AJ14" s="5" t="str">
        <f>IFERROR(__xludf.DUMMYFUNCTION("""COMPUTED_VALUE"""),"WHAT A TACKLE BY CHIELLINI BEST DEFENDER IN THE WORLD. Chiellini is class. Chiellini is still going crazy, pure class. Chiellini is absolutely world class. What a player. Shows age does not matter. Chiellini class. Proper centre half even though he's anci"&amp;"ent.")</f>
        <v>WHAT A TACKLE BY CHIELLINI BEST DEFENDER IN THE WORLD. Chiellini is class. Chiellini is still going crazy, pure class. Chiellini is absolutely world class. What a player. Shows age does not matter. Chiellini class. Proper centre half even though he's ancient.</v>
      </c>
      <c r="AK14" s="39" t="s">
        <v>16</v>
      </c>
      <c r="AN14" s="5"/>
      <c r="AO14" s="40"/>
      <c r="AP14" s="5"/>
      <c r="AQ14" s="5"/>
      <c r="AR14" s="40"/>
      <c r="AS14" s="5"/>
      <c r="AT14" s="5"/>
      <c r="AU14" s="40"/>
      <c r="AV14" s="5"/>
      <c r="AW14" s="5"/>
      <c r="AX14" s="40"/>
      <c r="AY14" s="5"/>
      <c r="AZ14" s="5"/>
      <c r="BA14" s="40"/>
      <c r="BB14" s="5"/>
      <c r="BC14" s="5"/>
      <c r="BD14" s="40"/>
      <c r="BE14" s="5"/>
      <c r="BF14" s="5"/>
      <c r="BG14" s="40"/>
      <c r="BH14" s="5"/>
      <c r="BI14" s="5"/>
      <c r="BJ14" s="40"/>
      <c r="BK14" s="5"/>
      <c r="BL14" s="5"/>
      <c r="BM14" s="40"/>
      <c r="BN14" s="5"/>
      <c r="BO14" s="5"/>
      <c r="BP14" s="40"/>
      <c r="BQ14" s="5"/>
      <c r="BR14" s="5"/>
      <c r="BS14" s="40"/>
      <c r="BT14" s="5"/>
      <c r="BU14" s="5"/>
      <c r="BV14" s="40"/>
      <c r="BW14" s="5"/>
      <c r="BX14" s="5"/>
      <c r="BY14" s="40"/>
      <c r="BZ14" s="5"/>
      <c r="CA14" s="5"/>
      <c r="CB14" s="40"/>
      <c r="CC14" s="5"/>
      <c r="CD14" s="5"/>
      <c r="CE14" s="40"/>
      <c r="CF14" s="5"/>
      <c r="CG14" s="5"/>
      <c r="CH14" s="40"/>
      <c r="CI14" s="5"/>
      <c r="CJ14" s="5"/>
      <c r="CK14" s="40"/>
      <c r="CL14" s="5"/>
      <c r="CM14" s="5"/>
      <c r="CN14" s="40"/>
      <c r="CO14" s="5"/>
      <c r="CP14" s="5"/>
      <c r="CQ14" s="40"/>
      <c r="CR14" s="5"/>
      <c r="CS14" s="5"/>
      <c r="CT14" s="5"/>
      <c r="CU14" s="5"/>
      <c r="CV14" s="5"/>
      <c r="CW14" s="5"/>
      <c r="CX14" s="5"/>
      <c r="CY14" s="5"/>
      <c r="CZ14" s="5"/>
      <c r="DA14" s="5"/>
      <c r="DB14" s="5"/>
      <c r="DC14" s="5"/>
      <c r="DD14" s="5"/>
      <c r="DE14" s="5"/>
      <c r="DF14" s="5"/>
    </row>
    <row r="15">
      <c r="A15" s="19"/>
      <c r="B15" s="14" t="s">
        <v>41</v>
      </c>
      <c r="C15" s="31">
        <f t="shared" ref="C15:D15" si="64">SUM(C10:C14)</f>
        <v>102</v>
      </c>
      <c r="D15" s="26">
        <f t="shared" si="64"/>
        <v>1</v>
      </c>
      <c r="E15" s="40">
        <f>IFERROR(__xludf.DUMMYFUNCTION("""COMPUTED_VALUE"""),44358.82508101852)</f>
        <v>44358.82508</v>
      </c>
      <c r="F15" s="5" t="str">
        <f>IFERROR(__xludf.DUMMYFUNCTION("""COMPUTED_VALUE"""),"#ITA 👏 TAKE 👏 YOUR 👏BLOODY 👏 CHANCES 👏. Take Manuel off and bring on Pessina Italy ⭐️⭐️⭐️⭐️. If I was #ITA I would simply take the lead of this game already. Mourinho go take Spinazzola worry waaaaa. Take off Donnarumma and replace him with Belotti. "&amp;"Italy don't need a GK.")</f>
        <v>#ITA 👏 TAKE 👏 YOUR 👏BLOODY 👏 CHANCES 👏. Take Manuel off and bring on Pessina Italy ⭐️⭐️⭐️⭐️. If I was #ITA I would simply take the lead of this game already. Mourinho go take Spinazzola worry waaaaa. Take off Donnarumma and replace him with Belotti. Italy don't need a GK.</v>
      </c>
      <c r="G15" s="39" t="s">
        <v>16</v>
      </c>
      <c r="H15" s="40">
        <f>IFERROR(__xludf.DUMMYFUNCTION("""COMPUTED_VALUE"""),44358.82278935185)</f>
        <v>44358.82279</v>
      </c>
      <c r="I15" s="5" t="str">
        <f>IFERROR(__xludf.DUMMYFUNCTION("""COMPUTED_VALUE"""),"It feels like Chiellini has played most of the half in the Turkish final 3rd. Spinazzola isn't a real footballer man, he's one of them part-time plumbers from San Marino. Ok Jon Champion is COMEDY right now EURO 2020 #ITATUR. I could watch Jorginho play f"&amp;"ootball all day 🔥🔥.")</f>
        <v>It feels like Chiellini has played most of the half in the Turkish final 3rd. Spinazzola isn't a real footballer man, he's one of them part-time plumbers from San Marino. Ok Jon Champion is COMEDY right now EURO 2020 #ITATUR. I could watch Jorginho play football all day 🔥🔥.</v>
      </c>
      <c r="J15" s="39" t="s">
        <v>18</v>
      </c>
      <c r="K15" s="40">
        <f>IFERROR(__xludf.DUMMYFUNCTION("""COMPUTED_VALUE"""),44358.84081018518)</f>
        <v>44358.84081</v>
      </c>
      <c r="L15" s="5" t="str">
        <f>IFERROR(__xludf.DUMMYFUNCTION("""COMPUTED_VALUE"""),"What a ball from locatelli to Barella👏👏👏. That goal was all locatelli btw. Incredible splitting pass. What a pass Locatelli to start the move 👏🏻 EUROS 2020. The first goal of UEFA EURO 2020 goes the way of #ITA as Demiral puts Berardi's cross through"&amp;" his own net! Euro 2020.")</f>
        <v>What a ball from locatelli to Barella👏👏👏. That goal was all locatelli btw. Incredible splitting pass. What a pass Locatelli to start the move 👏🏻 EUROS 2020. The first goal of UEFA EURO 2020 goes the way of #ITA as Demiral puts Berardi's cross through his own net! Euro 2020.</v>
      </c>
      <c r="M15" s="39" t="s">
        <v>17</v>
      </c>
      <c r="N15" s="40">
        <f>IFERROR(__xludf.DUMMYFUNCTION("""COMPUTED_VALUE"""),44358.844293981485)</f>
        <v>44358.84429</v>
      </c>
      <c r="O15" s="5" t="str">
        <f>IFERROR(__xludf.DUMMYFUNCTION("""COMPUTED_VALUE"""),"Insigne shot. Absolute scenes here when turkey equalise with their first shot #TURITA euro 2020. Locatelli just had a shot…. surely that just shows turkey are not dark horses. Chiellini shot. 14 shots later, #ITA finally open the scoring in EURO 2020..")</f>
        <v>Insigne shot. Absolute scenes here when turkey equalise with their first shot #TURITA euro 2020. Locatelli just had a shot…. surely that just shows turkey are not dark horses. Chiellini shot. 14 shots later, #ITA finally open the scoring in EURO 2020..</v>
      </c>
      <c r="P15" s="39" t="s">
        <v>18</v>
      </c>
      <c r="Q15" s="40">
        <f>IFERROR(__xludf.DUMMYFUNCTION("""COMPUTED_VALUE"""),44358.82361111111)</f>
        <v>44358.82361</v>
      </c>
      <c r="R15" s="5" t="str">
        <f>IFERROR(__xludf.DUMMYFUNCTION("""COMPUTED_VALUE"""),"Jorginho getting robbed of assists even in the national team. Good half lads! You can’t lose if you don’t concede 😅😆 #TUR. Slow start but great end to the first half. Hopefully some goals in the 2nd half 🙏🙏 #TURITA. A goal from Insigne or Immobile sec"&amp;"ond half. EURO 2020.")</f>
        <v>Jorginho getting robbed of assists even in the national team. Good half lads! You can’t lose if you don’t concede 😅😆 #TUR. Slow start but great end to the first half. Hopefully some goals in the 2nd half 🙏🙏 #TURITA. A goal from Insigne or Immobile second half. EURO 2020.</v>
      </c>
      <c r="S15" s="39" t="s">
        <v>17</v>
      </c>
      <c r="V15" s="5"/>
      <c r="Y15" s="5"/>
      <c r="Z15" s="40">
        <f>IFERROR(__xludf.DUMMYFUNCTION("""COMPUTED_VALUE"""),44358.82628472222)</f>
        <v>44358.82628</v>
      </c>
      <c r="AA15" s="5" t="str">
        <f>IFERROR(__xludf.DUMMYFUNCTION("""COMPUTED_VALUE"""),"All the pre-match talk about Locatelli and Barella in Italy’s midfield just for Jorginho to be the best player on the park.")</f>
        <v>All the pre-match talk about Locatelli and Barella in Italy’s midfield just for Jorginho to be the best player on the park.</v>
      </c>
      <c r="AB15" s="39" t="s">
        <v>16</v>
      </c>
      <c r="AE15" s="5"/>
      <c r="AF15" s="40">
        <f>IFERROR(__xludf.DUMMYFUNCTION("""COMPUTED_VALUE"""),44358.84202546296)</f>
        <v>44358.84203</v>
      </c>
      <c r="AG15" s="5" t="str">
        <f>IFERROR(__xludf.DUMMYFUNCTION("""COMPUTED_VALUE"""),"Finally the deadline is broken through an OG. #ITA take a well deserved lead. Euro 2020. Goal!!!! 🇮🇹 1 - 0 🇹🇷. A Merih Demiral own goal gives Italy a deserved lead. EURO 2020 #TURITA. Italy deserve that, Turkey need to come out and start playing now e"&amp;"uro 2020 #ITATUR.")</f>
        <v>Finally the deadline is broken through an OG. #ITA take a well deserved lead. Euro 2020. Goal!!!! 🇮🇹 1 - 0 🇹🇷. A Merih Demiral own goal gives Italy a deserved lead. EURO 2020 #TURITA. Italy deserve that, Turkey need to come out and start playing now euro 2020 #ITATUR.</v>
      </c>
      <c r="AH15" s="39" t="s">
        <v>14</v>
      </c>
      <c r="AK15" s="5"/>
      <c r="AN15" s="5"/>
      <c r="AO15" s="40"/>
      <c r="AP15" s="5"/>
      <c r="AQ15" s="5"/>
      <c r="AR15" s="40"/>
      <c r="AS15" s="5"/>
      <c r="AT15" s="5"/>
      <c r="AU15" s="40"/>
      <c r="AV15" s="5"/>
      <c r="AW15" s="5"/>
      <c r="AX15" s="40"/>
      <c r="AY15" s="5"/>
      <c r="AZ15" s="5"/>
      <c r="BA15" s="40"/>
      <c r="BB15" s="5"/>
      <c r="BC15" s="5"/>
      <c r="BD15" s="40"/>
      <c r="BE15" s="5"/>
      <c r="BF15" s="5"/>
      <c r="BG15" s="40"/>
      <c r="BH15" s="5"/>
      <c r="BI15" s="5"/>
      <c r="BJ15" s="40"/>
      <c r="BK15" s="5"/>
      <c r="BL15" s="5"/>
      <c r="BM15" s="40"/>
      <c r="BN15" s="5"/>
      <c r="BO15" s="5"/>
      <c r="BP15" s="40"/>
      <c r="BQ15" s="5"/>
      <c r="BR15" s="5"/>
      <c r="BS15" s="40"/>
      <c r="BT15" s="5"/>
      <c r="BU15" s="5"/>
      <c r="BV15" s="40"/>
      <c r="BW15" s="5"/>
      <c r="BX15" s="5"/>
      <c r="BY15" s="40"/>
      <c r="BZ15" s="5"/>
      <c r="CA15" s="5"/>
      <c r="CB15" s="40"/>
      <c r="CC15" s="5"/>
      <c r="CD15" s="5"/>
      <c r="CE15" s="40"/>
      <c r="CF15" s="5"/>
      <c r="CG15" s="5"/>
      <c r="CH15" s="40"/>
      <c r="CI15" s="5"/>
      <c r="CJ15" s="5"/>
      <c r="CK15" s="40"/>
      <c r="CL15" s="5"/>
      <c r="CM15" s="5"/>
      <c r="CN15" s="40"/>
      <c r="CO15" s="5"/>
      <c r="CP15" s="5"/>
      <c r="CQ15" s="40"/>
      <c r="CR15" s="5"/>
      <c r="CS15" s="5"/>
      <c r="CT15" s="5"/>
      <c r="CU15" s="5"/>
      <c r="CV15" s="5"/>
      <c r="CW15" s="5"/>
      <c r="CX15" s="5"/>
      <c r="CY15" s="5"/>
      <c r="CZ15" s="5"/>
      <c r="DA15" s="5"/>
      <c r="DB15" s="5"/>
      <c r="DC15" s="5"/>
      <c r="DD15" s="5"/>
      <c r="DE15" s="5"/>
      <c r="DF15" s="5"/>
    </row>
    <row r="16">
      <c r="A16" s="19"/>
      <c r="B16" s="32" t="s">
        <v>42</v>
      </c>
      <c r="D16" s="26">
        <f>IFERROR(__xludf.DUMMYFUNCTION("AVERAGE(FILTER($E8:DF8, (COLUMN($E8:DF8) - 1) / 3 = ROUND((COLUMN($E8:DF8) - 1) / 3), NOT(ISERROR($E8:DF8))))"),0.7043485517750225)</f>
        <v>0.7043485518</v>
      </c>
      <c r="E16" s="40">
        <f>IFERROR(__xludf.DUMMYFUNCTION("""COMPUTED_VALUE"""),44358.8265625)</f>
        <v>44358.82656</v>
      </c>
      <c r="F16" s="5" t="str">
        <f>IFERROR(__xludf.DUMMYFUNCTION("""COMPUTED_VALUE"""),"Cesc Fabregas says Jorginho is a good player and part of the reason why he left Chelsea but he’s unsure how he’ll do without N’Golo Kante 👀. All the pre-match talk about Locatelli and Barella in Italy’s midfield just for Jorginho to be the best player on"&amp;" the park.")</f>
        <v>Cesc Fabregas says Jorginho is a good player and part of the reason why he left Chelsea but he’s unsure how he’ll do without N’Golo Kante 👀. All the pre-match talk about Locatelli and Barella in Italy’s midfield just for Jorginho to be the best player on the park.</v>
      </c>
      <c r="G16" s="39" t="s">
        <v>16</v>
      </c>
      <c r="H16" s="40">
        <f>IFERROR(__xludf.DUMMYFUNCTION("""COMPUTED_VALUE"""),44358.82388888889)</f>
        <v>44358.82389</v>
      </c>
      <c r="I16" s="5" t="str">
        <f>IFERROR(__xludf.DUMMYFUNCTION("""COMPUTED_VALUE"""),"Italy is playing such an insane football right now #TURITA. #tur will be delighted. Decent half.. Got a #tur pen 1-0 win all over it 😂😂. Penalty check completed in about 2 seconds. Premier League, are you watching? That would've been given in the Premie"&amp;"r League. #ita #ITATUR.")</f>
        <v>Italy is playing such an insane football right now #TURITA. #tur will be delighted. Decent half.. Got a #tur pen 1-0 win all over it 😂😂. Penalty check completed in about 2 seconds. Premier League, are you watching? That would've been given in the Premier League. #ita #ITATUR.</v>
      </c>
      <c r="J16" s="39" t="s">
        <v>18</v>
      </c>
      <c r="K16" s="40">
        <f>IFERROR(__xludf.DUMMYFUNCTION("""COMPUTED_VALUE"""),44358.84284722222)</f>
        <v>44358.84285</v>
      </c>
      <c r="L16" s="5" t="str">
        <f>IFERROR(__xludf.DUMMYFUNCTION("""COMPUTED_VALUE"""),"Goal: Italy 1, Turkey 0. Demiral turned Locotelli’s cross into his own net. euro 2020. Corridor of uncertainty from Berardi, what a cross. Tagliatelle with a great cross for Rigatoni #ITATUR. Berardi's cross deflects in—Italy strike first at EURO 2020.")</f>
        <v>Goal: Italy 1, Turkey 0. Demiral turned Locotelli’s cross into his own net. euro 2020. Corridor of uncertainty from Berardi, what a cross. Tagliatelle with a great cross for Rigatoni #ITATUR. Berardi's cross deflects in—Italy strike first at EURO 2020.</v>
      </c>
      <c r="M16" s="39" t="s">
        <v>18</v>
      </c>
      <c r="N16" s="40">
        <f>IFERROR(__xludf.DUMMYFUNCTION("""COMPUTED_VALUE"""),44358.85939814815)</f>
        <v>44358.8594</v>
      </c>
      <c r="O16" s="5" t="str">
        <f>IFERROR(__xludf.DUMMYFUNCTION("""COMPUTED_VALUE"""),"Lovely audible net-ripple with that Insigne goal. euro 2020. With that finesse into the corner Insigne has just become the archetype Pro Clubs Winger. Insigne with an excellent finesse finish into the right corner of the net. 3-0 Italy. Insigne with the f"&amp;"inesse shot 🔥 0-3 Italy.")</f>
        <v>Lovely audible net-ripple with that Insigne goal. euro 2020. With that finesse into the corner Insigne has just become the archetype Pro Clubs Winger. Insigne with an excellent finesse finish into the right corner of the net. 3-0 Italy. Insigne with the finesse shot 🔥 0-3 Italy.</v>
      </c>
      <c r="P16" s="39" t="s">
        <v>17</v>
      </c>
      <c r="Q16" s="40">
        <f>IFERROR(__xludf.DUMMYFUNCTION("""COMPUTED_VALUE"""),44358.836851851855)</f>
        <v>44358.83685</v>
      </c>
      <c r="R16" s="5" t="str">
        <f>IFERROR(__xludf.DUMMYFUNCTION("""COMPUTED_VALUE"""),"Berardi absolute clown. How can you be offside there 😂. The ball didn’t go forward? So it’s not offside? #ITA euro 2020. Since when can you be offside from a corner! #ITATUR. The most stupid offside in football history #TURITA EUROS 2020.")</f>
        <v>Berardi absolute clown. How can you be offside there 😂. The ball didn’t go forward? So it’s not offside? #ITA euro 2020. Since when can you be offside from a corner! #ITATUR. The most stupid offside in football history #TURITA EUROS 2020.</v>
      </c>
      <c r="S16" s="39" t="s">
        <v>18</v>
      </c>
      <c r="V16" s="5"/>
      <c r="Y16" s="5"/>
      <c r="Z16" s="40">
        <f>IFERROR(__xludf.DUMMYFUNCTION("""COMPUTED_VALUE"""),44358.84112268519)</f>
        <v>44358.84112</v>
      </c>
      <c r="AA16" s="5" t="str">
        <f>IFERROR(__xludf.DUMMYFUNCTION("""COMPUTED_VALUE"""),"Lol what was that defender doing see how Berardi just went past him. Best thing Demiral has done for me 💪🏽. Juventus defender Demiral scores for Italy! But in Turkish colours | 0-1 #ITA. Demiral been clarse all game by why is he trying to defend that wi"&amp;"th his chest.")</f>
        <v>Lol what was that defender doing see how Berardi just went past him. Best thing Demiral has done for me 💪🏽. Juventus defender Demiral scores for Italy! But in Turkish colours | 0-1 #ITA. Demiral been clarse all game by why is he trying to defend that with his chest.</v>
      </c>
      <c r="AB16" s="39" t="s">
        <v>17</v>
      </c>
      <c r="AE16" s="5"/>
      <c r="AF16" s="40">
        <f>IFERROR(__xludf.DUMMYFUNCTION("""COMPUTED_VALUE"""),44358.84376157407)</f>
        <v>44358.84376</v>
      </c>
      <c r="AG16" s="5" t="str">
        <f>IFERROR(__xludf.DUMMYFUNCTION("""COMPUTED_VALUE"""),"Insigne i needed you to score that. Sub Insigne 🤷 EURO 2020. Come on Insigne I need points mf. Insigne's instinctive need of a cut-back is really bad. Need chiesa in for insigne #soon. Berardi i beg my team needs you. Insigne closeeee to a second goal fo"&amp;"r #ITA.")</f>
        <v>Insigne i needed you to score that. Sub Insigne 🤷 EURO 2020. Come on Insigne I need points mf. Insigne's instinctive need of a cut-back is really bad. Need chiesa in for insigne #soon. Berardi i beg my team needs you. Insigne closeeee to a second goal for #ITA.</v>
      </c>
      <c r="AH16" s="39" t="s">
        <v>16</v>
      </c>
      <c r="AK16" s="5"/>
      <c r="AN16" s="5"/>
      <c r="AO16" s="40"/>
      <c r="AP16" s="5"/>
      <c r="AQ16" s="5"/>
      <c r="AR16" s="40"/>
      <c r="AS16" s="5"/>
      <c r="AT16" s="5"/>
      <c r="AU16" s="40"/>
      <c r="AV16" s="5"/>
      <c r="AW16" s="5"/>
      <c r="AX16" s="40"/>
      <c r="AY16" s="5"/>
      <c r="AZ16" s="5"/>
      <c r="BA16" s="40"/>
      <c r="BB16" s="5"/>
      <c r="BC16" s="5"/>
      <c r="BD16" s="40"/>
      <c r="BE16" s="5"/>
      <c r="BF16" s="5"/>
      <c r="BG16" s="40"/>
      <c r="BH16" s="5"/>
      <c r="BI16" s="5"/>
      <c r="BJ16" s="40"/>
      <c r="BK16" s="5"/>
      <c r="BL16" s="5"/>
      <c r="BM16" s="40"/>
      <c r="BN16" s="5"/>
      <c r="BO16" s="5"/>
      <c r="BP16" s="40"/>
      <c r="BQ16" s="5"/>
      <c r="BR16" s="5"/>
      <c r="BS16" s="40"/>
      <c r="BT16" s="5"/>
      <c r="BU16" s="5"/>
      <c r="BV16" s="40"/>
      <c r="BW16" s="5"/>
      <c r="BX16" s="5"/>
      <c r="BY16" s="40"/>
      <c r="BZ16" s="5"/>
      <c r="CA16" s="5"/>
      <c r="CB16" s="40"/>
      <c r="CC16" s="5"/>
      <c r="CD16" s="5"/>
      <c r="CE16" s="40"/>
      <c r="CF16" s="5"/>
      <c r="CG16" s="5"/>
      <c r="CH16" s="40"/>
      <c r="CI16" s="5"/>
      <c r="CJ16" s="5"/>
      <c r="CK16" s="40"/>
      <c r="CL16" s="5"/>
      <c r="CM16" s="5"/>
      <c r="CN16" s="40"/>
      <c r="CO16" s="5"/>
      <c r="CP16" s="5"/>
      <c r="CQ16" s="40"/>
      <c r="CR16" s="5"/>
      <c r="CS16" s="5"/>
      <c r="CT16" s="5"/>
      <c r="CU16" s="5"/>
      <c r="CV16" s="5"/>
      <c r="CW16" s="5"/>
      <c r="CX16" s="5"/>
      <c r="CY16" s="5"/>
      <c r="CZ16" s="5"/>
      <c r="DA16" s="5"/>
      <c r="DB16" s="5"/>
      <c r="DC16" s="5"/>
      <c r="DD16" s="5"/>
      <c r="DE16" s="5"/>
      <c r="DF16" s="5"/>
    </row>
    <row r="17">
      <c r="B17" s="1" t="s">
        <v>43</v>
      </c>
      <c r="D17" s="6">
        <f>SUM(D13:D14)</f>
        <v>0.6470588235</v>
      </c>
      <c r="E17" s="40">
        <f>IFERROR(__xludf.DUMMYFUNCTION("""COMPUTED_VALUE"""),44358.84069444444)</f>
        <v>44358.84069</v>
      </c>
      <c r="F17" s="5" t="str">
        <f>IFERROR(__xludf.DUMMYFUNCTION("""COMPUTED_VALUE"""),"Demiral what an awful player. Ffs demiral’s been their best player too. Unlucky Demiral, really like him as a player. GOALLLL ITALY TAKE THE LEAD ITS A DEMIRAL OWN GOAL.")</f>
        <v>Demiral what an awful player. Ffs demiral’s been their best player too. Unlucky Demiral, really like him as a player. GOALLLL ITALY TAKE THE LEAD ITS A DEMIRAL OWN GOAL.</v>
      </c>
      <c r="G17" s="39" t="s">
        <v>17</v>
      </c>
      <c r="H17" s="40">
        <f>IFERROR(__xludf.DUMMYFUNCTION("""COMPUTED_VALUE"""),44358.82625)</f>
        <v>44358.82625</v>
      </c>
      <c r="I17" s="5" t="str">
        <f>IFERROR(__xludf.DUMMYFUNCTION("""COMPUTED_VALUE"""),"Italy need to get Chiesa on down the right instead of Berardi and they'll win. Italy dominating the ball but they just can’t find that final pass #ITA #TUR. How does a guy named Spinazzola end up becoming a footballer instead of a DJ?😂. EURO 2020. L’#ITA"&amp;" Total Football. Euro 2020.")</f>
        <v>Italy need to get Chiesa on down the right instead of Berardi and they'll win. Italy dominating the ball but they just can’t find that final pass #ITA #TUR. How does a guy named Spinazzola end up becoming a footballer instead of a DJ?😂. EURO 2020. L’#ITA Total Football. Euro 2020.</v>
      </c>
      <c r="J17" s="39" t="s">
        <v>18</v>
      </c>
      <c r="K17" s="40">
        <f>IFERROR(__xludf.DUMMYFUNCTION("""COMPUTED_VALUE"""),44358.8455324074)</f>
        <v>44358.84553</v>
      </c>
      <c r="L17" s="5" t="str">
        <f>IFERROR(__xludf.DUMMYFUNCTION("""COMPUTED_VALUE"""),"That line breaking pass from Locatelli. ITALY DO YOU WANT TO PASS TO FUCKING IMMOBILE??? Berardi should have passed there. Locatelli’s pass to barella. led to the goal. Why didn’t he pass to Locatelli i need fantasy points 😭. Berardi selfish easy pass to"&amp;" locatelli that enuh.")</f>
        <v>That line breaking pass from Locatelli. ITALY DO YOU WANT TO PASS TO FUCKING IMMOBILE??? Berardi should have passed there. Locatelli’s pass to barella. led to the goal. Why didn’t he pass to Locatelli i need fantasy points 😭. Berardi selfish easy pass to locatelli that enuh.</v>
      </c>
      <c r="M17" s="39" t="s">
        <v>18</v>
      </c>
      <c r="N17" s="40">
        <f>IFERROR(__xludf.DUMMYFUNCTION("""COMPUTED_VALUE"""),44358.863483796296)</f>
        <v>44358.86348</v>
      </c>
      <c r="O17" s="5" t="str">
        <f>IFERROR(__xludf.DUMMYFUNCTION("""COMPUTED_VALUE"""),"Lorenzo Insigne curling the ball into the far corner first time. Clean 😎.")</f>
        <v>Lorenzo Insigne curling the ball into the far corner first time. Clean 😎.</v>
      </c>
      <c r="P17" s="39" t="s">
        <v>14</v>
      </c>
      <c r="Q17" s="40">
        <f>IFERROR(__xludf.DUMMYFUNCTION("""COMPUTED_VALUE"""),44358.84040509259)</f>
        <v>44358.84041</v>
      </c>
      <c r="R17" s="5" t="str">
        <f>IFERROR(__xludf.DUMMYFUNCTION("""COMPUTED_VALUE"""),"Kabak should have started ahead of this guy that scored the own goal. It’s an own goal but you see Immobile’s positioning. He could get quite a few goals this tournament. Goooooooooooal #Ita breaks through with a Turkish own goal‼️. Euro 2020.")</f>
        <v>Kabak should have started ahead of this guy that scored the own goal. It’s an own goal but you see Immobile’s positioning. He could get quite a few goals this tournament. Goooooooooooal #Ita breaks through with a Turkish own goal‼️. Euro 2020.</v>
      </c>
      <c r="S17" s="39" t="s">
        <v>17</v>
      </c>
      <c r="V17" s="5"/>
      <c r="Y17" s="5"/>
      <c r="Z17" s="40">
        <f>IFERROR(__xludf.DUMMYFUNCTION("""COMPUTED_VALUE"""),44358.843125)</f>
        <v>44358.84313</v>
      </c>
      <c r="AA17" s="5" t="str">
        <f>IFERROR(__xludf.DUMMYFUNCTION("""COMPUTED_VALUE"""),"What a GK is Gigi Donnarumma. No doubt he will be top 3 of best keepers in the current decade.. Spinazzola best player on the pitch behind Jorginho so far today. Not even the best berardi. Demiral got confused seeing his Juventus teammates on the pitch. H"&amp;"appens to the best.")</f>
        <v>What a GK is Gigi Donnarumma. No doubt he will be top 3 of best keepers in the current decade.. Spinazzola best player on the pitch behind Jorginho so far today. Not even the best berardi. Demiral got confused seeing his Juventus teammates on the pitch. Happens to the best.</v>
      </c>
      <c r="AB17" s="39" t="s">
        <v>16</v>
      </c>
      <c r="AE17" s="5"/>
      <c r="AF17" s="40">
        <f>IFERROR(__xludf.DUMMYFUNCTION("""COMPUTED_VALUE"""),44358.845659722225)</f>
        <v>44358.84566</v>
      </c>
      <c r="AG17" s="5" t="str">
        <f>IFERROR(__xludf.DUMMYFUNCTION("""COMPUTED_VALUE"""),"Nahhh, this game needs Chiesa. Insigne de do nonsense walai. Chiesa for Berardi is so needed. Chiesa needs to replace this berardi. Chiesa and cristante needed bad. Need Chiesa on. Time to sub Chiesa in. Bring on Chiesa please I need some fantasy points. "&amp;"Chiesa needed so bad.")</f>
        <v>Nahhh, this game needs Chiesa. Insigne de do nonsense walai. Chiesa for Berardi is so needed. Chiesa needs to replace this berardi. Chiesa and cristante needed bad. Need Chiesa on. Time to sub Chiesa in. Bring on Chiesa please I need some fantasy points. Chiesa needed so bad.</v>
      </c>
      <c r="AH17" s="39" t="s">
        <v>16</v>
      </c>
      <c r="AK17" s="5"/>
      <c r="AN17" s="5"/>
      <c r="AO17" s="40"/>
      <c r="AP17" s="5"/>
      <c r="AQ17" s="5"/>
      <c r="AR17" s="40"/>
      <c r="AS17" s="5"/>
      <c r="AT17" s="5"/>
      <c r="AU17" s="40"/>
      <c r="AV17" s="5"/>
      <c r="AW17" s="5"/>
      <c r="AX17" s="40"/>
      <c r="AY17" s="5"/>
      <c r="AZ17" s="5"/>
      <c r="BA17" s="40"/>
      <c r="BB17" s="5"/>
      <c r="BC17" s="5"/>
      <c r="BD17" s="40"/>
      <c r="BE17" s="5"/>
      <c r="BF17" s="5"/>
      <c r="BG17" s="40"/>
      <c r="BH17" s="5"/>
      <c r="BI17" s="5"/>
      <c r="BJ17" s="40"/>
      <c r="BK17" s="5"/>
      <c r="BL17" s="5"/>
      <c r="BM17" s="40"/>
      <c r="BN17" s="5"/>
      <c r="BO17" s="5"/>
      <c r="BP17" s="40"/>
      <c r="BQ17" s="5"/>
      <c r="BR17" s="5"/>
      <c r="BS17" s="40"/>
      <c r="BT17" s="5"/>
      <c r="BU17" s="5"/>
      <c r="BV17" s="40"/>
      <c r="BW17" s="5"/>
      <c r="BX17" s="5"/>
      <c r="BY17" s="40"/>
      <c r="BZ17" s="5"/>
      <c r="CA17" s="5"/>
      <c r="CB17" s="40"/>
      <c r="CC17" s="5"/>
      <c r="CD17" s="5"/>
      <c r="CE17" s="40"/>
      <c r="CF17" s="5"/>
      <c r="CG17" s="5"/>
      <c r="CH17" s="40"/>
      <c r="CI17" s="5"/>
      <c r="CJ17" s="5"/>
      <c r="CK17" s="40"/>
      <c r="CL17" s="5"/>
      <c r="CM17" s="5"/>
      <c r="CN17" s="40"/>
      <c r="CO17" s="5"/>
      <c r="CP17" s="5"/>
      <c r="CQ17" s="40"/>
      <c r="CR17" s="5"/>
      <c r="CS17" s="5"/>
      <c r="CT17" s="5"/>
      <c r="CU17" s="5"/>
      <c r="CV17" s="5"/>
      <c r="CW17" s="5"/>
      <c r="CX17" s="5"/>
      <c r="CY17" s="5"/>
      <c r="CZ17" s="5"/>
      <c r="DA17" s="5"/>
      <c r="DB17" s="5"/>
      <c r="DC17" s="5"/>
      <c r="DD17" s="5"/>
      <c r="DE17" s="5"/>
      <c r="DF17" s="5"/>
    </row>
    <row r="18">
      <c r="A18" s="14" t="s">
        <v>44</v>
      </c>
      <c r="B18" s="43" t="s">
        <v>545</v>
      </c>
      <c r="C18" s="33"/>
      <c r="D18" s="33"/>
      <c r="E18" s="40">
        <f>IFERROR(__xludf.DUMMYFUNCTION("""COMPUTED_VALUE"""),44358.84234953704)</f>
        <v>44358.84235</v>
      </c>
      <c r="F18" s="5" t="str">
        <f>IFERROR(__xludf.DUMMYFUNCTION("""COMPUTED_VALUE"""),"A Juventus player (Demiral) scores a goal, but it's not for his home country. It's an own goal and Italy lead. Italy 1-0 Turkey. 🔥🔥💪💪💙💙At least Juve players know what justice is... thanks Demiral... you are a real Juve player 🖤🤍.")</f>
        <v>A Juventus player (Demiral) scores a goal, but it's not for his home country. It's an own goal and Italy lead. Italy 1-0 Turkey. 🔥🔥💪💪💙💙At least Juve players know what justice is... thanks Demiral... you are a real Juve player 🖤🤍.</v>
      </c>
      <c r="G18" s="39" t="s">
        <v>14</v>
      </c>
      <c r="H18" s="40">
        <f>IFERROR(__xludf.DUMMYFUNCTION("""COMPUTED_VALUE"""),44358.84106481481)</f>
        <v>44358.84106</v>
      </c>
      <c r="I18" s="5" t="str">
        <f>IFERROR(__xludf.DUMMYFUNCTION("""COMPUTED_VALUE"""),"Was praising demiral 😭. finally a goal to set the deserved leaders up. An own goal from Merih Demiral opens the scoring finally. Demiral is in my fantasy football team 😭. #ITA have been knocking on the door all match and finally get a goal through a Dem"&amp;"iral own goal. EURO 2020.")</f>
        <v>Was praising demiral 😭. finally a goal to set the deserved leaders up. An own goal from Merih Demiral opens the scoring finally. Demiral is in my fantasy football team 😭. #ITA have been knocking on the door all match and finally get a goal through a Demiral own goal. EURO 2020.</v>
      </c>
      <c r="J18" s="39" t="s">
        <v>17</v>
      </c>
      <c r="K18" s="40">
        <f>IFERROR(__xludf.DUMMYFUNCTION("""COMPUTED_VALUE"""),44358.85078703704)</f>
        <v>44358.85079</v>
      </c>
      <c r="L18" s="5" t="str">
        <f>IFERROR(__xludf.DUMMYFUNCTION("""COMPUTED_VALUE"""),"All from Barella that little turn and quality pass foward in midfield. Warra pass from barella under pressure blud. That Barella pass. Just give the ball to Barella. Barella’s trivela pass to escape the press in the buildup to that goal was sexy af.")</f>
        <v>All from Barella that little turn and quality pass foward in midfield. Warra pass from barella under pressure blud. That Barella pass. Just give the ball to Barella. Barella’s trivela pass to escape the press in the buildup to that goal was sexy af.</v>
      </c>
      <c r="M18" s="39" t="s">
        <v>18</v>
      </c>
      <c r="P18" s="5"/>
      <c r="Q18" s="40">
        <f>IFERROR(__xludf.DUMMYFUNCTION("""COMPUTED_VALUE"""),44358.84511574074)</f>
        <v>44358.84512</v>
      </c>
      <c r="R18" s="5" t="str">
        <f>IFERROR(__xludf.DUMMYFUNCTION("""COMPUTED_VALUE"""),"🇮🇹 Italy make the breakthrough in the opener via a Merih Demiral own goal ⚽️. EURO 2020.")</f>
        <v>🇮🇹 Italy make the breakthrough in the opener via a Merih Demiral own goal ⚽️. EURO 2020.</v>
      </c>
      <c r="S18" s="39" t="s">
        <v>14</v>
      </c>
      <c r="V18" s="5"/>
      <c r="Y18" s="5"/>
      <c r="Z18" s="40">
        <f>IFERROR(__xludf.DUMMYFUNCTION("""COMPUTED_VALUE"""),44358.850486111114)</f>
        <v>44358.85049</v>
      </c>
      <c r="AA18" s="5" t="str">
        <f>IFERROR(__xludf.DUMMYFUNCTION("""COMPUTED_VALUE"""),"What a save! Spinazzola deserved that goal but we move! Amazing save from Cakir but Immobile tucks it home. Immobile doing what he does best. Score goals. 2-0 Italy vs turkey EURO 2020. The Turkish defenders didn’t move… it was almost as if they. #bestyou"&amp;"unfollowmenowtbh.")</f>
        <v>What a save! Spinazzola deserved that goal but we move! Amazing save from Cakir but Immobile tucks it home. Immobile doing what he does best. Score goals. 2-0 Italy vs turkey EURO 2020. The Turkish defenders didn’t move… it was almost as if they. #bestyouunfollowmenowtbh.</v>
      </c>
      <c r="AB18" s="39" t="s">
        <v>17</v>
      </c>
      <c r="AE18" s="5"/>
      <c r="AF18" s="40">
        <f>IFERROR(__xludf.DUMMYFUNCTION("""COMPUTED_VALUE"""),44358.84777777777)</f>
        <v>44358.84778</v>
      </c>
      <c r="AG18" s="5" t="str">
        <f>IFERROR(__xludf.DUMMYFUNCTION("""COMPUTED_VALUE"""),"Italy's next sub warming up #TURITA. The impact Di Lorenzo has had since half time is crazy????? Always providing an option!!! The energy and dynamism di lorenzo has brought on that right flank. Needed. Di lorenzo needs to start in the next game. Why is C"&amp;"hiesa not subbed in yet ?")</f>
        <v>Italy's next sub warming up #TURITA. The impact Di Lorenzo has had since half time is crazy????? Always providing an option!!! The energy and dynamism di lorenzo has brought on that right flank. Needed. Di lorenzo needs to start in the next game. Why is Chiesa not subbed in yet ?</v>
      </c>
      <c r="AH18" s="39" t="s">
        <v>18</v>
      </c>
      <c r="AK18" s="5"/>
      <c r="AN18" s="5"/>
      <c r="AO18" s="40"/>
      <c r="AP18" s="5"/>
      <c r="AQ18" s="5"/>
      <c r="AR18" s="40"/>
      <c r="AS18" s="5"/>
      <c r="AT18" s="5"/>
      <c r="AU18" s="40"/>
      <c r="AV18" s="5"/>
      <c r="AW18" s="5"/>
      <c r="AX18" s="40"/>
      <c r="AY18" s="5"/>
      <c r="AZ18" s="5"/>
      <c r="BA18" s="40"/>
      <c r="BB18" s="5"/>
      <c r="BC18" s="5"/>
      <c r="BD18" s="40"/>
      <c r="BE18" s="5"/>
      <c r="BF18" s="5"/>
      <c r="BG18" s="40"/>
      <c r="BH18" s="5"/>
      <c r="BI18" s="5"/>
      <c r="BJ18" s="40"/>
      <c r="BK18" s="5"/>
      <c r="BL18" s="5"/>
      <c r="BM18" s="40"/>
      <c r="BN18" s="5"/>
      <c r="BO18" s="5"/>
      <c r="BP18" s="40"/>
      <c r="BQ18" s="5"/>
      <c r="BR18" s="5"/>
      <c r="BS18" s="40"/>
      <c r="BT18" s="5"/>
      <c r="BU18" s="5"/>
      <c r="BV18" s="40"/>
      <c r="BW18" s="5"/>
      <c r="BX18" s="5"/>
      <c r="BY18" s="40"/>
      <c r="BZ18" s="5"/>
      <c r="CA18" s="5"/>
      <c r="CB18" s="40"/>
      <c r="CC18" s="5"/>
      <c r="CD18" s="5"/>
      <c r="CE18" s="40"/>
      <c r="CF18" s="5"/>
      <c r="CG18" s="5"/>
      <c r="CH18" s="40"/>
      <c r="CI18" s="5"/>
      <c r="CJ18" s="5"/>
      <c r="CK18" s="40"/>
      <c r="CL18" s="5"/>
      <c r="CM18" s="5"/>
      <c r="CN18" s="40"/>
      <c r="CO18" s="5"/>
      <c r="CP18" s="5"/>
      <c r="CQ18" s="40"/>
      <c r="CR18" s="5"/>
      <c r="CS18" s="5"/>
      <c r="CT18" s="5"/>
      <c r="CU18" s="5"/>
      <c r="CV18" s="5"/>
      <c r="CW18" s="5"/>
      <c r="CX18" s="5"/>
      <c r="CY18" s="5"/>
      <c r="CZ18" s="5"/>
      <c r="DA18" s="5"/>
      <c r="DB18" s="5"/>
      <c r="DC18" s="5"/>
      <c r="DD18" s="5"/>
      <c r="DE18" s="5"/>
      <c r="DF18" s="5"/>
    </row>
    <row r="19">
      <c r="A19" s="14" t="s">
        <v>46</v>
      </c>
      <c r="C19" s="14" t="s">
        <v>34</v>
      </c>
      <c r="D19" s="14" t="s">
        <v>35</v>
      </c>
      <c r="E19" s="40">
        <f>IFERROR(__xludf.DUMMYFUNCTION("""COMPUTED_VALUE"""),44358.843831018516)</f>
        <v>44358.84383</v>
      </c>
      <c r="F19" s="5" t="str">
        <f>IFERROR(__xludf.DUMMYFUNCTION("""COMPUTED_VALUE"""),"Insigne trash player. Arsenal should look at Insigne. Amazing player. Insigne or Immobile are getting the next goal for Italy, they’ve been the best players on the pitch. What's with insigne and taking a shot every INSTANT?? Is there a player shorter than"&amp;" Insigne?😹.")</f>
        <v>Insigne trash player. Arsenal should look at Insigne. Amazing player. Insigne or Immobile are getting the next goal for Italy, they’ve been the best players on the pitch. What's with insigne and taking a shot every INSTANT?? Is there a player shorter than Insigne?😹.</v>
      </c>
      <c r="G19" s="39" t="s">
        <v>18</v>
      </c>
      <c r="H19" s="40">
        <f>IFERROR(__xludf.DUMMYFUNCTION("""COMPUTED_VALUE"""),44358.84550925926)</f>
        <v>44358.84551</v>
      </c>
      <c r="I19" s="5" t="str">
        <f>IFERROR(__xludf.DUMMYFUNCTION("""COMPUTED_VALUE"""),"Berardi does NOT know how to play football. Berardi is not a serious footballer. Berardi is not a real footballer man. How is Berardi an international footballer 😂😂. Berardi is an IDEA footballer. Ppl say Italy are winning the tournament with this Berar"&amp;"di guy on the wing….")</f>
        <v>Berardi does NOT know how to play football. Berardi is not a serious footballer. Berardi is not a real footballer man. How is Berardi an international footballer 😂😂. Berardi is an IDEA footballer. Ppl say Italy are winning the tournament with this Berardi guy on the wing….</v>
      </c>
      <c r="J19" s="39" t="s">
        <v>16</v>
      </c>
      <c r="K19" s="40">
        <f>IFERROR(__xludf.DUMMYFUNCTION("""COMPUTED_VALUE"""),44358.85699074074)</f>
        <v>44358.85699</v>
      </c>
      <c r="L19" s="5" t="str">
        <f>IFERROR(__xludf.DUMMYFUNCTION("""COMPUTED_VALUE"""),"What version of jorginho is this?!! 👀😲🙆... He's playing too many forward passes 😭😭😭. Jorginho with good skill and spinazola just had a heavy touch. Wat a pass from Jorginho. Great pass by Jorginho there, wasted. Jorginho really balling for this Ital"&amp;"ian team.")</f>
        <v>What version of jorginho is this?!! 👀😲🙆... He's playing too many forward passes 😭😭😭. Jorginho with good skill and spinazola just had a heavy touch. Wat a pass from Jorginho. Great pass by Jorginho there, wasted. Jorginho really balling for this Italian team.</v>
      </c>
      <c r="M19" s="39" t="s">
        <v>18</v>
      </c>
      <c r="P19" s="5"/>
      <c r="Q19" s="40">
        <f>IFERROR(__xludf.DUMMYFUNCTION("""COMPUTED_VALUE"""),44358.849756944444)</f>
        <v>44358.84976</v>
      </c>
      <c r="R19" s="5" t="str">
        <f>IFERROR(__xludf.DUMMYFUNCTION("""COMPUTED_VALUE"""),"Immobile to score a few this tournament calling it now. So happy for immobile, deserves that goal to silence all his haters. Immobile finally gets a big goal. Turkey have been shocking. Immobileeeeee Spinazzola assist ffsss doesnt have both in my team.")</f>
        <v>Immobile to score a few this tournament calling it now. So happy for immobile, deserves that goal to silence all his haters. Immobile finally gets a big goal. Turkey have been shocking. Immobileeeeee Spinazzola assist ffsss doesnt have both in my team.</v>
      </c>
      <c r="S19" s="39" t="s">
        <v>17</v>
      </c>
      <c r="V19" s="5"/>
      <c r="Y19" s="5"/>
      <c r="Z19" s="40">
        <f>IFERROR(__xludf.DUMMYFUNCTION("""COMPUTED_VALUE"""),44358.85763888889)</f>
        <v>44358.85764</v>
      </c>
      <c r="AA19" s="5" t="str">
        <f>IFERROR(__xludf.DUMMYFUNCTION("""COMPUTED_VALUE"""),"JORGINHO THE BEST REGISTA IN THE WORLD ‼️‼️‼️.")</f>
        <v>JORGINHO THE BEST REGISTA IN THE WORLD ‼️‼️‼️.</v>
      </c>
      <c r="AB19" s="39" t="s">
        <v>16</v>
      </c>
      <c r="AE19" s="5"/>
      <c r="AF19" s="40">
        <f>IFERROR(__xludf.DUMMYFUNCTION("""COMPUTED_VALUE"""),44358.84893518519)</f>
        <v>44358.84894</v>
      </c>
      <c r="AG19" s="5" t="str">
        <f>IFERROR(__xludf.DUMMYFUNCTION("""COMPUTED_VALUE"""),"Is Merih Demiral currently in the lead for the golden boot? EURO 2020. Personally think Jorginho should be leading the goalscoring table with that handball. 🇮🇹 Scenes after Italy take lead in the Group A opener against Turkey! ⚽️. #ITA EURO 2020.")</f>
        <v>Is Merih Demiral currently in the lead for the golden boot? EURO 2020. Personally think Jorginho should be leading the goalscoring table with that handball. 🇮🇹 Scenes after Italy take lead in the Group A opener against Turkey! ⚽️. #ITA EURO 2020.</v>
      </c>
      <c r="AH19" s="39" t="s">
        <v>16</v>
      </c>
      <c r="AK19" s="5"/>
      <c r="AN19" s="5"/>
      <c r="AO19" s="40"/>
      <c r="AP19" s="5"/>
      <c r="AQ19" s="5"/>
      <c r="AR19" s="40"/>
      <c r="AS19" s="5"/>
      <c r="AT19" s="5"/>
      <c r="AU19" s="40"/>
      <c r="AV19" s="5"/>
      <c r="AW19" s="5"/>
      <c r="AX19" s="40"/>
      <c r="AY19" s="5"/>
      <c r="AZ19" s="5"/>
      <c r="BA19" s="40"/>
      <c r="BB19" s="5"/>
      <c r="BC19" s="5"/>
      <c r="BD19" s="40"/>
      <c r="BE19" s="5"/>
      <c r="BF19" s="5"/>
      <c r="BG19" s="40"/>
      <c r="BH19" s="5"/>
      <c r="BI19" s="5"/>
      <c r="BJ19" s="40"/>
      <c r="BK19" s="5"/>
      <c r="BL19" s="5"/>
      <c r="BM19" s="40"/>
      <c r="BN19" s="5"/>
      <c r="BO19" s="5"/>
      <c r="BP19" s="40"/>
      <c r="BQ19" s="5"/>
      <c r="BR19" s="5"/>
      <c r="BS19" s="40"/>
      <c r="BT19" s="5"/>
      <c r="BU19" s="5"/>
      <c r="BV19" s="40"/>
      <c r="BW19" s="5"/>
      <c r="BX19" s="5"/>
      <c r="BY19" s="40"/>
      <c r="BZ19" s="5"/>
      <c r="CA19" s="5"/>
      <c r="CB19" s="40"/>
      <c r="CC19" s="5"/>
      <c r="CD19" s="5"/>
      <c r="CE19" s="40"/>
      <c r="CF19" s="5"/>
      <c r="CG19" s="5"/>
      <c r="CH19" s="40"/>
      <c r="CI19" s="5"/>
      <c r="CJ19" s="5"/>
      <c r="CK19" s="40"/>
      <c r="CL19" s="5"/>
      <c r="CM19" s="5"/>
      <c r="CN19" s="40"/>
      <c r="CO19" s="5"/>
      <c r="CP19" s="5"/>
      <c r="CQ19" s="40"/>
      <c r="CR19" s="5"/>
      <c r="CS19" s="5"/>
      <c r="CT19" s="5"/>
      <c r="CU19" s="5"/>
      <c r="CV19" s="5"/>
      <c r="CW19" s="5"/>
      <c r="CX19" s="5"/>
      <c r="CY19" s="5"/>
      <c r="CZ19" s="5"/>
      <c r="DA19" s="5"/>
      <c r="DB19" s="5"/>
      <c r="DC19" s="5"/>
      <c r="DD19" s="5"/>
      <c r="DE19" s="5"/>
      <c r="DF19" s="5"/>
    </row>
    <row r="20">
      <c r="A20" s="19" t="s">
        <v>47</v>
      </c>
      <c r="B20" s="19" t="s">
        <v>48</v>
      </c>
      <c r="C20" s="21">
        <f t="shared" ref="C20:C23" si="65">COUNTIF($A$26:$A1007, A20)</f>
        <v>3</v>
      </c>
      <c r="D20" s="26">
        <f>IFERROR(__xludf.DUMMYFUNCTION("IF(C20, COUNTIF(FILTER($D$26:$D1007, $A$26:$A1007=A20), TRUE)/C20, 0)"),1.0)</f>
        <v>1</v>
      </c>
      <c r="E20" s="40">
        <f>IFERROR(__xludf.DUMMYFUNCTION("""COMPUTED_VALUE"""),44358.84579861111)</f>
        <v>44358.8458</v>
      </c>
      <c r="F20" s="5" t="str">
        <f>IFERROR(__xludf.DUMMYFUNCTION("""COMPUTED_VALUE"""),"This Berardi player is making a mockery out here. Who joined me on that Berardi hype train? First player to get points on the board in EURO fantasy 2020!! 💙. Berardi warra player. TAKE BERARDI OFF NOW. All three Italy players in the box when Berardi shot"&amp;" that ball EURO 2020.")</f>
        <v>This Berardi player is making a mockery out here. Who joined me on that Berardi hype train? First player to get points on the board in EURO fantasy 2020!! 💙. Berardi warra player. TAKE BERARDI OFF NOW. All three Italy players in the box when Berardi shot that ball EURO 2020.</v>
      </c>
      <c r="G20" s="39" t="s">
        <v>16</v>
      </c>
      <c r="H20" s="40">
        <f>IFERROR(__xludf.DUMMYFUNCTION("""COMPUTED_VALUE"""),44358.84989583334)</f>
        <v>44358.8499</v>
      </c>
      <c r="I20" s="5" t="str">
        <f>IFERROR(__xludf.DUMMYFUNCTION("""COMPUTED_VALUE"""),"Immobile is a poorly named footballer EURO 2020. IMMOBILE FINALLY. Immobile will win golden boot and best player btw. Immobile! Game over, that’s proper football👏. Immobile finally gets his goal 👏🏾. YES IMMOBILE fantasy league points 😎. Wooooo Immobil"&amp;"e! Fantasy football rules!")</f>
        <v>Immobile is a poorly named footballer EURO 2020. IMMOBILE FINALLY. Immobile will win golden boot and best player btw. Immobile! Game over, that’s proper football👏. Immobile finally gets his goal 👏🏾. YES IMMOBILE fantasy league points 😎. Wooooo Immobile! Fantasy football rules!</v>
      </c>
      <c r="J20" s="39" t="s">
        <v>17</v>
      </c>
      <c r="K20" s="40">
        <f>IFERROR(__xludf.DUMMYFUNCTION("""COMPUTED_VALUE"""),44358.85925925926)</f>
        <v>44358.85926</v>
      </c>
      <c r="L20" s="5" t="str">
        <f>IFERROR(__xludf.DUMMYFUNCTION("""COMPUTED_VALUE"""),"Just passed home. That's just quality from Insigne. euro 2020. Italy’s passing is a joy to watch. #ITA Euro 2020. That is some awful pass from the Turkish goalkeeper. Euro 2020 #TUR. Lorenzo Insigne what a goal but that Immobile pass 🔥🔥🔥🔥🔥🔥🔥. Euro "&amp;"2020.")</f>
        <v>Just passed home. That's just quality from Insigne. euro 2020. Italy’s passing is a joy to watch. #ITA Euro 2020. That is some awful pass from the Turkish goalkeeper. Euro 2020 #TUR. Lorenzo Insigne what a goal but that Immobile pass 🔥🔥🔥🔥🔥🔥🔥. Euro 2020.</v>
      </c>
      <c r="M20" s="39" t="s">
        <v>17</v>
      </c>
      <c r="P20" s="5"/>
      <c r="Q20" s="40">
        <f>IFERROR(__xludf.DUMMYFUNCTION("""COMPUTED_VALUE"""),44358.85420138889)</f>
        <v>44358.8542</v>
      </c>
      <c r="R20" s="5" t="str">
        <f>IFERROR(__xludf.DUMMYFUNCTION("""COMPUTED_VALUE"""),"🇮🇹 Italy on top! Immobile follows up an own goal to give them a commanding lead over Turkey. #TURITA EURO 2020. Italy lead 0-2 after Immobile scores his first of the tournament from close range. ITALY LEAD 2-0! 🇮🇹. Ciro Immobile with his first goal of"&amp;" EURO 2020 💥.")</f>
        <v>🇮🇹 Italy on top! Immobile follows up an own goal to give them a commanding lead over Turkey. #TURITA EURO 2020. Italy lead 0-2 after Immobile scores his first of the tournament from close range. ITALY LEAD 2-0! 🇮🇹. Ciro Immobile with his first goal of EURO 2020 💥.</v>
      </c>
      <c r="S20" s="39" t="s">
        <v>18</v>
      </c>
      <c r="V20" s="5"/>
      <c r="Y20" s="5"/>
      <c r="Z20" s="40">
        <f>IFERROR(__xludf.DUMMYFUNCTION("""COMPUTED_VALUE"""),44358.85925925926)</f>
        <v>44358.85926</v>
      </c>
      <c r="AA20" s="5" t="str">
        <f>IFERROR(__xludf.DUMMYFUNCTION("""COMPUTED_VALUE"""),"Madness from Turkey keeper.. you've been the only decent player. #TURITA. Chiellini is one of the all time great central defenders 👏 Euro 2021. What a goal from Insigne.. The keeper had no chance... Oh Insigne scored. Lol what was that from the keeper.")</f>
        <v>Madness from Turkey keeper.. you've been the only decent player. #TURITA. Chiellini is one of the all time great central defenders 👏 Euro 2021. What a goal from Insigne.. The keeper had no chance... Oh Insigne scored. Lol what was that from the keeper.</v>
      </c>
      <c r="AB20" s="39" t="s">
        <v>17</v>
      </c>
      <c r="AE20" s="5"/>
      <c r="AF20" s="40">
        <f>IFERROR(__xludf.DUMMYFUNCTION("""COMPUTED_VALUE"""),44358.850023148145)</f>
        <v>44358.85002</v>
      </c>
      <c r="AG20" s="5" t="str">
        <f>IFERROR(__xludf.DUMMYFUNCTION("""COMPUTED_VALUE"""),"Immobile scores the second and it's game, set and match. euro 2020. Quick reaction for the 2nd by Immobile. Proving again that he's not immobile in the least. Turkeyvs Italy. Immobile with the goal from rebound and Italy is leading 2-0! EURO 2020.")</f>
        <v>Immobile scores the second and it's game, set and match. euro 2020. Quick reaction for the 2nd by Immobile. Proving again that he's not immobile in the least. Turkeyvs Italy. Immobile with the goal from rebound and Italy is leading 2-0! EURO 2020.</v>
      </c>
      <c r="AH20" s="39" t="s">
        <v>546</v>
      </c>
      <c r="AK20" s="5"/>
      <c r="AN20" s="5"/>
      <c r="AO20" s="40"/>
      <c r="AP20" s="5"/>
      <c r="AQ20" s="5"/>
      <c r="AR20" s="40"/>
      <c r="AS20" s="5"/>
      <c r="AT20" s="5"/>
      <c r="AU20" s="40"/>
      <c r="AV20" s="5"/>
      <c r="AW20" s="5"/>
      <c r="AX20" s="40"/>
      <c r="AY20" s="5"/>
      <c r="AZ20" s="5"/>
      <c r="BA20" s="40"/>
      <c r="BB20" s="5"/>
      <c r="BC20" s="5"/>
      <c r="BD20" s="40"/>
      <c r="BE20" s="5"/>
      <c r="BF20" s="5"/>
      <c r="BG20" s="40"/>
      <c r="BH20" s="5"/>
      <c r="BI20" s="5"/>
      <c r="BJ20" s="40"/>
      <c r="BK20" s="5"/>
      <c r="BL20" s="5"/>
      <c r="BM20" s="40"/>
      <c r="BN20" s="5"/>
      <c r="BO20" s="5"/>
      <c r="BP20" s="40"/>
      <c r="BQ20" s="5"/>
      <c r="BR20" s="5"/>
      <c r="BS20" s="40"/>
      <c r="BT20" s="5"/>
      <c r="BU20" s="5"/>
      <c r="BV20" s="40"/>
      <c r="BW20" s="5"/>
      <c r="BX20" s="5"/>
      <c r="BY20" s="40"/>
      <c r="BZ20" s="5"/>
      <c r="CA20" s="5"/>
      <c r="CB20" s="40"/>
      <c r="CC20" s="5"/>
      <c r="CD20" s="5"/>
      <c r="CE20" s="40"/>
      <c r="CF20" s="5"/>
      <c r="CG20" s="5"/>
      <c r="CH20" s="40"/>
      <c r="CI20" s="5"/>
      <c r="CJ20" s="5"/>
      <c r="CK20" s="40"/>
      <c r="CL20" s="5"/>
      <c r="CM20" s="5"/>
      <c r="CN20" s="40"/>
      <c r="CO20" s="5"/>
      <c r="CP20" s="5"/>
      <c r="CQ20" s="40"/>
      <c r="CR20" s="5"/>
      <c r="CS20" s="5"/>
      <c r="CT20" s="5"/>
      <c r="CU20" s="5"/>
      <c r="CV20" s="5"/>
      <c r="CW20" s="5"/>
      <c r="CX20" s="5"/>
      <c r="CY20" s="5"/>
      <c r="CZ20" s="5"/>
      <c r="DA20" s="5"/>
      <c r="DB20" s="5"/>
      <c r="DC20" s="5"/>
      <c r="DD20" s="5"/>
      <c r="DE20" s="5"/>
      <c r="DF20" s="5"/>
    </row>
    <row r="21">
      <c r="A21" s="19" t="s">
        <v>49</v>
      </c>
      <c r="B21" s="19" t="s">
        <v>50</v>
      </c>
      <c r="C21" s="21">
        <f t="shared" si="65"/>
        <v>2</v>
      </c>
      <c r="D21" s="26">
        <f>IFERROR(__xludf.DUMMYFUNCTION("IF(C21, COUNTIF(FILTER($D$26:$D1007, $A$26:$A1007=A21), TRUE)/C21, 0)"),0.0)</f>
        <v>0</v>
      </c>
      <c r="E21" s="40">
        <f>IFERROR(__xludf.DUMMYFUNCTION("""COMPUTED_VALUE"""),44358.848912037036)</f>
        <v>44358.84891</v>
      </c>
      <c r="F21" s="5" t="str">
        <f>IFERROR(__xludf.DUMMYFUNCTION("""COMPUTED_VALUE"""),"A Juventus player (Demiral) scores a goal, but it's not for his home country. It's an own goal and Italy lead. Italy 1-0 Turkey. 🇮🇹 Scenes after Italy take lead in the Group A opener against Turkey! ⚽️. #ITA EURO 2020.")</f>
        <v>A Juventus player (Demiral) scores a goal, but it's not for his home country. It's an own goal and Italy lead. Italy 1-0 Turkey. 🇮🇹 Scenes after Italy take lead in the Group A opener against Turkey! ⚽️. #ITA EURO 2020.</v>
      </c>
      <c r="G21" s="39" t="s">
        <v>14</v>
      </c>
      <c r="H21" s="40">
        <f>IFERROR(__xludf.DUMMYFUNCTION("""COMPUTED_VALUE"""),44358.851875)</f>
        <v>44358.85188</v>
      </c>
      <c r="I21" s="5" t="str">
        <f>IFERROR(__xludf.DUMMYFUNCTION("""COMPUTED_VALUE"""),"What a great name for a footballer: ""Immobile"". 😀 Euro 2021. Spinazzola is a Footballer. Barella makes football look so easy. Proper lad! I hate football Football 😶. #TURITA. Jorginho is a world class footballer👍. Calhanoglu is a useless footballer.")</f>
        <v>What a great name for a footballer: "Immobile". 😀 Euro 2021. Spinazzola is a Footballer. Barella makes football look so easy. Proper lad! I hate football Football 😶. #TURITA. Jorginho is a world class footballer👍. Calhanoglu is a useless footballer.</v>
      </c>
      <c r="J21" s="39" t="s">
        <v>16</v>
      </c>
      <c r="K21" s="40">
        <f>IFERROR(__xludf.DUMMYFUNCTION("""COMPUTED_VALUE"""),44358.86334490741)</f>
        <v>44358.86334</v>
      </c>
      <c r="L21" s="5" t="str">
        <f>IFERROR(__xludf.DUMMYFUNCTION("""COMPUTED_VALUE"""),"Lorenzo Insigne showing the type of finishing that you'd expect from a potential Silver Ball award winner. Insigne gave out his car to deliver the ball. Insigne's Uber had more ball possession than Turkey. Lorenzo Insigne curling the ball into the far cor"&amp;"ner first time. Clean 😎.")</f>
        <v>Lorenzo Insigne showing the type of finishing that you'd expect from a potential Silver Ball award winner. Insigne gave out his car to deliver the ball. Insigne's Uber had more ball possession than Turkey. Lorenzo Insigne curling the ball into the far corner first time. Clean 😎.</v>
      </c>
      <c r="M21" s="39" t="s">
        <v>14</v>
      </c>
      <c r="P21" s="5"/>
      <c r="Q21" s="40">
        <f>IFERROR(__xludf.DUMMYFUNCTION("""COMPUTED_VALUE"""),44358.85560185185)</f>
        <v>44358.8556</v>
      </c>
      <c r="R21" s="5" t="str">
        <f>IFERROR(__xludf.DUMMYFUNCTION("""COMPUTED_VALUE"""),"🇮🇹 Ciro Immobile celebrates his 14th international goal for Italy ⚽️. EURO 2020.")</f>
        <v>🇮🇹 Ciro Immobile celebrates his 14th international goal for Italy ⚽️. EURO 2020.</v>
      </c>
      <c r="S21" s="39" t="s">
        <v>18</v>
      </c>
      <c r="V21" s="5"/>
      <c r="Y21" s="5"/>
      <c r="Z21" s="40">
        <f>IFERROR(__xludf.DUMMYFUNCTION("""COMPUTED_VALUE"""),44358.86827546296)</f>
        <v>44358.86828</v>
      </c>
      <c r="AA21" s="5" t="str">
        <f>IFERROR(__xludf.DUMMYFUNCTION("""COMPUTED_VALUE"""),"Chiellini body on the line man. My type of defender. That’s why Chiellini is one of my all time favourite defenders Euro 2020. People talk about defenders having pace…. I say Chiellini 🇮🇹. Chiellini at 50 is more agile than our in prime defenders 😭😭.")</f>
        <v>Chiellini body on the line man. My type of defender. That’s why Chiellini is one of my all time favourite defenders Euro 2020. People talk about defenders having pace…. I say Chiellini 🇮🇹. Chiellini at 50 is more agile than our in prime defenders 😭😭.</v>
      </c>
      <c r="AB21" s="39" t="s">
        <v>16</v>
      </c>
      <c r="AE21" s="5"/>
      <c r="AF21" s="40">
        <f>IFERROR(__xludf.DUMMYFUNCTION("""COMPUTED_VALUE"""),44358.852488425924)</f>
        <v>44358.85249</v>
      </c>
      <c r="AG21" s="5" t="str">
        <f>IFERROR(__xludf.DUMMYFUNCTION("""COMPUTED_VALUE"""),"Jorginho will not even need his kit washed, the man is in absolute CRUISE CONTROL. #TURITA. Italy cruise into a 2️⃣➖0️⃣ lead 🛵 #ITA.")</f>
        <v>Jorginho will not even need his kit washed, the man is in absolute CRUISE CONTROL. #TURITA. Italy cruise into a 2️⃣➖0️⃣ lead 🛵 #ITA.</v>
      </c>
      <c r="AH21" s="39" t="s">
        <v>14</v>
      </c>
      <c r="AK21" s="5"/>
      <c r="AN21" s="5"/>
      <c r="AO21" s="40"/>
      <c r="AP21" s="5"/>
      <c r="AQ21" s="5"/>
      <c r="AR21" s="40"/>
      <c r="AS21" s="5"/>
      <c r="AT21" s="5"/>
      <c r="AU21" s="40"/>
      <c r="AV21" s="5"/>
      <c r="AW21" s="5"/>
      <c r="AX21" s="40"/>
      <c r="AY21" s="5"/>
      <c r="AZ21" s="5"/>
      <c r="BA21" s="40"/>
      <c r="BB21" s="5"/>
      <c r="BC21" s="5"/>
      <c r="BD21" s="40"/>
      <c r="BE21" s="5"/>
      <c r="BF21" s="5"/>
      <c r="BG21" s="40"/>
      <c r="BH21" s="5"/>
      <c r="BI21" s="5"/>
      <c r="BJ21" s="40"/>
      <c r="BK21" s="5"/>
      <c r="BL21" s="5"/>
      <c r="BM21" s="40"/>
      <c r="BN21" s="5"/>
      <c r="BO21" s="5"/>
      <c r="BP21" s="40"/>
      <c r="BQ21" s="5"/>
      <c r="BR21" s="5"/>
      <c r="BS21" s="40"/>
      <c r="BT21" s="5"/>
      <c r="BU21" s="5"/>
      <c r="BV21" s="40"/>
      <c r="BW21" s="5"/>
      <c r="BX21" s="5"/>
      <c r="BY21" s="40"/>
      <c r="BZ21" s="5"/>
      <c r="CA21" s="5"/>
      <c r="CB21" s="40"/>
      <c r="CC21" s="5"/>
      <c r="CD21" s="5"/>
      <c r="CE21" s="40"/>
      <c r="CF21" s="5"/>
      <c r="CG21" s="5"/>
      <c r="CH21" s="40"/>
      <c r="CI21" s="5"/>
      <c r="CJ21" s="5"/>
      <c r="CK21" s="40"/>
      <c r="CL21" s="5"/>
      <c r="CM21" s="5"/>
      <c r="CN21" s="40"/>
      <c r="CO21" s="5"/>
      <c r="CP21" s="5"/>
      <c r="CQ21" s="40"/>
      <c r="CR21" s="5"/>
      <c r="CS21" s="5"/>
      <c r="CT21" s="5"/>
      <c r="CU21" s="5"/>
      <c r="CV21" s="5"/>
      <c r="CW21" s="5"/>
      <c r="CX21" s="5"/>
      <c r="CY21" s="5"/>
      <c r="CZ21" s="5"/>
      <c r="DA21" s="5"/>
      <c r="DB21" s="5"/>
      <c r="DC21" s="5"/>
      <c r="DD21" s="5"/>
      <c r="DE21" s="5"/>
      <c r="DF21" s="5"/>
    </row>
    <row r="22">
      <c r="A22" s="19" t="s">
        <v>51</v>
      </c>
      <c r="B22" s="19" t="s">
        <v>52</v>
      </c>
      <c r="C22" s="21">
        <f t="shared" si="65"/>
        <v>4</v>
      </c>
      <c r="D22" s="26">
        <f>IFERROR(__xludf.DUMMYFUNCTION("IF(C22, COUNTIF(FILTER($D$26:$D1007, $A$26:$A1007=A22), TRUE)/C22, 0)"),0.5)</f>
        <v>0.5</v>
      </c>
      <c r="E22" s="40">
        <f>IFERROR(__xludf.DUMMYFUNCTION("""COMPUTED_VALUE"""),44358.85024305555)</f>
        <v>44358.85024</v>
      </c>
      <c r="F22" s="5" t="str">
        <f>IFERROR(__xludf.DUMMYFUNCTION("""COMPUTED_VALUE"""),"Immobile will win golden boot and best player btw. Immobile is a class player GS 0-2 game over. Immobile tap in for my Fantasy team I take it. Immobile deserved that goal. What a player. Barella is such a good player man. Spinazzola has this Turkey team o"&amp;"n their knees.")</f>
        <v>Immobile will win golden boot and best player btw. Immobile is a class player GS 0-2 game over. Immobile tap in for my Fantasy team I take it. Immobile deserved that goal. What a player. Barella is such a good player man. Spinazzola has this Turkey team on their knees.</v>
      </c>
      <c r="G22" s="39" t="s">
        <v>17</v>
      </c>
      <c r="H22" s="40">
        <f>IFERROR(__xludf.DUMMYFUNCTION("""COMPUTED_VALUE"""),44358.85865740741)</f>
        <v>44358.85866</v>
      </c>
      <c r="I22" s="5" t="str">
        <f>IFERROR(__xludf.DUMMYFUNCTION("""COMPUTED_VALUE"""),"FT are finally realizing how good Leonardo Spinazzola really is.. If Italy will win the euros insigne surely should win the ballon d'or right?!?!?!?!?!?!?!? Insigne finally scores one of them after 63826 attempts. Insigne finally gets his goal. Been their"&amp;" best attacker.")</f>
        <v>FT are finally realizing how good Leonardo Spinazzola really is.. If Italy will win the euros insigne surely should win the ballon d'or right?!?!?!?!?!?!?!? Insigne finally scores one of them after 63826 attempts. Insigne finally gets his goal. Been their best attacker.</v>
      </c>
      <c r="J22" s="39" t="s">
        <v>17</v>
      </c>
      <c r="M22" s="5"/>
      <c r="P22" s="5"/>
      <c r="Q22" s="40">
        <f>IFERROR(__xludf.DUMMYFUNCTION("""COMPUTED_VALUE"""),44358.85870370371)</f>
        <v>44358.8587</v>
      </c>
      <c r="R22" s="5" t="str">
        <f>IFERROR(__xludf.DUMMYFUNCTION("""COMPUTED_VALUE"""),"Finally insigne actually scores a far corner placed shot lmao, doing that all day. Some goal from Italy there, lovely finish by insigne too! Only took 100 chances for Insigne to score, can't wait for fans to want him in next. Insigne been the mvp of this "&amp;"game, well deserved goal.")</f>
        <v>Finally insigne actually scores a far corner placed shot lmao, doing that all day. Some goal from Italy there, lovely finish by insigne too! Only took 100 chances for Insigne to score, can't wait for fans to want him in next. Insigne been the mvp of this game, well deserved goal.</v>
      </c>
      <c r="S22" s="39" t="s">
        <v>17</v>
      </c>
      <c r="V22" s="5"/>
      <c r="Y22" s="5"/>
      <c r="Z22" s="40">
        <f>IFERROR(__xludf.DUMMYFUNCTION("""COMPUTED_VALUE"""),44358.87078703704)</f>
        <v>44358.87079</v>
      </c>
      <c r="AA22" s="5" t="str">
        <f>IFERROR(__xludf.DUMMYFUNCTION("""COMPUTED_VALUE"""),"Burak Yilmaz vs Italie | 11/06/21 | Euro 2021 | Skills and Highlight | The best Kebabier in the world 🔥🔥🔥.")</f>
        <v>Burak Yilmaz vs Italie | 11/06/21 | Euro 2021 | Skills and Highlight | The best Kebabier in the world 🔥🔥🔥.</v>
      </c>
      <c r="AB22" s="5"/>
      <c r="AE22" s="5"/>
      <c r="AF22" s="40">
        <f>IFERROR(__xludf.DUMMYFUNCTION("""COMPUTED_VALUE"""),44358.85420138889)</f>
        <v>44358.8542</v>
      </c>
      <c r="AG22" s="5" t="str">
        <f>IFERROR(__xludf.DUMMYFUNCTION("""COMPUTED_VALUE"""),"2-0 Italy. Ciro Immobile doubles the lead!. Ciro Immobile doubles the lead for Italy ❤️🔥. EURO 2020 #ITA. ITALY LEAD 2-0! 🇮🇹. Ciro Immobile with his first goal of EURO 2020 💥. 📸 Immobile fires in second for Italy against Turkey ⚽️. EURO 2020.")</f>
        <v>2-0 Italy. Ciro Immobile doubles the lead!. Ciro Immobile doubles the lead for Italy ❤️🔥. EURO 2020 #ITA. ITALY LEAD 2-0! 🇮🇹. Ciro Immobile with his first goal of EURO 2020 💥. 📸 Immobile fires in second for Italy against Turkey ⚽️. EURO 2020.</v>
      </c>
      <c r="AH22" s="39" t="s">
        <v>14</v>
      </c>
      <c r="AK22" s="5"/>
      <c r="AN22" s="5"/>
      <c r="AO22" s="40"/>
      <c r="AP22" s="5"/>
      <c r="AQ22" s="5"/>
      <c r="AR22" s="40"/>
      <c r="AS22" s="5"/>
      <c r="AT22" s="5"/>
      <c r="AU22" s="40"/>
      <c r="AV22" s="5"/>
      <c r="AW22" s="5"/>
      <c r="AX22" s="40"/>
      <c r="AY22" s="5"/>
      <c r="AZ22" s="5"/>
      <c r="BA22" s="40"/>
      <c r="BB22" s="5"/>
      <c r="BC22" s="5"/>
      <c r="BD22" s="40"/>
      <c r="BE22" s="5"/>
      <c r="BF22" s="5"/>
      <c r="BG22" s="40"/>
      <c r="BH22" s="5"/>
      <c r="BI22" s="5"/>
      <c r="BJ22" s="40"/>
      <c r="BK22" s="5"/>
      <c r="BL22" s="5"/>
      <c r="BM22" s="40"/>
      <c r="BN22" s="5"/>
      <c r="BO22" s="5"/>
      <c r="BP22" s="40"/>
      <c r="BQ22" s="5"/>
      <c r="BR22" s="5"/>
      <c r="BS22" s="40"/>
      <c r="BT22" s="5"/>
      <c r="BU22" s="5"/>
      <c r="BV22" s="40"/>
      <c r="BW22" s="5"/>
      <c r="BX22" s="5"/>
      <c r="BY22" s="40"/>
      <c r="BZ22" s="5"/>
      <c r="CA22" s="5"/>
      <c r="CB22" s="40"/>
      <c r="CC22" s="5"/>
      <c r="CD22" s="5"/>
      <c r="CE22" s="40"/>
      <c r="CF22" s="5"/>
      <c r="CG22" s="5"/>
      <c r="CH22" s="40"/>
      <c r="CI22" s="5"/>
      <c r="CJ22" s="5"/>
      <c r="CK22" s="40"/>
      <c r="CL22" s="5"/>
      <c r="CM22" s="5"/>
      <c r="CN22" s="40"/>
      <c r="CO22" s="5"/>
      <c r="CP22" s="5"/>
      <c r="CQ22" s="40"/>
      <c r="CR22" s="5"/>
      <c r="CS22" s="5"/>
      <c r="CT22" s="5"/>
      <c r="CU22" s="5"/>
      <c r="CV22" s="5"/>
      <c r="CW22" s="5"/>
      <c r="CX22" s="5"/>
      <c r="CY22" s="5"/>
      <c r="CZ22" s="5"/>
      <c r="DA22" s="5"/>
      <c r="DB22" s="5"/>
      <c r="DC22" s="5"/>
      <c r="DD22" s="5"/>
      <c r="DE22" s="5"/>
      <c r="DF22" s="5"/>
    </row>
    <row r="23">
      <c r="A23" s="19" t="s">
        <v>53</v>
      </c>
      <c r="B23" s="19" t="s">
        <v>54</v>
      </c>
      <c r="C23" s="21">
        <f t="shared" si="65"/>
        <v>9</v>
      </c>
      <c r="D23" s="26">
        <f>IFERROR(__xludf.DUMMYFUNCTION("IF(C23, COUNTIF(FILTER($D$26:$D1007, $A$26:$A1007=A23), TRUE)/C23, 0)"),0.6666666666666666)</f>
        <v>0.6666666667</v>
      </c>
      <c r="E23" s="40">
        <f>IFERROR(__xludf.DUMMYFUNCTION("""COMPUTED_VALUE"""),44358.85282407407)</f>
        <v>44358.85282</v>
      </c>
      <c r="F23" s="5" t="str">
        <f>IFERROR(__xludf.DUMMYFUNCTION("""COMPUTED_VALUE"""),"#TUR players at full time.")</f>
        <v>#TUR players at full time.</v>
      </c>
      <c r="G23" s="39" t="s">
        <v>15</v>
      </c>
      <c r="H23" s="40">
        <f>IFERROR(__xludf.DUMMYFUNCTION("""COMPUTED_VALUE"""),44358.861666666664)</f>
        <v>44358.86167</v>
      </c>
      <c r="I23" s="5" t="str">
        <f>IFERROR(__xludf.DUMMYFUNCTION("""COMPUTED_VALUE"""),"I’ve got Insigne to win the golden boot so kinda wish he’d stayed on. Kebab is not football and is the worst food I ever seen. Bizim Cocuklar #tur. Jorginho has carried on his good form from the Champions League. Playing well for Italy against Turkey. Eur"&amp;"o 2021.")</f>
        <v>I’ve got Insigne to win the golden boot so kinda wish he’d stayed on. Kebab is not football and is the worst food I ever seen. Bizim Cocuklar #tur. Jorginho has carried on his good form from the Champions League. Playing well for Italy against Turkey. Euro 2021.</v>
      </c>
      <c r="J23" s="39" t="s">
        <v>17</v>
      </c>
      <c r="M23" s="5"/>
      <c r="P23" s="5"/>
      <c r="Q23" s="40">
        <f>IFERROR(__xludf.DUMMYFUNCTION("""COMPUTED_VALUE"""),44358.86797453703)</f>
        <v>44358.86797</v>
      </c>
      <c r="R23" s="5" t="str">
        <f>IFERROR(__xludf.DUMMYFUNCTION("""COMPUTED_VALUE"""),"Lorenzo Insigne’s last 12 games for Italy: Goals: 5 ⚽️. Assists: 7 🎯. EURO 2020 #ITA. ITALY LEAD 2-0! 🇮🇹. Ciro Immobile with his first goal of EURO 2020 💥. 🇮🇹 Italy score THREE in a EURO game for the first time! ⚽️⚽️⚽️. #ITA EURO 2020.")</f>
        <v>Lorenzo Insigne’s last 12 games for Italy: Goals: 5 ⚽️. Assists: 7 🎯. EURO 2020 #ITA. ITALY LEAD 2-0! 🇮🇹. Ciro Immobile with his first goal of EURO 2020 💥. 🇮🇹 Italy score THREE in a EURO game for the first time! ⚽️⚽️⚽️. #ITA EURO 2020.</v>
      </c>
      <c r="S23" s="39" t="s">
        <v>18</v>
      </c>
      <c r="V23" s="5"/>
      <c r="Y23" s="5"/>
      <c r="AB23" s="5"/>
      <c r="AE23" s="5"/>
      <c r="AF23" s="40">
        <f>IFERROR(__xludf.DUMMYFUNCTION("""COMPUTED_VALUE"""),44358.85921296296)</f>
        <v>44358.85921</v>
      </c>
      <c r="AG23" s="5" t="str">
        <f>IFERROR(__xludf.DUMMYFUNCTION("""COMPUTED_VALUE"""),"Insigne needs to come to the prem!!!!!! Goal Insigne! Italy now lead Turkey 3-0! 🇮🇹. INSIGNE should have done this in the first half. Seconds later insigne scores 🤦‍♂️ #TURITA. Insigne needed to score after all the short jokes 😭 happy for the guy.")</f>
        <v>Insigne needs to come to the prem!!!!!! Goal Insigne! Italy now lead Turkey 3-0! 🇮🇹. INSIGNE should have done this in the first half. Seconds later insigne scores 🤦‍♂️ #TURITA. Insigne needed to score after all the short jokes 😭 happy for the guy.</v>
      </c>
      <c r="AH23" s="39" t="s">
        <v>17</v>
      </c>
      <c r="AK23" s="5"/>
      <c r="AN23" s="5"/>
      <c r="AO23" s="40"/>
      <c r="AP23" s="5"/>
      <c r="AQ23" s="5"/>
      <c r="AR23" s="40"/>
      <c r="AS23" s="5"/>
      <c r="AT23" s="5"/>
      <c r="AU23" s="40"/>
      <c r="AV23" s="5"/>
      <c r="AW23" s="5"/>
      <c r="AX23" s="40"/>
      <c r="AY23" s="5"/>
      <c r="AZ23" s="5"/>
      <c r="BA23" s="40"/>
      <c r="BB23" s="5"/>
      <c r="BC23" s="5"/>
      <c r="BD23" s="40"/>
      <c r="BE23" s="5"/>
      <c r="BF23" s="5"/>
      <c r="BG23" s="40"/>
      <c r="BH23" s="5"/>
      <c r="BI23" s="5"/>
      <c r="BJ23" s="40"/>
      <c r="BK23" s="5"/>
      <c r="BL23" s="5"/>
      <c r="BM23" s="40"/>
      <c r="BN23" s="5"/>
      <c r="BO23" s="5"/>
      <c r="BP23" s="40"/>
      <c r="BQ23" s="5"/>
      <c r="BR23" s="5"/>
      <c r="BS23" s="40"/>
      <c r="BT23" s="5"/>
      <c r="BU23" s="5"/>
      <c r="BV23" s="40"/>
      <c r="BW23" s="5"/>
      <c r="BX23" s="5"/>
      <c r="BY23" s="40"/>
      <c r="BZ23" s="5"/>
      <c r="CA23" s="5"/>
      <c r="CB23" s="40"/>
      <c r="CC23" s="5"/>
      <c r="CD23" s="5"/>
      <c r="CE23" s="40"/>
      <c r="CF23" s="5"/>
      <c r="CG23" s="5"/>
      <c r="CH23" s="40"/>
      <c r="CI23" s="5"/>
      <c r="CJ23" s="5"/>
      <c r="CK23" s="40"/>
      <c r="CL23" s="5"/>
      <c r="CM23" s="5"/>
      <c r="CN23" s="40"/>
      <c r="CO23" s="5"/>
      <c r="CP23" s="5"/>
      <c r="CQ23" s="40"/>
      <c r="CR23" s="5"/>
      <c r="CS23" s="5"/>
      <c r="CT23" s="5"/>
      <c r="CU23" s="5"/>
      <c r="CV23" s="5"/>
      <c r="CW23" s="5"/>
      <c r="CX23" s="5"/>
      <c r="CY23" s="5"/>
      <c r="CZ23" s="5"/>
      <c r="DA23" s="5"/>
      <c r="DB23" s="5"/>
      <c r="DC23" s="5"/>
      <c r="DD23" s="5"/>
      <c r="DE23" s="5"/>
      <c r="DF23" s="5"/>
    </row>
    <row r="24">
      <c r="A24" s="19"/>
      <c r="B24" s="14" t="s">
        <v>55</v>
      </c>
      <c r="C24" s="34">
        <f>SUM(C20:C23)</f>
        <v>18</v>
      </c>
      <c r="D24" s="26">
        <f>COUNTIF($D$26:$D1007, TRUE)/C24</f>
        <v>0.6111111111</v>
      </c>
      <c r="E24" s="40">
        <f>IFERROR(__xludf.DUMMYFUNCTION("""COMPUTED_VALUE"""),44358.85540509259)</f>
        <v>44358.85541</v>
      </c>
      <c r="F24" s="5" t="str">
        <f>IFERROR(__xludf.DUMMYFUNCTION("""COMPUTED_VALUE"""),"Locatelli, what a player. Locatelli - De Paul - Partey. Midfield goes from ass to class. I'm on my knees Arsenal. Locatelli is a quality player. How dare Mancini take off Locatelli 😂. Locatelli goes off for Cristante. Both Milan Ex Players 🥺.")</f>
        <v>Locatelli, what a player. Locatelli - De Paul - Partey. Midfield goes from ass to class. I'm on my knees Arsenal. Locatelli is a quality player. How dare Mancini take off Locatelli 😂. Locatelli goes off for Cristante. Both Milan Ex Players 🥺.</v>
      </c>
      <c r="G24" s="39" t="s">
        <v>17</v>
      </c>
      <c r="H24" s="40">
        <f>IFERROR(__xludf.DUMMYFUNCTION("""COMPUTED_VALUE"""),44358.86296296296)</f>
        <v>44358.86296</v>
      </c>
      <c r="I24" s="5" t="str">
        <f>IFERROR(__xludf.DUMMYFUNCTION("""COMPUTED_VALUE"""),"Immobile for Lazio: 177 games. 123 goals. 33 assists. All league #ITA. Jorginho has carried on his good form from the Champions League. Playing well for Italy against Turkey. Euro 2021.")</f>
        <v>Immobile for Lazio: 177 games. 123 goals. 33 assists. All league #ITA. Jorginho has carried on his good form from the Champions League. Playing well for Italy against Turkey. Euro 2021.</v>
      </c>
      <c r="J24" s="39" t="s">
        <v>18</v>
      </c>
      <c r="M24" s="5"/>
      <c r="P24" s="5"/>
      <c r="S24" s="5"/>
      <c r="V24" s="5"/>
      <c r="Y24" s="5"/>
      <c r="AB24" s="5"/>
      <c r="AE24" s="5"/>
      <c r="AF24" s="40">
        <f>IFERROR(__xludf.DUMMYFUNCTION("""COMPUTED_VALUE"""),44358.86071759259)</f>
        <v>44358.86072</v>
      </c>
      <c r="AG24" s="5" t="str">
        <f>IFERROR(__xludf.DUMMYFUNCTION("""COMPUTED_VALUE"""),"Insigne was about to be subbed. Oh well it's a game of luck afterall. Phew, Got my Insigne goal just before he got subbed off. Aloooo immobile sub off ☹️. Immobile subbed off 😓. EURO 2020 #ITA. 😭😂Chiesa getting subbed on. I HAD FUCKING INSIGNE BUT SUBB"&amp;"ED HIM OUT I WANNA DIE.")</f>
        <v>Insigne was about to be subbed. Oh well it's a game of luck afterall. Phew, Got my Insigne goal just before he got subbed off. Aloooo immobile sub off ☹️. Immobile subbed off 😓. EURO 2020 #ITA. 😭😂Chiesa getting subbed on. I HAD FUCKING INSIGNE BUT SUBBED HIM OUT I WANNA DIE.</v>
      </c>
      <c r="AH24" s="39" t="s">
        <v>17</v>
      </c>
      <c r="AK24" s="5"/>
      <c r="AN24" s="5"/>
      <c r="AO24" s="40"/>
      <c r="AP24" s="5"/>
      <c r="AQ24" s="5"/>
      <c r="AR24" s="40"/>
      <c r="AS24" s="5"/>
      <c r="AT24" s="5"/>
      <c r="AU24" s="40"/>
      <c r="AV24" s="5"/>
      <c r="AW24" s="5"/>
      <c r="AX24" s="40"/>
      <c r="AY24" s="5"/>
      <c r="AZ24" s="5"/>
      <c r="BA24" s="40"/>
      <c r="BB24" s="5"/>
      <c r="BC24" s="5"/>
      <c r="BD24" s="40"/>
      <c r="BE24" s="5"/>
      <c r="BF24" s="5"/>
      <c r="BG24" s="40"/>
      <c r="BH24" s="5"/>
      <c r="BI24" s="5"/>
      <c r="BJ24" s="40"/>
      <c r="BK24" s="5"/>
      <c r="BL24" s="5"/>
      <c r="BM24" s="40"/>
      <c r="BN24" s="5"/>
      <c r="BO24" s="5"/>
      <c r="BP24" s="40"/>
      <c r="BQ24" s="5"/>
      <c r="BR24" s="5"/>
      <c r="BS24" s="40"/>
      <c r="BT24" s="5"/>
      <c r="BU24" s="5"/>
      <c r="BV24" s="40"/>
      <c r="BW24" s="5"/>
      <c r="BX24" s="5"/>
      <c r="BY24" s="40"/>
      <c r="BZ24" s="5"/>
      <c r="CA24" s="5"/>
      <c r="CB24" s="40"/>
      <c r="CC24" s="5"/>
      <c r="CD24" s="5"/>
      <c r="CE24" s="40"/>
      <c r="CF24" s="5"/>
      <c r="CG24" s="5"/>
      <c r="CH24" s="40"/>
      <c r="CI24" s="5"/>
      <c r="CJ24" s="5"/>
      <c r="CK24" s="40"/>
      <c r="CL24" s="5"/>
      <c r="CM24" s="5"/>
      <c r="CN24" s="40"/>
      <c r="CO24" s="5"/>
      <c r="CP24" s="5"/>
      <c r="CQ24" s="40"/>
      <c r="CR24" s="5"/>
      <c r="CS24" s="5"/>
      <c r="CT24" s="5"/>
      <c r="CU24" s="5"/>
      <c r="CV24" s="5"/>
      <c r="CW24" s="5"/>
      <c r="CX24" s="5"/>
      <c r="CY24" s="5"/>
      <c r="CZ24" s="5"/>
      <c r="DA24" s="5"/>
      <c r="DB24" s="5"/>
      <c r="DC24" s="5"/>
      <c r="DD24" s="5"/>
      <c r="DE24" s="5"/>
      <c r="DF24" s="5"/>
    </row>
    <row r="25">
      <c r="A25" s="14" t="s">
        <v>56</v>
      </c>
      <c r="B25" s="14" t="s">
        <v>57</v>
      </c>
      <c r="C25" s="14" t="s">
        <v>58</v>
      </c>
      <c r="D25" s="32" t="s">
        <v>59</v>
      </c>
      <c r="E25" s="40">
        <f>IFERROR(__xludf.DUMMYFUNCTION("""COMPUTED_VALUE"""),44358.8569212963)</f>
        <v>44358.85692</v>
      </c>
      <c r="F25" s="5" t="str">
        <f>IFERROR(__xludf.DUMMYFUNCTION("""COMPUTED_VALUE"""),"Jorginho has turned into some player since tuchel came in. Jorginho with samba magic what a player. What a player jorginho is. Cesc Fabregas says Jorginho is a good player and part of the reason why he left Chelsea but he’s unsure how he’ll do without N’G"&amp;"olo Kante 👀.")</f>
        <v>Jorginho has turned into some player since tuchel came in. Jorginho with samba magic what a player. What a player jorginho is. Cesc Fabregas says Jorginho is a good player and part of the reason why he left Chelsea but he’s unsure how he’ll do without N’Golo Kante 👀.</v>
      </c>
      <c r="G25" s="39" t="s">
        <v>16</v>
      </c>
      <c r="H25" s="40">
        <f>IFERROR(__xludf.DUMMYFUNCTION("""COMPUTED_VALUE"""),44358.865636574075)</f>
        <v>44358.86564</v>
      </c>
      <c r="I25" s="5" t="str">
        <f>IFERROR(__xludf.DUMMYFUNCTION("""COMPUTED_VALUE"""),"It’s painful watching Bernardeschi play football. Bernardeschi is lucky we are 3-0 , oml he’s pissing me off and we are winning ffs. Barella is a smashing footballer. In the Premier League that's a red card for that foul on Barella. Barella broken tibia? "&amp;"A win in my book.")</f>
        <v>It’s painful watching Bernardeschi play football. Bernardeschi is lucky we are 3-0 , oml he’s pissing me off and we are winning ffs. Barella is a smashing footballer. In the Premier League that's a red card for that foul on Barella. Barella broken tibia? A win in my book.</v>
      </c>
      <c r="J25" s="39" t="s">
        <v>15</v>
      </c>
      <c r="M25" s="5"/>
      <c r="P25" s="5"/>
      <c r="S25" s="5"/>
      <c r="V25" s="5"/>
      <c r="Y25" s="5"/>
      <c r="AB25" s="5"/>
      <c r="AE25" s="5"/>
      <c r="AH25" s="5"/>
      <c r="AK25" s="5"/>
      <c r="AN25" s="5"/>
      <c r="AO25" s="40"/>
      <c r="AP25" s="5"/>
      <c r="AQ25" s="5"/>
      <c r="AR25" s="40"/>
      <c r="AS25" s="5"/>
      <c r="AT25" s="5"/>
      <c r="AU25" s="40"/>
      <c r="AV25" s="5"/>
      <c r="AW25" s="5"/>
      <c r="AX25" s="40"/>
      <c r="AY25" s="5"/>
      <c r="AZ25" s="5"/>
      <c r="BA25" s="40"/>
      <c r="BB25" s="5"/>
      <c r="BC25" s="5"/>
      <c r="BD25" s="40"/>
      <c r="BE25" s="5"/>
      <c r="BF25" s="5"/>
      <c r="BG25" s="40"/>
      <c r="BH25" s="5"/>
      <c r="BI25" s="5"/>
      <c r="BJ25" s="40"/>
      <c r="BK25" s="5"/>
      <c r="BL25" s="5"/>
      <c r="BM25" s="40"/>
      <c r="BN25" s="5"/>
      <c r="BO25" s="5"/>
      <c r="BP25" s="40"/>
      <c r="BQ25" s="5"/>
      <c r="BR25" s="5"/>
      <c r="BS25" s="40"/>
      <c r="BT25" s="5"/>
      <c r="BU25" s="5"/>
      <c r="BV25" s="40"/>
      <c r="BW25" s="5"/>
      <c r="BX25" s="5"/>
      <c r="BY25" s="40"/>
      <c r="BZ25" s="5"/>
      <c r="CA25" s="5"/>
      <c r="CB25" s="40"/>
      <c r="CC25" s="5"/>
      <c r="CD25" s="5"/>
      <c r="CE25" s="40"/>
      <c r="CF25" s="5"/>
      <c r="CG25" s="5"/>
      <c r="CH25" s="40"/>
      <c r="CI25" s="5"/>
      <c r="CJ25" s="5"/>
      <c r="CK25" s="40"/>
      <c r="CL25" s="5"/>
      <c r="CM25" s="5"/>
      <c r="CN25" s="40"/>
      <c r="CO25" s="5"/>
      <c r="CP25" s="5"/>
      <c r="CQ25" s="40"/>
      <c r="CR25" s="5"/>
      <c r="CS25" s="5"/>
      <c r="CT25" s="5"/>
      <c r="CU25" s="5"/>
      <c r="CV25" s="5"/>
      <c r="CW25" s="5"/>
      <c r="CX25" s="5"/>
      <c r="CY25" s="5"/>
      <c r="CZ25" s="5"/>
      <c r="DA25" s="5"/>
      <c r="DB25" s="5"/>
      <c r="DC25" s="5"/>
      <c r="DD25" s="5"/>
      <c r="DE25" s="5"/>
      <c r="DF25" s="5"/>
    </row>
    <row r="26">
      <c r="A26" s="19" t="s">
        <v>51</v>
      </c>
      <c r="B26" s="19" t="s">
        <v>60</v>
      </c>
      <c r="C26" s="21">
        <v>1.0</v>
      </c>
      <c r="D26" s="35" t="b">
        <v>0</v>
      </c>
      <c r="E26" s="40">
        <f>IFERROR(__xludf.DUMMYFUNCTION("""COMPUTED_VALUE"""),44358.858136574076)</f>
        <v>44358.85814</v>
      </c>
      <c r="F26" s="5" t="str">
        <f>IFERROR(__xludf.DUMMYFUNCTION("""COMPUTED_VALUE"""),"How has Insigne managed to be the worst player on the pitch in a game where the opposition have touched the ball about 4 times. Spinazzola and Immobile are the only players playing football tonight. Insigne is the best player in the world.")</f>
        <v>How has Insigne managed to be the worst player on the pitch in a game where the opposition have touched the ball about 4 times. Spinazzola and Immobile are the only players playing football tonight. Insigne is the best player in the world.</v>
      </c>
      <c r="G26" s="39" t="s">
        <v>16</v>
      </c>
      <c r="H26" s="40">
        <f>IFERROR(__xludf.DUMMYFUNCTION("""COMPUTED_VALUE"""),44358.86675925926)</f>
        <v>44358.86676</v>
      </c>
      <c r="I26" s="5" t="str">
        <f>IFERROR(__xludf.DUMMYFUNCTION("""COMPUTED_VALUE"""),"In Football Manager Italy lose this game 1-0 #TURITA. Jorginho prop, finally. Barella broken tibia? A win in my book. Jorginho and Barella absolutely class controlling the tempo of the game from the midfield in this game. Brilliant football.")</f>
        <v>In Football Manager Italy lose this game 1-0 #TURITA. Jorginho prop, finally. Barella broken tibia? A win in my book. Jorginho and Barella absolutely class controlling the tempo of the game from the midfield in this game. Brilliant football.</v>
      </c>
      <c r="J26" s="39" t="s">
        <v>16</v>
      </c>
      <c r="M26" s="5"/>
      <c r="P26" s="5"/>
      <c r="S26" s="5"/>
      <c r="V26" s="5"/>
      <c r="Y26" s="5"/>
      <c r="AB26" s="5"/>
      <c r="AE26" s="5"/>
      <c r="AH26" s="5"/>
      <c r="AK26" s="5"/>
      <c r="AN26" s="5"/>
      <c r="AO26" s="40"/>
      <c r="AP26" s="5"/>
      <c r="AQ26" s="5"/>
      <c r="AR26" s="40"/>
      <c r="AS26" s="5"/>
      <c r="AT26" s="5"/>
      <c r="AU26" s="40"/>
      <c r="AV26" s="5"/>
      <c r="AW26" s="5"/>
      <c r="AX26" s="40"/>
      <c r="AY26" s="5"/>
      <c r="AZ26" s="5"/>
      <c r="BA26" s="40"/>
      <c r="BB26" s="5"/>
      <c r="BC26" s="5"/>
      <c r="BD26" s="40"/>
      <c r="BE26" s="5"/>
      <c r="BF26" s="5"/>
      <c r="BG26" s="40"/>
      <c r="BH26" s="5"/>
      <c r="BI26" s="5"/>
      <c r="BJ26" s="40"/>
      <c r="BK26" s="5"/>
      <c r="BL26" s="5"/>
      <c r="BM26" s="40"/>
      <c r="BN26" s="5"/>
      <c r="BO26" s="5"/>
      <c r="BP26" s="40"/>
      <c r="BQ26" s="5"/>
      <c r="BR26" s="5"/>
      <c r="BS26" s="40"/>
      <c r="BT26" s="5"/>
      <c r="BU26" s="5"/>
      <c r="BV26" s="40"/>
      <c r="BW26" s="5"/>
      <c r="BX26" s="5"/>
      <c r="BY26" s="40"/>
      <c r="BZ26" s="5"/>
      <c r="CA26" s="5"/>
      <c r="CB26" s="40"/>
      <c r="CC26" s="5"/>
      <c r="CD26" s="5"/>
      <c r="CE26" s="40"/>
      <c r="CF26" s="5"/>
      <c r="CG26" s="5"/>
      <c r="CH26" s="40"/>
      <c r="CI26" s="5"/>
      <c r="CJ26" s="5"/>
      <c r="CK26" s="40"/>
      <c r="CL26" s="5"/>
      <c r="CM26" s="5"/>
      <c r="CN26" s="40"/>
      <c r="CO26" s="5"/>
      <c r="CP26" s="5"/>
      <c r="CQ26" s="40"/>
      <c r="CR26" s="5"/>
      <c r="CS26" s="5"/>
      <c r="CT26" s="5"/>
      <c r="CU26" s="5"/>
      <c r="CV26" s="5"/>
      <c r="CW26" s="5"/>
      <c r="CX26" s="5"/>
      <c r="CY26" s="5"/>
      <c r="CZ26" s="5"/>
      <c r="DA26" s="5"/>
      <c r="DB26" s="5"/>
      <c r="DC26" s="5"/>
      <c r="DD26" s="5"/>
      <c r="DE26" s="5"/>
      <c r="DF26" s="5"/>
    </row>
    <row r="27">
      <c r="A27" s="19" t="s">
        <v>51</v>
      </c>
      <c r="B27" s="19" t="s">
        <v>64</v>
      </c>
      <c r="C27" s="21">
        <v>45.0</v>
      </c>
      <c r="D27" s="35" t="b">
        <v>1</v>
      </c>
      <c r="E27" s="40">
        <f>IFERROR(__xludf.DUMMYFUNCTION("""COMPUTED_VALUE"""),44358.86494212963)</f>
        <v>44358.86494</v>
      </c>
      <c r="F27" s="5" t="str">
        <f>IFERROR(__xludf.DUMMYFUNCTION("""COMPUTED_VALUE"""),"Bernardeschi in, 4 Juve players on pitch for Italy.. #ITA. Bernardeschi wallah you're not a player. Bernardeschi is so bad I can’t take it. Barella. What a player. Bernardeschi and castillejo are the same player. Bernardeschi is by far the worst player on"&amp;" #ITA.")</f>
        <v>Bernardeschi in, 4 Juve players on pitch for Italy.. #ITA. Bernardeschi wallah you're not a player. Bernardeschi is so bad I can’t take it. Barella. What a player. Bernardeschi and castillejo are the same player. Bernardeschi is by far the worst player on #ITA.</v>
      </c>
      <c r="G27" s="39" t="s">
        <v>17</v>
      </c>
      <c r="H27" s="40">
        <f>IFERROR(__xludf.DUMMYFUNCTION("""COMPUTED_VALUE"""),44358.86828703704)</f>
        <v>44358.86829</v>
      </c>
      <c r="I27" s="5" t="str">
        <f>IFERROR(__xludf.DUMMYFUNCTION("""COMPUTED_VALUE"""),"Mancini win will be delightful. Nico barella makes football look so easy. This keeper has the worst feet I've ever seen. Like his first day with a football at his feet! 🤦 #TUR #ITATUR. 28 matches unbeaten. Eased to a 3-0 win on the opening day of EURO 20"&amp;"20. #ITA are all business..")</f>
        <v>Mancini win will be delightful. Nico barella makes football look so easy. This keeper has the worst feet I've ever seen. Like his first day with a football at his feet! 🤦 #TUR #ITATUR. 28 matches unbeaten. Eased to a 3-0 win on the opening day of EURO 2020. #ITA are all business..</v>
      </c>
      <c r="J27" s="39" t="s">
        <v>17</v>
      </c>
      <c r="M27" s="5"/>
      <c r="P27" s="5"/>
      <c r="S27" s="5"/>
      <c r="V27" s="5"/>
      <c r="Y27" s="5"/>
      <c r="AB27" s="5"/>
      <c r="AE27" s="5"/>
      <c r="AH27" s="5"/>
      <c r="AK27" s="5"/>
      <c r="AN27" s="5"/>
      <c r="AO27" s="40"/>
      <c r="AP27" s="5"/>
      <c r="AQ27" s="5"/>
      <c r="AR27" s="40"/>
      <c r="AS27" s="5"/>
      <c r="AT27" s="5"/>
      <c r="AU27" s="40"/>
      <c r="AV27" s="5"/>
      <c r="AW27" s="5"/>
      <c r="AX27" s="40"/>
      <c r="AY27" s="5"/>
      <c r="AZ27" s="5"/>
      <c r="BA27" s="40"/>
      <c r="BB27" s="5"/>
      <c r="BC27" s="5"/>
      <c r="BD27" s="40"/>
      <c r="BE27" s="5"/>
      <c r="BF27" s="5"/>
      <c r="BG27" s="40"/>
      <c r="BH27" s="5"/>
      <c r="BI27" s="5"/>
      <c r="BJ27" s="40"/>
      <c r="BK27" s="5"/>
      <c r="BL27" s="5"/>
      <c r="BM27" s="40"/>
      <c r="BN27" s="5"/>
      <c r="BO27" s="5"/>
      <c r="BP27" s="40"/>
      <c r="BQ27" s="5"/>
      <c r="BR27" s="5"/>
      <c r="BS27" s="40"/>
      <c r="BT27" s="5"/>
      <c r="BU27" s="5"/>
      <c r="BV27" s="40"/>
      <c r="BW27" s="5"/>
      <c r="BX27" s="5"/>
      <c r="BY27" s="40"/>
      <c r="BZ27" s="5"/>
      <c r="CA27" s="5"/>
      <c r="CB27" s="40"/>
      <c r="CC27" s="5"/>
      <c r="CD27" s="5"/>
      <c r="CE27" s="40"/>
      <c r="CF27" s="5"/>
      <c r="CG27" s="5"/>
      <c r="CH27" s="40"/>
      <c r="CI27" s="5"/>
      <c r="CJ27" s="5"/>
      <c r="CK27" s="40"/>
      <c r="CL27" s="5"/>
      <c r="CM27" s="5"/>
      <c r="CN27" s="40"/>
      <c r="CO27" s="5"/>
      <c r="CP27" s="5"/>
      <c r="CQ27" s="40"/>
      <c r="CR27" s="5"/>
      <c r="CS27" s="5"/>
      <c r="CT27" s="5"/>
      <c r="CU27" s="5"/>
      <c r="CV27" s="5"/>
      <c r="CW27" s="5"/>
      <c r="CX27" s="5"/>
      <c r="CY27" s="5"/>
      <c r="CZ27" s="5"/>
      <c r="DA27" s="5"/>
      <c r="DB27" s="5"/>
      <c r="DC27" s="5"/>
      <c r="DD27" s="5"/>
      <c r="DE27" s="5"/>
      <c r="DF27" s="5"/>
    </row>
    <row r="28">
      <c r="A28" s="19" t="s">
        <v>51</v>
      </c>
      <c r="B28" s="19" t="s">
        <v>65</v>
      </c>
      <c r="C28" s="21">
        <v>45.0</v>
      </c>
      <c r="D28" s="35" t="b">
        <v>0</v>
      </c>
      <c r="E28" s="40">
        <f>IFERROR(__xludf.DUMMYFUNCTION("""COMPUTED_VALUE"""),44358.86876157408)</f>
        <v>44358.86876</v>
      </c>
      <c r="F28" s="5" t="str">
        <f>IFERROR(__xludf.DUMMYFUNCTION("""COMPUTED_VALUE"""),"Giorgio Chiellini, take a fucking bow! Euro 2020. Chiellini what a player, like wine better with EURO 2020. What a player Chiellini still is #ITA. Chiellini taking goal kicks is exactly the sort of thing the Euros is all about. Spinazzola football player "&amp;"of the day.")</f>
        <v>Giorgio Chiellini, take a fucking bow! Euro 2020. Chiellini what a player, like wine better with EURO 2020. What a player Chiellini still is #ITA. Chiellini taking goal kicks is exactly the sort of thing the Euros is all about. Spinazzola football player of the day.</v>
      </c>
      <c r="G28" s="39" t="s">
        <v>15</v>
      </c>
      <c r="H28" s="40">
        <f>IFERROR(__xludf.DUMMYFUNCTION("""COMPUTED_VALUE"""),44358.87290509259)</f>
        <v>44358.87291</v>
      </c>
      <c r="I28" s="5" t="str">
        <f>IFERROR(__xludf.DUMMYFUNCTION("""COMPUTED_VALUE"""),"Jorginho might win the euros for Italy aw by himself. Chiellini's joy at saving the clean sheet with that tackle in the final minute might have been even better than Italy's goals.")</f>
        <v>Jorginho might win the euros for Italy aw by himself. Chiellini's joy at saving the clean sheet with that tackle in the final minute might have been even better than Italy's goals.</v>
      </c>
      <c r="J28" s="5"/>
      <c r="M28" s="5"/>
      <c r="P28" s="5"/>
      <c r="S28" s="5"/>
      <c r="V28" s="5"/>
      <c r="Y28" s="5"/>
      <c r="AB28" s="5"/>
      <c r="AE28" s="5"/>
      <c r="AH28" s="5"/>
      <c r="AK28" s="5"/>
      <c r="AN28" s="5"/>
      <c r="AO28" s="40"/>
      <c r="AP28" s="5"/>
      <c r="AQ28" s="5"/>
      <c r="AR28" s="40"/>
      <c r="AS28" s="5"/>
      <c r="AT28" s="5"/>
      <c r="AU28" s="40"/>
      <c r="AV28" s="5"/>
      <c r="AW28" s="5"/>
      <c r="AX28" s="40"/>
      <c r="AY28" s="5"/>
      <c r="AZ28" s="5"/>
      <c r="BA28" s="40"/>
      <c r="BB28" s="5"/>
      <c r="BC28" s="5"/>
      <c r="BD28" s="40"/>
      <c r="BE28" s="5"/>
      <c r="BF28" s="5"/>
      <c r="BG28" s="40"/>
      <c r="BH28" s="5"/>
      <c r="BI28" s="5"/>
      <c r="BJ28" s="40"/>
      <c r="BK28" s="5"/>
      <c r="BL28" s="5"/>
      <c r="BM28" s="40"/>
      <c r="BN28" s="5"/>
      <c r="BO28" s="5"/>
      <c r="BP28" s="40"/>
      <c r="BQ28" s="5"/>
      <c r="BR28" s="5"/>
      <c r="BS28" s="40"/>
      <c r="BT28" s="5"/>
      <c r="BU28" s="5"/>
      <c r="BV28" s="40"/>
      <c r="BW28" s="5"/>
      <c r="BX28" s="5"/>
      <c r="BY28" s="40"/>
      <c r="BZ28" s="5"/>
      <c r="CA28" s="5"/>
      <c r="CB28" s="40"/>
      <c r="CC28" s="5"/>
      <c r="CD28" s="5"/>
      <c r="CE28" s="40"/>
      <c r="CF28" s="5"/>
      <c r="CG28" s="5"/>
      <c r="CH28" s="40"/>
      <c r="CI28" s="5"/>
      <c r="CJ28" s="5"/>
      <c r="CK28" s="40"/>
      <c r="CL28" s="5"/>
      <c r="CM28" s="5"/>
      <c r="CN28" s="40"/>
      <c r="CO28" s="5"/>
      <c r="CP28" s="5"/>
      <c r="CQ28" s="40"/>
      <c r="CR28" s="5"/>
      <c r="CS28" s="5"/>
      <c r="CT28" s="5"/>
      <c r="CU28" s="5"/>
      <c r="CV28" s="5"/>
      <c r="CW28" s="5"/>
      <c r="CX28" s="5"/>
      <c r="CY28" s="5"/>
      <c r="CZ28" s="5"/>
      <c r="DA28" s="5"/>
      <c r="DB28" s="5"/>
      <c r="DC28" s="5"/>
      <c r="DD28" s="5"/>
      <c r="DE28" s="5"/>
      <c r="DF28" s="5"/>
    </row>
    <row r="29">
      <c r="A29" s="19" t="s">
        <v>53</v>
      </c>
      <c r="B29" s="19" t="s">
        <v>547</v>
      </c>
      <c r="C29" s="21">
        <v>46.0</v>
      </c>
      <c r="D29" s="35" t="b">
        <v>1</v>
      </c>
      <c r="E29" s="40">
        <f>IFERROR(__xludf.DUMMYFUNCTION("""COMPUTED_VALUE"""),44358.87140046296)</f>
        <v>44358.8714</v>
      </c>
      <c r="F29" s="5" t="str">
        <f>IFERROR(__xludf.DUMMYFUNCTION("""COMPUTED_VALUE"""),"Jorginho what a player. Jorginho is an extremely intelligent player. Cesc Fabregas says Jorginho is a good player and part of the reason why he left Chelsea but he’s unsure how he’ll do without N’Golo Kante 👀. Jorginho was cooking tonight, star player.")</f>
        <v>Jorginho what a player. Jorginho is an extremely intelligent player. Cesc Fabregas says Jorginho is a good player and part of the reason why he left Chelsea but he’s unsure how he’ll do without N’Golo Kante 👀. Jorginho was cooking tonight, star player.</v>
      </c>
      <c r="G29" s="5"/>
      <c r="J29" s="5"/>
      <c r="M29" s="5"/>
      <c r="P29" s="5"/>
      <c r="S29" s="5"/>
      <c r="V29" s="5"/>
      <c r="Y29" s="5"/>
      <c r="AB29" s="5"/>
      <c r="AE29" s="5"/>
      <c r="AH29" s="5"/>
      <c r="AK29" s="5"/>
      <c r="AN29" s="5"/>
      <c r="AO29" s="40"/>
      <c r="AP29" s="5"/>
      <c r="AQ29" s="5"/>
      <c r="AR29" s="40"/>
      <c r="AS29" s="5"/>
      <c r="AT29" s="5"/>
      <c r="AU29" s="40"/>
      <c r="AV29" s="5"/>
      <c r="AW29" s="5"/>
      <c r="AX29" s="40"/>
      <c r="AY29" s="5"/>
      <c r="AZ29" s="5"/>
      <c r="BA29" s="40"/>
      <c r="BB29" s="5"/>
      <c r="BC29" s="5"/>
      <c r="BD29" s="40"/>
      <c r="BE29" s="5"/>
      <c r="BF29" s="5"/>
      <c r="BG29" s="40"/>
      <c r="BH29" s="5"/>
      <c r="BI29" s="5"/>
      <c r="BJ29" s="40"/>
      <c r="BK29" s="5"/>
      <c r="BL29" s="5"/>
      <c r="BM29" s="40"/>
      <c r="BN29" s="5"/>
      <c r="BO29" s="5"/>
      <c r="BP29" s="40"/>
      <c r="BQ29" s="5"/>
      <c r="BR29" s="5"/>
      <c r="BS29" s="40"/>
      <c r="BT29" s="5"/>
      <c r="BU29" s="5"/>
      <c r="BV29" s="40"/>
      <c r="BW29" s="5"/>
      <c r="BX29" s="5"/>
      <c r="BY29" s="40"/>
      <c r="BZ29" s="5"/>
      <c r="CA29" s="5"/>
      <c r="CB29" s="40"/>
      <c r="CC29" s="5"/>
      <c r="CD29" s="5"/>
      <c r="CE29" s="40"/>
      <c r="CF29" s="5"/>
      <c r="CG29" s="5"/>
      <c r="CH29" s="40"/>
      <c r="CI29" s="5"/>
      <c r="CJ29" s="5"/>
      <c r="CK29" s="40"/>
      <c r="CL29" s="5"/>
      <c r="CM29" s="5"/>
      <c r="CN29" s="40"/>
      <c r="CO29" s="5"/>
      <c r="CP29" s="5"/>
      <c r="CQ29" s="40"/>
      <c r="CR29" s="5"/>
      <c r="CS29" s="5"/>
      <c r="CT29" s="5"/>
      <c r="CU29" s="5"/>
      <c r="CV29" s="5"/>
      <c r="CW29" s="5"/>
      <c r="CX29" s="5"/>
      <c r="CY29" s="5"/>
      <c r="CZ29" s="5"/>
      <c r="DA29" s="5"/>
      <c r="DB29" s="5"/>
      <c r="DC29" s="5"/>
      <c r="DD29" s="5"/>
      <c r="DE29" s="5"/>
      <c r="DF29" s="5"/>
    </row>
    <row r="30">
      <c r="A30" s="19" t="s">
        <v>53</v>
      </c>
      <c r="B30" s="19" t="s">
        <v>548</v>
      </c>
      <c r="C30" s="21">
        <v>46.0</v>
      </c>
      <c r="D30" s="35" t="b">
        <v>1</v>
      </c>
      <c r="G30" s="5"/>
      <c r="J30" s="5"/>
      <c r="M30" s="5"/>
      <c r="P30" s="5"/>
      <c r="S30" s="5"/>
      <c r="V30" s="5"/>
      <c r="Y30" s="5"/>
      <c r="AB30" s="5"/>
      <c r="AE30" s="5"/>
      <c r="AH30" s="5"/>
      <c r="AK30" s="5"/>
      <c r="AN30" s="5"/>
      <c r="AO30" s="40"/>
      <c r="AP30" s="5"/>
      <c r="AQ30" s="5"/>
      <c r="AR30" s="40"/>
      <c r="AS30" s="5"/>
      <c r="AT30" s="5"/>
      <c r="AU30" s="40"/>
      <c r="AV30" s="5"/>
      <c r="AW30" s="5"/>
      <c r="AX30" s="40"/>
      <c r="AY30" s="5"/>
      <c r="AZ30" s="5"/>
      <c r="BA30" s="40"/>
      <c r="BB30" s="5"/>
      <c r="BC30" s="5"/>
      <c r="BD30" s="40"/>
      <c r="BE30" s="5"/>
      <c r="BF30" s="5"/>
      <c r="BG30" s="40"/>
      <c r="BH30" s="5"/>
      <c r="BI30" s="5"/>
      <c r="BJ30" s="40"/>
      <c r="BK30" s="5"/>
      <c r="BL30" s="5"/>
      <c r="BM30" s="40"/>
      <c r="BN30" s="5"/>
      <c r="BO30" s="5"/>
      <c r="BP30" s="40"/>
      <c r="BQ30" s="5"/>
      <c r="BR30" s="5"/>
      <c r="BS30" s="40"/>
      <c r="BT30" s="5"/>
      <c r="BU30" s="5"/>
      <c r="BV30" s="40"/>
      <c r="BW30" s="5"/>
      <c r="BX30" s="5"/>
      <c r="BY30" s="40"/>
      <c r="BZ30" s="5"/>
      <c r="CA30" s="5"/>
      <c r="CB30" s="40"/>
      <c r="CC30" s="5"/>
      <c r="CD30" s="5"/>
      <c r="CE30" s="40"/>
      <c r="CF30" s="5"/>
      <c r="CG30" s="5"/>
      <c r="CH30" s="40"/>
      <c r="CI30" s="5"/>
      <c r="CJ30" s="5"/>
      <c r="CK30" s="40"/>
      <c r="CL30" s="5"/>
      <c r="CM30" s="5"/>
      <c r="CN30" s="40"/>
      <c r="CO30" s="5"/>
      <c r="CP30" s="5"/>
      <c r="CQ30" s="40"/>
      <c r="CR30" s="5"/>
      <c r="CS30" s="5"/>
      <c r="CT30" s="5"/>
      <c r="CU30" s="5"/>
      <c r="CV30" s="5"/>
      <c r="CW30" s="5"/>
      <c r="CX30" s="5"/>
      <c r="CY30" s="5"/>
      <c r="CZ30" s="5"/>
      <c r="DA30" s="5"/>
      <c r="DB30" s="5"/>
      <c r="DC30" s="5"/>
      <c r="DD30" s="5"/>
      <c r="DE30" s="5"/>
      <c r="DF30" s="5"/>
    </row>
    <row r="31">
      <c r="A31" s="19" t="s">
        <v>47</v>
      </c>
      <c r="B31" s="19" t="s">
        <v>549</v>
      </c>
      <c r="C31" s="21">
        <v>53.0</v>
      </c>
      <c r="D31" s="35" t="b">
        <v>1</v>
      </c>
      <c r="G31" s="5"/>
      <c r="J31" s="5"/>
      <c r="M31" s="5"/>
      <c r="P31" s="5"/>
      <c r="S31" s="5"/>
      <c r="V31" s="5"/>
      <c r="Y31" s="5"/>
      <c r="AB31" s="5"/>
      <c r="AE31" s="5"/>
      <c r="AH31" s="5"/>
      <c r="AK31" s="5"/>
      <c r="AN31" s="5"/>
      <c r="AO31" s="40"/>
      <c r="AP31" s="5"/>
      <c r="AQ31" s="5"/>
      <c r="AR31" s="40"/>
      <c r="AS31" s="5"/>
      <c r="AT31" s="5"/>
      <c r="AU31" s="40"/>
      <c r="AV31" s="5"/>
      <c r="AW31" s="5"/>
      <c r="AX31" s="40"/>
      <c r="AY31" s="5"/>
      <c r="AZ31" s="5"/>
      <c r="BA31" s="40"/>
      <c r="BB31" s="5"/>
      <c r="BC31" s="5"/>
      <c r="BD31" s="40"/>
      <c r="BE31" s="5"/>
      <c r="BF31" s="5"/>
      <c r="BG31" s="40"/>
      <c r="BH31" s="5"/>
      <c r="BI31" s="5"/>
      <c r="BJ31" s="40"/>
      <c r="BK31" s="5"/>
      <c r="BL31" s="5"/>
      <c r="BM31" s="40"/>
      <c r="BN31" s="5"/>
      <c r="BO31" s="5"/>
      <c r="BP31" s="40"/>
      <c r="BQ31" s="5"/>
      <c r="BR31" s="5"/>
      <c r="BS31" s="40"/>
      <c r="BT31" s="5"/>
      <c r="BU31" s="5"/>
      <c r="BV31" s="40"/>
      <c r="BW31" s="5"/>
      <c r="BX31" s="5"/>
      <c r="BY31" s="40"/>
      <c r="BZ31" s="5"/>
      <c r="CA31" s="5"/>
      <c r="CB31" s="40"/>
      <c r="CC31" s="5"/>
      <c r="CD31" s="5"/>
      <c r="CE31" s="40"/>
      <c r="CF31" s="5"/>
      <c r="CG31" s="5"/>
      <c r="CH31" s="40"/>
      <c r="CI31" s="5"/>
      <c r="CJ31" s="5"/>
      <c r="CK31" s="40"/>
      <c r="CL31" s="5"/>
      <c r="CM31" s="5"/>
      <c r="CN31" s="40"/>
      <c r="CO31" s="5"/>
      <c r="CP31" s="5"/>
      <c r="CQ31" s="40"/>
      <c r="CR31" s="5"/>
      <c r="CS31" s="5"/>
      <c r="CT31" s="5"/>
      <c r="CU31" s="5"/>
      <c r="CV31" s="5"/>
      <c r="CW31" s="5"/>
      <c r="CX31" s="5"/>
      <c r="CY31" s="5"/>
      <c r="CZ31" s="5"/>
      <c r="DA31" s="5"/>
      <c r="DB31" s="5"/>
      <c r="DC31" s="5"/>
      <c r="DD31" s="5"/>
      <c r="DE31" s="5"/>
      <c r="DF31" s="5"/>
    </row>
    <row r="32">
      <c r="A32" s="19" t="s">
        <v>53</v>
      </c>
      <c r="B32" s="42" t="s">
        <v>550</v>
      </c>
      <c r="C32" s="21">
        <v>64.0</v>
      </c>
      <c r="D32" s="35" t="b">
        <v>0</v>
      </c>
      <c r="G32" s="5"/>
      <c r="J32" s="5"/>
      <c r="M32" s="5"/>
      <c r="P32" s="5"/>
      <c r="S32" s="5"/>
      <c r="V32" s="5"/>
      <c r="Y32" s="5"/>
      <c r="AB32" s="5"/>
      <c r="AE32" s="5"/>
      <c r="AH32" s="5"/>
      <c r="AK32" s="5"/>
      <c r="AN32" s="5"/>
      <c r="AO32" s="40"/>
      <c r="AP32" s="5"/>
      <c r="AQ32" s="5"/>
      <c r="AR32" s="40"/>
      <c r="AS32" s="5"/>
      <c r="AT32" s="5"/>
      <c r="AU32" s="40"/>
      <c r="AV32" s="5"/>
      <c r="AW32" s="5"/>
      <c r="AX32" s="40"/>
      <c r="AY32" s="5"/>
      <c r="AZ32" s="5"/>
      <c r="BA32" s="40"/>
      <c r="BB32" s="5"/>
      <c r="BC32" s="5"/>
      <c r="BD32" s="40"/>
      <c r="BE32" s="5"/>
      <c r="BF32" s="5"/>
      <c r="BG32" s="40"/>
      <c r="BH32" s="5"/>
      <c r="BI32" s="5"/>
      <c r="BJ32" s="40"/>
      <c r="BK32" s="5"/>
      <c r="BL32" s="5"/>
      <c r="BM32" s="40"/>
      <c r="BN32" s="5"/>
      <c r="BO32" s="5"/>
      <c r="BP32" s="40"/>
      <c r="BQ32" s="5"/>
      <c r="BR32" s="5"/>
      <c r="BS32" s="40"/>
      <c r="BT32" s="5"/>
      <c r="BU32" s="5"/>
      <c r="BV32" s="40"/>
      <c r="BW32" s="5"/>
      <c r="BX32" s="5"/>
      <c r="BY32" s="40"/>
      <c r="BZ32" s="5"/>
      <c r="CA32" s="5"/>
      <c r="CB32" s="40"/>
      <c r="CC32" s="5"/>
      <c r="CD32" s="5"/>
      <c r="CE32" s="40"/>
      <c r="CF32" s="5"/>
      <c r="CG32" s="5"/>
      <c r="CH32" s="40"/>
      <c r="CI32" s="5"/>
      <c r="CJ32" s="5"/>
      <c r="CK32" s="40"/>
      <c r="CL32" s="5"/>
      <c r="CM32" s="5"/>
      <c r="CN32" s="40"/>
      <c r="CO32" s="5"/>
      <c r="CP32" s="5"/>
      <c r="CQ32" s="40"/>
      <c r="CR32" s="5"/>
      <c r="CS32" s="5"/>
      <c r="CT32" s="5"/>
      <c r="CU32" s="5"/>
      <c r="CV32" s="5"/>
      <c r="CW32" s="5"/>
      <c r="CX32" s="5"/>
      <c r="CY32" s="5"/>
      <c r="CZ32" s="5"/>
      <c r="DA32" s="5"/>
      <c r="DB32" s="5"/>
      <c r="DC32" s="5"/>
      <c r="DD32" s="5"/>
      <c r="DE32" s="5"/>
      <c r="DF32" s="5"/>
    </row>
    <row r="33">
      <c r="A33" s="19" t="s">
        <v>53</v>
      </c>
      <c r="B33" s="42" t="s">
        <v>551</v>
      </c>
      <c r="C33" s="21">
        <v>65.0</v>
      </c>
      <c r="D33" s="35" t="b">
        <v>0</v>
      </c>
      <c r="G33" s="5"/>
      <c r="J33" s="5"/>
      <c r="M33" s="5"/>
      <c r="P33" s="5"/>
      <c r="S33" s="5"/>
      <c r="V33" s="5"/>
      <c r="Y33" s="5"/>
      <c r="AB33" s="5"/>
      <c r="AE33" s="5"/>
      <c r="AH33" s="5"/>
      <c r="AK33" s="5"/>
      <c r="AN33" s="5"/>
      <c r="AO33" s="40"/>
      <c r="AP33" s="5"/>
      <c r="AQ33" s="5"/>
      <c r="AR33" s="40"/>
      <c r="AS33" s="5"/>
      <c r="AT33" s="5"/>
      <c r="AU33" s="40"/>
      <c r="AV33" s="5"/>
      <c r="AW33" s="5"/>
      <c r="AX33" s="40"/>
      <c r="AY33" s="5"/>
      <c r="AZ33" s="5"/>
      <c r="BA33" s="40"/>
      <c r="BB33" s="5"/>
      <c r="BC33" s="5"/>
      <c r="BD33" s="40"/>
      <c r="BE33" s="5"/>
      <c r="BF33" s="5"/>
      <c r="BG33" s="40"/>
      <c r="BH33" s="5"/>
      <c r="BI33" s="5"/>
      <c r="BJ33" s="40"/>
      <c r="BK33" s="5"/>
      <c r="BL33" s="5"/>
      <c r="BM33" s="40"/>
      <c r="BN33" s="5"/>
      <c r="BO33" s="5"/>
      <c r="BP33" s="40"/>
      <c r="BQ33" s="5"/>
      <c r="BR33" s="5"/>
      <c r="BS33" s="40"/>
      <c r="BT33" s="5"/>
      <c r="BU33" s="5"/>
      <c r="BV33" s="40"/>
      <c r="BW33" s="5"/>
      <c r="BX33" s="5"/>
      <c r="BY33" s="40"/>
      <c r="BZ33" s="5"/>
      <c r="CA33" s="5"/>
      <c r="CB33" s="40"/>
      <c r="CC33" s="5"/>
      <c r="CD33" s="5"/>
      <c r="CE33" s="40"/>
      <c r="CF33" s="5"/>
      <c r="CG33" s="5"/>
      <c r="CH33" s="40"/>
      <c r="CI33" s="5"/>
      <c r="CJ33" s="5"/>
      <c r="CK33" s="40"/>
      <c r="CL33" s="5"/>
      <c r="CM33" s="5"/>
      <c r="CN33" s="40"/>
      <c r="CO33" s="5"/>
      <c r="CP33" s="5"/>
      <c r="CQ33" s="40"/>
      <c r="CR33" s="5"/>
      <c r="CS33" s="5"/>
      <c r="CT33" s="5"/>
      <c r="CU33" s="5"/>
      <c r="CV33" s="5"/>
      <c r="CW33" s="5"/>
      <c r="CX33" s="5"/>
      <c r="CY33" s="5"/>
      <c r="CZ33" s="5"/>
      <c r="DA33" s="5"/>
      <c r="DB33" s="5"/>
      <c r="DC33" s="5"/>
      <c r="DD33" s="5"/>
      <c r="DE33" s="5"/>
      <c r="DF33" s="5"/>
    </row>
    <row r="34">
      <c r="A34" s="19" t="s">
        <v>47</v>
      </c>
      <c r="B34" s="42" t="s">
        <v>552</v>
      </c>
      <c r="C34" s="21">
        <v>66.0</v>
      </c>
      <c r="D34" s="35" t="b">
        <v>1</v>
      </c>
      <c r="G34" s="5"/>
      <c r="J34" s="5"/>
      <c r="M34" s="5"/>
      <c r="P34" s="5"/>
      <c r="S34" s="5"/>
      <c r="V34" s="5"/>
      <c r="Y34" s="5"/>
      <c r="AB34" s="5"/>
      <c r="AE34" s="5"/>
      <c r="AH34" s="5"/>
      <c r="AK34" s="5"/>
      <c r="AN34" s="5"/>
      <c r="AO34" s="40"/>
      <c r="AP34" s="5"/>
      <c r="AQ34" s="5"/>
      <c r="AR34" s="40"/>
      <c r="AS34" s="5"/>
      <c r="AT34" s="5"/>
      <c r="AU34" s="40"/>
      <c r="AV34" s="5"/>
      <c r="AW34" s="5"/>
      <c r="AX34" s="40"/>
      <c r="AY34" s="5"/>
      <c r="AZ34" s="5"/>
      <c r="BA34" s="40"/>
      <c r="BB34" s="5"/>
      <c r="BC34" s="5"/>
      <c r="BD34" s="40"/>
      <c r="BE34" s="5"/>
      <c r="BF34" s="5"/>
      <c r="BG34" s="40"/>
      <c r="BH34" s="5"/>
      <c r="BI34" s="5"/>
      <c r="BJ34" s="40"/>
      <c r="BK34" s="5"/>
      <c r="BL34" s="5"/>
      <c r="BM34" s="40"/>
      <c r="BN34" s="5"/>
      <c r="BO34" s="5"/>
      <c r="BP34" s="40"/>
      <c r="BQ34" s="5"/>
      <c r="BR34" s="5"/>
      <c r="BS34" s="40"/>
      <c r="BT34" s="5"/>
      <c r="BU34" s="5"/>
      <c r="BV34" s="40"/>
      <c r="BW34" s="5"/>
      <c r="BX34" s="5"/>
      <c r="BY34" s="40"/>
      <c r="BZ34" s="5"/>
      <c r="CA34" s="5"/>
      <c r="CB34" s="40"/>
      <c r="CC34" s="5"/>
      <c r="CD34" s="5"/>
      <c r="CE34" s="40"/>
      <c r="CF34" s="5"/>
      <c r="CG34" s="5"/>
      <c r="CH34" s="40"/>
      <c r="CI34" s="5"/>
      <c r="CJ34" s="5"/>
      <c r="CK34" s="40"/>
      <c r="CL34" s="5"/>
      <c r="CM34" s="5"/>
      <c r="CN34" s="40"/>
      <c r="CO34" s="5"/>
      <c r="CP34" s="5"/>
      <c r="CQ34" s="40"/>
      <c r="CR34" s="5"/>
      <c r="CS34" s="5"/>
      <c r="CT34" s="5"/>
      <c r="CU34" s="5"/>
      <c r="CV34" s="5"/>
      <c r="CW34" s="5"/>
      <c r="CX34" s="5"/>
      <c r="CY34" s="5"/>
      <c r="CZ34" s="5"/>
      <c r="DA34" s="5"/>
      <c r="DB34" s="5"/>
      <c r="DC34" s="5"/>
      <c r="DD34" s="5"/>
      <c r="DE34" s="5"/>
      <c r="DF34" s="5"/>
    </row>
    <row r="35">
      <c r="A35" s="19" t="s">
        <v>53</v>
      </c>
      <c r="B35" s="42" t="s">
        <v>553</v>
      </c>
      <c r="C35" s="21">
        <v>74.0</v>
      </c>
      <c r="D35" s="35" t="b">
        <v>1</v>
      </c>
      <c r="G35" s="5"/>
      <c r="J35" s="5"/>
      <c r="M35" s="5"/>
      <c r="P35" s="5"/>
      <c r="S35" s="5"/>
      <c r="V35" s="5"/>
      <c r="Y35" s="5"/>
      <c r="AB35" s="5"/>
      <c r="AE35" s="5"/>
      <c r="AH35" s="5"/>
      <c r="AK35" s="5"/>
      <c r="AN35" s="5"/>
      <c r="AO35" s="40"/>
      <c r="AP35" s="5"/>
      <c r="AQ35" s="5"/>
      <c r="AR35" s="40"/>
      <c r="AS35" s="5"/>
      <c r="AT35" s="5"/>
      <c r="AU35" s="40"/>
      <c r="AV35" s="5"/>
      <c r="AW35" s="5"/>
      <c r="AX35" s="40"/>
      <c r="AY35" s="5"/>
      <c r="AZ35" s="5"/>
      <c r="BA35" s="40"/>
      <c r="BB35" s="5"/>
      <c r="BC35" s="5"/>
      <c r="BD35" s="40"/>
      <c r="BE35" s="5"/>
      <c r="BF35" s="5"/>
      <c r="BG35" s="40"/>
      <c r="BH35" s="5"/>
      <c r="BI35" s="5"/>
      <c r="BJ35" s="40"/>
      <c r="BK35" s="5"/>
      <c r="BL35" s="5"/>
      <c r="BM35" s="40"/>
      <c r="BN35" s="5"/>
      <c r="BO35" s="5"/>
      <c r="BP35" s="40"/>
      <c r="BQ35" s="5"/>
      <c r="BR35" s="5"/>
      <c r="BS35" s="40"/>
      <c r="BT35" s="5"/>
      <c r="BU35" s="5"/>
      <c r="BV35" s="40"/>
      <c r="BW35" s="5"/>
      <c r="BX35" s="5"/>
      <c r="BY35" s="40"/>
      <c r="BZ35" s="5"/>
      <c r="CA35" s="5"/>
      <c r="CB35" s="40"/>
      <c r="CC35" s="5"/>
      <c r="CD35" s="5"/>
      <c r="CE35" s="40"/>
      <c r="CF35" s="5"/>
      <c r="CG35" s="5"/>
      <c r="CH35" s="40"/>
      <c r="CI35" s="5"/>
      <c r="CJ35" s="5"/>
      <c r="CK35" s="40"/>
      <c r="CL35" s="5"/>
      <c r="CM35" s="5"/>
      <c r="CN35" s="40"/>
      <c r="CO35" s="5"/>
      <c r="CP35" s="5"/>
      <c r="CQ35" s="40"/>
      <c r="CR35" s="5"/>
      <c r="CS35" s="5"/>
      <c r="CT35" s="5"/>
      <c r="CU35" s="5"/>
      <c r="CV35" s="5"/>
      <c r="CW35" s="5"/>
      <c r="CX35" s="5"/>
      <c r="CY35" s="5"/>
      <c r="CZ35" s="5"/>
      <c r="DA35" s="5"/>
      <c r="DB35" s="5"/>
      <c r="DC35" s="5"/>
      <c r="DD35" s="5"/>
      <c r="DE35" s="5"/>
      <c r="DF35" s="5"/>
    </row>
    <row r="36">
      <c r="A36" s="19" t="s">
        <v>53</v>
      </c>
      <c r="B36" s="42" t="s">
        <v>554</v>
      </c>
      <c r="C36" s="21">
        <v>76.0</v>
      </c>
      <c r="D36" s="35" t="b">
        <v>0</v>
      </c>
      <c r="G36" s="5"/>
      <c r="J36" s="5"/>
      <c r="M36" s="5"/>
      <c r="P36" s="5"/>
      <c r="S36" s="5"/>
      <c r="V36" s="5"/>
      <c r="Y36" s="5"/>
      <c r="AB36" s="5"/>
      <c r="AE36" s="5"/>
      <c r="AH36" s="5"/>
      <c r="AK36" s="5"/>
      <c r="AN36" s="5"/>
      <c r="AO36" s="40"/>
      <c r="AP36" s="5"/>
      <c r="AQ36" s="5"/>
      <c r="AR36" s="40"/>
      <c r="AS36" s="5"/>
      <c r="AT36" s="5"/>
      <c r="AU36" s="40"/>
      <c r="AV36" s="5"/>
      <c r="AW36" s="5"/>
      <c r="AX36" s="40"/>
      <c r="AY36" s="5"/>
      <c r="AZ36" s="5"/>
      <c r="BA36" s="40"/>
      <c r="BB36" s="5"/>
      <c r="BC36" s="5"/>
      <c r="BD36" s="40"/>
      <c r="BE36" s="5"/>
      <c r="BF36" s="5"/>
      <c r="BG36" s="40"/>
      <c r="BH36" s="5"/>
      <c r="BI36" s="5"/>
      <c r="BJ36" s="40"/>
      <c r="BK36" s="5"/>
      <c r="BL36" s="5"/>
      <c r="BM36" s="40"/>
      <c r="BN36" s="5"/>
      <c r="BO36" s="5"/>
      <c r="BP36" s="40"/>
      <c r="BQ36" s="5"/>
      <c r="BR36" s="5"/>
      <c r="BS36" s="40"/>
      <c r="BT36" s="5"/>
      <c r="BU36" s="5"/>
      <c r="BV36" s="40"/>
      <c r="BW36" s="5"/>
      <c r="BX36" s="5"/>
      <c r="BY36" s="40"/>
      <c r="BZ36" s="5"/>
      <c r="CA36" s="5"/>
      <c r="CB36" s="40"/>
      <c r="CC36" s="5"/>
      <c r="CD36" s="5"/>
      <c r="CE36" s="40"/>
      <c r="CF36" s="5"/>
      <c r="CG36" s="5"/>
      <c r="CH36" s="40"/>
      <c r="CI36" s="5"/>
      <c r="CJ36" s="5"/>
      <c r="CK36" s="40"/>
      <c r="CL36" s="5"/>
      <c r="CM36" s="5"/>
      <c r="CN36" s="40"/>
      <c r="CO36" s="5"/>
      <c r="CP36" s="5"/>
      <c r="CQ36" s="40"/>
      <c r="CR36" s="5"/>
      <c r="CS36" s="5"/>
      <c r="CT36" s="5"/>
      <c r="CU36" s="5"/>
      <c r="CV36" s="5"/>
      <c r="CW36" s="5"/>
      <c r="CX36" s="5"/>
      <c r="CY36" s="5"/>
      <c r="CZ36" s="5"/>
      <c r="DA36" s="5"/>
      <c r="DB36" s="5"/>
      <c r="DC36" s="5"/>
      <c r="DD36" s="5"/>
      <c r="DE36" s="5"/>
      <c r="DF36" s="5"/>
    </row>
    <row r="37">
      <c r="A37" s="19" t="s">
        <v>47</v>
      </c>
      <c r="B37" s="42" t="s">
        <v>555</v>
      </c>
      <c r="C37" s="21">
        <v>79.0</v>
      </c>
      <c r="D37" s="35" t="b">
        <v>1</v>
      </c>
      <c r="G37" s="5"/>
      <c r="J37" s="5"/>
      <c r="M37" s="5"/>
      <c r="P37" s="5"/>
      <c r="S37" s="5"/>
      <c r="V37" s="5"/>
      <c r="Y37" s="5"/>
      <c r="AB37" s="5"/>
      <c r="AE37" s="5"/>
      <c r="AH37" s="5"/>
      <c r="AK37" s="5"/>
      <c r="AN37" s="5"/>
      <c r="AO37" s="40"/>
      <c r="AP37" s="5"/>
      <c r="AQ37" s="5"/>
      <c r="AR37" s="40"/>
      <c r="AS37" s="5"/>
      <c r="AT37" s="5"/>
      <c r="AU37" s="40"/>
      <c r="AV37" s="5"/>
      <c r="AW37" s="5"/>
      <c r="AX37" s="40"/>
      <c r="AY37" s="5"/>
      <c r="AZ37" s="5"/>
      <c r="BA37" s="40"/>
      <c r="BB37" s="5"/>
      <c r="BC37" s="5"/>
      <c r="BD37" s="40"/>
      <c r="BE37" s="5"/>
      <c r="BF37" s="5"/>
      <c r="BG37" s="40"/>
      <c r="BH37" s="5"/>
      <c r="BI37" s="5"/>
      <c r="BJ37" s="40"/>
      <c r="BK37" s="5"/>
      <c r="BL37" s="5"/>
      <c r="BM37" s="40"/>
      <c r="BN37" s="5"/>
      <c r="BO37" s="5"/>
      <c r="BP37" s="40"/>
      <c r="BQ37" s="5"/>
      <c r="BR37" s="5"/>
      <c r="BS37" s="40"/>
      <c r="BT37" s="5"/>
      <c r="BU37" s="5"/>
      <c r="BV37" s="40"/>
      <c r="BW37" s="5"/>
      <c r="BX37" s="5"/>
      <c r="BY37" s="40"/>
      <c r="BZ37" s="5"/>
      <c r="CA37" s="5"/>
      <c r="CB37" s="40"/>
      <c r="CC37" s="5"/>
      <c r="CD37" s="5"/>
      <c r="CE37" s="40"/>
      <c r="CF37" s="5"/>
      <c r="CG37" s="5"/>
      <c r="CH37" s="40"/>
      <c r="CI37" s="5"/>
      <c r="CJ37" s="5"/>
      <c r="CK37" s="40"/>
      <c r="CL37" s="5"/>
      <c r="CM37" s="5"/>
      <c r="CN37" s="40"/>
      <c r="CO37" s="5"/>
      <c r="CP37" s="5"/>
      <c r="CQ37" s="40"/>
      <c r="CR37" s="5"/>
      <c r="CS37" s="5"/>
      <c r="CT37" s="5"/>
      <c r="CU37" s="5"/>
      <c r="CV37" s="5"/>
      <c r="CW37" s="5"/>
      <c r="CX37" s="5"/>
      <c r="CY37" s="5"/>
      <c r="CZ37" s="5"/>
      <c r="DA37" s="5"/>
      <c r="DB37" s="5"/>
      <c r="DC37" s="5"/>
      <c r="DD37" s="5"/>
      <c r="DE37" s="5"/>
      <c r="DF37" s="5"/>
    </row>
    <row r="38">
      <c r="A38" s="19" t="s">
        <v>53</v>
      </c>
      <c r="B38" s="42" t="s">
        <v>556</v>
      </c>
      <c r="C38" s="21">
        <v>81.0</v>
      </c>
      <c r="D38" s="35" t="b">
        <v>1</v>
      </c>
      <c r="G38" s="5"/>
      <c r="J38" s="5"/>
      <c r="M38" s="5"/>
      <c r="P38" s="5"/>
      <c r="S38" s="5"/>
      <c r="V38" s="5"/>
      <c r="Y38" s="5"/>
      <c r="AB38" s="5"/>
      <c r="AE38" s="5"/>
      <c r="AH38" s="5"/>
      <c r="AK38" s="5"/>
      <c r="AN38" s="5"/>
      <c r="AO38" s="40"/>
      <c r="AP38" s="5"/>
      <c r="AQ38" s="5"/>
      <c r="AR38" s="40"/>
      <c r="AS38" s="5"/>
      <c r="AT38" s="5"/>
      <c r="AU38" s="40"/>
      <c r="AV38" s="5"/>
      <c r="AW38" s="5"/>
      <c r="AX38" s="40"/>
      <c r="AY38" s="5"/>
      <c r="AZ38" s="5"/>
      <c r="BA38" s="40"/>
      <c r="BB38" s="5"/>
      <c r="BC38" s="5"/>
      <c r="BD38" s="40"/>
      <c r="BE38" s="5"/>
      <c r="BF38" s="5"/>
      <c r="BG38" s="40"/>
      <c r="BH38" s="5"/>
      <c r="BI38" s="5"/>
      <c r="BJ38" s="40"/>
      <c r="BK38" s="5"/>
      <c r="BL38" s="5"/>
      <c r="BM38" s="40"/>
      <c r="BN38" s="5"/>
      <c r="BO38" s="5"/>
      <c r="BP38" s="40"/>
      <c r="BQ38" s="5"/>
      <c r="BR38" s="5"/>
      <c r="BS38" s="40"/>
      <c r="BT38" s="5"/>
      <c r="BU38" s="5"/>
      <c r="BV38" s="40"/>
      <c r="BW38" s="5"/>
      <c r="BX38" s="5"/>
      <c r="BY38" s="40"/>
      <c r="BZ38" s="5"/>
      <c r="CA38" s="5"/>
      <c r="CB38" s="40"/>
      <c r="CC38" s="5"/>
      <c r="CD38" s="5"/>
      <c r="CE38" s="40"/>
      <c r="CF38" s="5"/>
      <c r="CG38" s="5"/>
      <c r="CH38" s="40"/>
      <c r="CI38" s="5"/>
      <c r="CJ38" s="5"/>
      <c r="CK38" s="40"/>
      <c r="CL38" s="5"/>
      <c r="CM38" s="5"/>
      <c r="CN38" s="40"/>
      <c r="CO38" s="5"/>
      <c r="CP38" s="5"/>
      <c r="CQ38" s="40"/>
      <c r="CR38" s="5"/>
      <c r="CS38" s="5"/>
      <c r="CT38" s="5"/>
      <c r="CU38" s="5"/>
      <c r="CV38" s="5"/>
      <c r="CW38" s="5"/>
      <c r="CX38" s="5"/>
      <c r="CY38" s="5"/>
      <c r="CZ38" s="5"/>
      <c r="DA38" s="5"/>
      <c r="DB38" s="5"/>
      <c r="DC38" s="5"/>
      <c r="DD38" s="5"/>
      <c r="DE38" s="5"/>
      <c r="DF38" s="5"/>
    </row>
    <row r="39">
      <c r="A39" s="19" t="s">
        <v>53</v>
      </c>
      <c r="B39" s="42" t="s">
        <v>557</v>
      </c>
      <c r="C39" s="21">
        <v>81.0</v>
      </c>
      <c r="D39" s="35" t="b">
        <v>1</v>
      </c>
      <c r="G39" s="5"/>
      <c r="J39" s="5"/>
      <c r="M39" s="5"/>
      <c r="P39" s="5"/>
      <c r="S39" s="5"/>
      <c r="V39" s="5"/>
      <c r="Y39" s="5"/>
      <c r="AB39" s="5"/>
      <c r="AE39" s="5"/>
      <c r="AH39" s="5"/>
      <c r="AK39" s="5"/>
      <c r="AN39" s="5"/>
      <c r="AO39" s="40"/>
      <c r="AP39" s="5"/>
      <c r="AQ39" s="5"/>
      <c r="AR39" s="40"/>
      <c r="AS39" s="5"/>
      <c r="AT39" s="5"/>
      <c r="AU39" s="40"/>
      <c r="AV39" s="5"/>
      <c r="AW39" s="5"/>
      <c r="AX39" s="40"/>
      <c r="AY39" s="5"/>
      <c r="AZ39" s="5"/>
      <c r="BA39" s="40"/>
      <c r="BB39" s="5"/>
      <c r="BC39" s="5"/>
      <c r="BD39" s="40"/>
      <c r="BE39" s="5"/>
      <c r="BF39" s="5"/>
      <c r="BG39" s="40"/>
      <c r="BH39" s="5"/>
      <c r="BI39" s="5"/>
      <c r="BJ39" s="40"/>
      <c r="BK39" s="5"/>
      <c r="BL39" s="5"/>
      <c r="BM39" s="40"/>
      <c r="BN39" s="5"/>
      <c r="BO39" s="5"/>
      <c r="BP39" s="40"/>
      <c r="BQ39" s="5"/>
      <c r="BR39" s="5"/>
      <c r="BS39" s="40"/>
      <c r="BT39" s="5"/>
      <c r="BU39" s="5"/>
      <c r="BV39" s="40"/>
      <c r="BW39" s="5"/>
      <c r="BX39" s="5"/>
      <c r="BY39" s="40"/>
      <c r="BZ39" s="5"/>
      <c r="CA39" s="5"/>
      <c r="CB39" s="40"/>
      <c r="CC39" s="5"/>
      <c r="CD39" s="5"/>
      <c r="CE39" s="40"/>
      <c r="CF39" s="5"/>
      <c r="CG39" s="5"/>
      <c r="CH39" s="40"/>
      <c r="CI39" s="5"/>
      <c r="CJ39" s="5"/>
      <c r="CK39" s="40"/>
      <c r="CL39" s="5"/>
      <c r="CM39" s="5"/>
      <c r="CN39" s="40"/>
      <c r="CO39" s="5"/>
      <c r="CP39" s="5"/>
      <c r="CQ39" s="40"/>
      <c r="CR39" s="5"/>
      <c r="CS39" s="5"/>
      <c r="CT39" s="5"/>
      <c r="CU39" s="5"/>
      <c r="CV39" s="5"/>
      <c r="CW39" s="5"/>
      <c r="CX39" s="5"/>
      <c r="CY39" s="5"/>
      <c r="CZ39" s="5"/>
      <c r="DA39" s="5"/>
      <c r="DB39" s="5"/>
      <c r="DC39" s="5"/>
      <c r="DD39" s="5"/>
      <c r="DE39" s="5"/>
      <c r="DF39" s="5"/>
    </row>
    <row r="40">
      <c r="A40" s="19" t="s">
        <v>53</v>
      </c>
      <c r="B40" s="42" t="s">
        <v>558</v>
      </c>
      <c r="C40" s="21">
        <v>85.0</v>
      </c>
      <c r="D40" s="35" t="b">
        <v>1</v>
      </c>
      <c r="G40" s="5"/>
      <c r="J40" s="5"/>
      <c r="M40" s="5"/>
      <c r="P40" s="5"/>
      <c r="S40" s="5"/>
      <c r="V40" s="5"/>
      <c r="Y40" s="5"/>
      <c r="AB40" s="5"/>
      <c r="AE40" s="5"/>
      <c r="AH40" s="5"/>
      <c r="AK40" s="5"/>
      <c r="AN40" s="5"/>
      <c r="AO40" s="40"/>
      <c r="AP40" s="5"/>
      <c r="AQ40" s="5"/>
      <c r="AR40" s="40"/>
      <c r="AS40" s="5"/>
      <c r="AT40" s="5"/>
      <c r="AU40" s="40"/>
      <c r="AV40" s="5"/>
      <c r="AW40" s="5"/>
      <c r="AX40" s="40"/>
      <c r="AY40" s="5"/>
      <c r="AZ40" s="5"/>
      <c r="BA40" s="40"/>
      <c r="BB40" s="5"/>
      <c r="BC40" s="5"/>
      <c r="BD40" s="40"/>
      <c r="BE40" s="5"/>
      <c r="BF40" s="5"/>
      <c r="BG40" s="40"/>
      <c r="BH40" s="5"/>
      <c r="BI40" s="5"/>
      <c r="BJ40" s="40"/>
      <c r="BK40" s="5"/>
      <c r="BL40" s="5"/>
      <c r="BM40" s="40"/>
      <c r="BN40" s="5"/>
      <c r="BO40" s="5"/>
      <c r="BP40" s="40"/>
      <c r="BQ40" s="5"/>
      <c r="BR40" s="5"/>
      <c r="BS40" s="40"/>
      <c r="BT40" s="5"/>
      <c r="BU40" s="5"/>
      <c r="BV40" s="40"/>
      <c r="BW40" s="5"/>
      <c r="BX40" s="5"/>
      <c r="BY40" s="40"/>
      <c r="BZ40" s="5"/>
      <c r="CA40" s="5"/>
      <c r="CB40" s="40"/>
      <c r="CC40" s="5"/>
      <c r="CD40" s="5"/>
      <c r="CE40" s="40"/>
      <c r="CF40" s="5"/>
      <c r="CG40" s="5"/>
      <c r="CH40" s="40"/>
      <c r="CI40" s="5"/>
      <c r="CJ40" s="5"/>
      <c r="CK40" s="40"/>
      <c r="CL40" s="5"/>
      <c r="CM40" s="5"/>
      <c r="CN40" s="40"/>
      <c r="CO40" s="5"/>
      <c r="CP40" s="5"/>
      <c r="CQ40" s="40"/>
      <c r="CR40" s="5"/>
      <c r="CS40" s="5"/>
      <c r="CT40" s="5"/>
      <c r="CU40" s="5"/>
      <c r="CV40" s="5"/>
      <c r="CW40" s="5"/>
      <c r="CX40" s="5"/>
      <c r="CY40" s="5"/>
      <c r="CZ40" s="5"/>
      <c r="DA40" s="5"/>
      <c r="DB40" s="5"/>
      <c r="DC40" s="5"/>
      <c r="DD40" s="5"/>
      <c r="DE40" s="5"/>
      <c r="DF40" s="5"/>
    </row>
    <row r="41">
      <c r="A41" s="19" t="s">
        <v>49</v>
      </c>
      <c r="B41" s="42" t="s">
        <v>559</v>
      </c>
      <c r="C41" s="21">
        <v>88.0</v>
      </c>
      <c r="D41" s="35" t="b">
        <v>0</v>
      </c>
      <c r="G41" s="5"/>
      <c r="J41" s="5"/>
      <c r="M41" s="5"/>
      <c r="P41" s="5"/>
      <c r="S41" s="5"/>
      <c r="V41" s="5"/>
      <c r="Y41" s="5"/>
      <c r="AB41" s="5"/>
      <c r="AE41" s="5"/>
      <c r="AH41" s="5"/>
      <c r="AK41" s="5"/>
      <c r="AN41" s="5"/>
      <c r="AO41" s="40"/>
      <c r="AP41" s="5"/>
      <c r="AQ41" s="5"/>
      <c r="AR41" s="40"/>
      <c r="AS41" s="5"/>
      <c r="AT41" s="5"/>
      <c r="AU41" s="40"/>
      <c r="AV41" s="5"/>
      <c r="AW41" s="5"/>
      <c r="AX41" s="40"/>
      <c r="AY41" s="5"/>
      <c r="AZ41" s="5"/>
      <c r="BA41" s="40"/>
      <c r="BB41" s="5"/>
      <c r="BC41" s="5"/>
      <c r="BD41" s="40"/>
      <c r="BE41" s="5"/>
      <c r="BF41" s="5"/>
      <c r="BG41" s="40"/>
      <c r="BH41" s="5"/>
      <c r="BI41" s="5"/>
      <c r="BJ41" s="40"/>
      <c r="BK41" s="5"/>
      <c r="BL41" s="5"/>
      <c r="BM41" s="40"/>
      <c r="BN41" s="5"/>
      <c r="BO41" s="5"/>
      <c r="BP41" s="40"/>
      <c r="BQ41" s="5"/>
      <c r="BR41" s="5"/>
      <c r="BS41" s="40"/>
      <c r="BT41" s="5"/>
      <c r="BU41" s="5"/>
      <c r="BV41" s="40"/>
      <c r="BW41" s="5"/>
      <c r="BX41" s="5"/>
      <c r="BY41" s="40"/>
      <c r="BZ41" s="5"/>
      <c r="CA41" s="5"/>
      <c r="CB41" s="40"/>
      <c r="CC41" s="5"/>
      <c r="CD41" s="5"/>
      <c r="CE41" s="40"/>
      <c r="CF41" s="5"/>
      <c r="CG41" s="5"/>
      <c r="CH41" s="40"/>
      <c r="CI41" s="5"/>
      <c r="CJ41" s="5"/>
      <c r="CK41" s="40"/>
      <c r="CL41" s="5"/>
      <c r="CM41" s="5"/>
      <c r="CN41" s="40"/>
      <c r="CO41" s="5"/>
      <c r="CP41" s="5"/>
      <c r="CQ41" s="40"/>
      <c r="CR41" s="5"/>
      <c r="CS41" s="5"/>
      <c r="CT41" s="5"/>
      <c r="CU41" s="5"/>
      <c r="CV41" s="5"/>
      <c r="CW41" s="5"/>
      <c r="CX41" s="5"/>
      <c r="CY41" s="5"/>
      <c r="CZ41" s="5"/>
      <c r="DA41" s="5"/>
      <c r="DB41" s="5"/>
      <c r="DC41" s="5"/>
      <c r="DD41" s="5"/>
      <c r="DE41" s="5"/>
      <c r="DF41" s="5"/>
    </row>
    <row r="42">
      <c r="A42" s="19" t="s">
        <v>49</v>
      </c>
      <c r="B42" s="42" t="s">
        <v>560</v>
      </c>
      <c r="C42" s="21">
        <v>90.0</v>
      </c>
      <c r="D42" s="35" t="b">
        <v>0</v>
      </c>
      <c r="G42" s="5"/>
      <c r="J42" s="5"/>
      <c r="M42" s="5"/>
      <c r="P42" s="5"/>
      <c r="S42" s="5"/>
      <c r="V42" s="5"/>
      <c r="Y42" s="5"/>
      <c r="AB42" s="5"/>
      <c r="AE42" s="5"/>
      <c r="AH42" s="5"/>
      <c r="AK42" s="5"/>
      <c r="AN42" s="5"/>
      <c r="AO42" s="40"/>
      <c r="AP42" s="5"/>
      <c r="AQ42" s="5"/>
      <c r="AR42" s="40"/>
      <c r="AS42" s="5"/>
      <c r="AT42" s="5"/>
      <c r="AU42" s="40"/>
      <c r="AV42" s="5"/>
      <c r="AW42" s="5"/>
      <c r="AX42" s="40"/>
      <c r="AY42" s="5"/>
      <c r="AZ42" s="5"/>
      <c r="BA42" s="40"/>
      <c r="BB42" s="5"/>
      <c r="BC42" s="5"/>
      <c r="BD42" s="40"/>
      <c r="BE42" s="5"/>
      <c r="BF42" s="5"/>
      <c r="BG42" s="40"/>
      <c r="BH42" s="5"/>
      <c r="BI42" s="5"/>
      <c r="BJ42" s="40"/>
      <c r="BK42" s="5"/>
      <c r="BL42" s="5"/>
      <c r="BM42" s="40"/>
      <c r="BN42" s="5"/>
      <c r="BO42" s="5"/>
      <c r="BP42" s="40"/>
      <c r="BQ42" s="5"/>
      <c r="BR42" s="5"/>
      <c r="BS42" s="40"/>
      <c r="BT42" s="5"/>
      <c r="BU42" s="5"/>
      <c r="BV42" s="40"/>
      <c r="BW42" s="5"/>
      <c r="BX42" s="5"/>
      <c r="BY42" s="40"/>
      <c r="BZ42" s="5"/>
      <c r="CA42" s="5"/>
      <c r="CB42" s="40"/>
      <c r="CC42" s="5"/>
      <c r="CD42" s="5"/>
      <c r="CE42" s="40"/>
      <c r="CF42" s="5"/>
      <c r="CG42" s="5"/>
      <c r="CH42" s="40"/>
      <c r="CI42" s="5"/>
      <c r="CJ42" s="5"/>
      <c r="CK42" s="40"/>
      <c r="CL42" s="5"/>
      <c r="CM42" s="5"/>
      <c r="CN42" s="40"/>
      <c r="CO42" s="5"/>
      <c r="CP42" s="5"/>
      <c r="CQ42" s="40"/>
      <c r="CR42" s="5"/>
      <c r="CS42" s="5"/>
      <c r="CT42" s="5"/>
      <c r="CU42" s="5"/>
      <c r="CV42" s="5"/>
      <c r="CW42" s="5"/>
      <c r="CX42" s="5"/>
      <c r="CY42" s="5"/>
      <c r="CZ42" s="5"/>
      <c r="DA42" s="5"/>
      <c r="DB42" s="5"/>
      <c r="DC42" s="5"/>
      <c r="DD42" s="5"/>
      <c r="DE42" s="5"/>
      <c r="DF42" s="5"/>
    </row>
    <row r="43">
      <c r="A43" s="19" t="s">
        <v>51</v>
      </c>
      <c r="B43" s="42" t="s">
        <v>74</v>
      </c>
      <c r="C43" s="21">
        <v>90.0</v>
      </c>
      <c r="D43" s="35" t="b">
        <v>1</v>
      </c>
      <c r="G43" s="5"/>
      <c r="J43" s="5"/>
      <c r="M43" s="5"/>
      <c r="P43" s="5"/>
      <c r="S43" s="5"/>
      <c r="V43" s="5"/>
      <c r="Y43" s="5"/>
      <c r="AB43" s="5"/>
      <c r="AE43" s="5"/>
      <c r="AH43" s="5"/>
      <c r="AK43" s="5"/>
      <c r="AN43" s="5"/>
      <c r="AO43" s="40"/>
      <c r="AP43" s="5"/>
      <c r="AQ43" s="5"/>
      <c r="AR43" s="40"/>
      <c r="AS43" s="5"/>
      <c r="AT43" s="5"/>
      <c r="AU43" s="40"/>
      <c r="AV43" s="5"/>
      <c r="AW43" s="5"/>
      <c r="AX43" s="40"/>
      <c r="AY43" s="5"/>
      <c r="AZ43" s="5"/>
      <c r="BA43" s="40"/>
      <c r="BB43" s="5"/>
      <c r="BC43" s="5"/>
      <c r="BD43" s="40"/>
      <c r="BE43" s="5"/>
      <c r="BF43" s="5"/>
      <c r="BG43" s="40"/>
      <c r="BH43" s="5"/>
      <c r="BI43" s="5"/>
      <c r="BJ43" s="40"/>
      <c r="BK43" s="5"/>
      <c r="BL43" s="5"/>
      <c r="BM43" s="40"/>
      <c r="BN43" s="5"/>
      <c r="BO43" s="5"/>
      <c r="BP43" s="40"/>
      <c r="BQ43" s="5"/>
      <c r="BR43" s="5"/>
      <c r="BS43" s="40"/>
      <c r="BT43" s="5"/>
      <c r="BU43" s="5"/>
      <c r="BV43" s="40"/>
      <c r="BW43" s="5"/>
      <c r="BX43" s="5"/>
      <c r="BY43" s="40"/>
      <c r="BZ43" s="5"/>
      <c r="CA43" s="5"/>
      <c r="CB43" s="40"/>
      <c r="CC43" s="5"/>
      <c r="CD43" s="5"/>
      <c r="CE43" s="40"/>
      <c r="CF43" s="5"/>
      <c r="CG43" s="5"/>
      <c r="CH43" s="40"/>
      <c r="CI43" s="5"/>
      <c r="CJ43" s="5"/>
      <c r="CK43" s="40"/>
      <c r="CL43" s="5"/>
      <c r="CM43" s="5"/>
      <c r="CN43" s="40"/>
      <c r="CO43" s="5"/>
      <c r="CP43" s="5"/>
      <c r="CQ43" s="40"/>
      <c r="CR43" s="5"/>
      <c r="CS43" s="5"/>
      <c r="CT43" s="5"/>
      <c r="CU43" s="5"/>
      <c r="CV43" s="5"/>
      <c r="CW43" s="5"/>
      <c r="CX43" s="5"/>
      <c r="CY43" s="5"/>
      <c r="CZ43" s="5"/>
      <c r="DA43" s="5"/>
      <c r="DB43" s="5"/>
      <c r="DC43" s="5"/>
      <c r="DD43" s="5"/>
      <c r="DE43" s="5"/>
      <c r="DF43" s="5"/>
    </row>
    <row r="44">
      <c r="G44" s="5"/>
      <c r="J44" s="5"/>
      <c r="M44" s="5"/>
      <c r="P44" s="5"/>
      <c r="S44" s="5"/>
      <c r="V44" s="5"/>
      <c r="Y44" s="5"/>
      <c r="AB44" s="5"/>
      <c r="AE44" s="5"/>
      <c r="AH44" s="5"/>
      <c r="AK44" s="5"/>
      <c r="AN44" s="5"/>
      <c r="AO44" s="40"/>
      <c r="AP44" s="5"/>
      <c r="AQ44" s="5"/>
      <c r="AR44" s="40"/>
      <c r="AS44" s="5"/>
      <c r="AT44" s="5"/>
      <c r="AU44" s="40"/>
      <c r="AV44" s="5"/>
      <c r="AW44" s="5"/>
      <c r="AX44" s="40"/>
      <c r="AY44" s="5"/>
      <c r="AZ44" s="5"/>
      <c r="BA44" s="40"/>
      <c r="BB44" s="5"/>
      <c r="BC44" s="5"/>
      <c r="BD44" s="40"/>
      <c r="BE44" s="5"/>
      <c r="BF44" s="5"/>
      <c r="BG44" s="40"/>
      <c r="BH44" s="5"/>
      <c r="BI44" s="5"/>
      <c r="BJ44" s="40"/>
      <c r="BK44" s="5"/>
      <c r="BL44" s="5"/>
      <c r="BM44" s="40"/>
      <c r="BN44" s="5"/>
      <c r="BO44" s="5"/>
      <c r="BP44" s="40"/>
      <c r="BQ44" s="5"/>
      <c r="BR44" s="5"/>
      <c r="BS44" s="40"/>
      <c r="BT44" s="5"/>
      <c r="BU44" s="5"/>
      <c r="BV44" s="40"/>
      <c r="BW44" s="5"/>
      <c r="BX44" s="5"/>
      <c r="BY44" s="40"/>
      <c r="BZ44" s="5"/>
      <c r="CA44" s="5"/>
      <c r="CB44" s="40"/>
      <c r="CC44" s="5"/>
      <c r="CD44" s="5"/>
      <c r="CE44" s="40"/>
      <c r="CF44" s="5"/>
      <c r="CG44" s="5"/>
      <c r="CH44" s="40"/>
      <c r="CI44" s="5"/>
      <c r="CJ44" s="5"/>
      <c r="CK44" s="40"/>
      <c r="CL44" s="5"/>
      <c r="CM44" s="5"/>
      <c r="CN44" s="40"/>
      <c r="CO44" s="5"/>
      <c r="CP44" s="5"/>
      <c r="CQ44" s="40"/>
      <c r="CR44" s="5"/>
      <c r="CS44" s="5"/>
      <c r="CT44" s="5"/>
      <c r="CU44" s="5"/>
      <c r="CV44" s="5"/>
      <c r="CW44" s="5"/>
      <c r="CX44" s="5"/>
      <c r="CY44" s="5"/>
      <c r="CZ44" s="5"/>
      <c r="DA44" s="5"/>
      <c r="DB44" s="5"/>
      <c r="DC44" s="5"/>
      <c r="DD44" s="5"/>
      <c r="DE44" s="5"/>
      <c r="DF44" s="5"/>
    </row>
    <row r="45">
      <c r="A45" s="36"/>
      <c r="D45" s="19"/>
      <c r="G45" s="5"/>
      <c r="J45" s="5"/>
      <c r="M45" s="5"/>
      <c r="P45" s="5"/>
      <c r="S45" s="5"/>
      <c r="V45" s="5"/>
      <c r="Y45" s="5"/>
      <c r="AB45" s="5"/>
      <c r="AE45" s="5"/>
      <c r="AH45" s="5"/>
      <c r="AK45" s="5"/>
      <c r="AN45" s="5"/>
      <c r="AO45" s="40"/>
      <c r="AP45" s="5"/>
      <c r="AQ45" s="5"/>
      <c r="AR45" s="40"/>
      <c r="AS45" s="5"/>
      <c r="AT45" s="5"/>
      <c r="AU45" s="40"/>
      <c r="AV45" s="5"/>
      <c r="AW45" s="5"/>
      <c r="AX45" s="40"/>
      <c r="AY45" s="5"/>
      <c r="AZ45" s="5"/>
      <c r="BA45" s="40"/>
      <c r="BB45" s="5"/>
      <c r="BC45" s="5"/>
      <c r="BD45" s="40"/>
      <c r="BE45" s="5"/>
      <c r="BF45" s="5"/>
      <c r="BG45" s="40"/>
      <c r="BH45" s="5"/>
      <c r="BI45" s="5"/>
      <c r="BJ45" s="40"/>
      <c r="BK45" s="5"/>
      <c r="BL45" s="5"/>
      <c r="BM45" s="40"/>
      <c r="BN45" s="5"/>
      <c r="BO45" s="5"/>
      <c r="BP45" s="40"/>
      <c r="BQ45" s="5"/>
      <c r="BR45" s="5"/>
      <c r="BS45" s="40"/>
      <c r="BT45" s="5"/>
      <c r="BU45" s="5"/>
      <c r="BV45" s="40"/>
      <c r="BW45" s="5"/>
      <c r="BX45" s="5"/>
      <c r="BY45" s="40"/>
      <c r="BZ45" s="5"/>
      <c r="CA45" s="5"/>
      <c r="CB45" s="40"/>
      <c r="CC45" s="5"/>
      <c r="CD45" s="5"/>
      <c r="CE45" s="40"/>
      <c r="CF45" s="5"/>
      <c r="CG45" s="5"/>
      <c r="CH45" s="40"/>
      <c r="CI45" s="5"/>
      <c r="CJ45" s="5"/>
      <c r="CK45" s="40"/>
      <c r="CL45" s="5"/>
      <c r="CM45" s="5"/>
      <c r="CN45" s="40"/>
      <c r="CO45" s="5"/>
      <c r="CP45" s="5"/>
      <c r="CQ45" s="40"/>
      <c r="CR45" s="5"/>
      <c r="CS45" s="5"/>
      <c r="CT45" s="5"/>
      <c r="CU45" s="5"/>
      <c r="CV45" s="5"/>
      <c r="CW45" s="5"/>
      <c r="CX45" s="5"/>
      <c r="CY45" s="5"/>
      <c r="CZ45" s="5"/>
      <c r="DA45" s="5"/>
      <c r="DB45" s="5"/>
      <c r="DC45" s="5"/>
      <c r="DD45" s="5"/>
      <c r="DE45" s="5"/>
      <c r="DF45" s="5"/>
    </row>
    <row r="46">
      <c r="B46" s="36"/>
      <c r="C46" s="26"/>
      <c r="D46" s="19"/>
      <c r="G46" s="5"/>
      <c r="J46" s="5"/>
      <c r="M46" s="5"/>
      <c r="P46" s="5"/>
      <c r="S46" s="5"/>
      <c r="V46" s="5"/>
      <c r="Y46" s="5"/>
      <c r="AB46" s="5"/>
      <c r="AE46" s="5"/>
      <c r="AH46" s="5"/>
      <c r="AK46" s="5"/>
      <c r="AN46" s="5"/>
      <c r="AO46" s="40"/>
      <c r="AP46" s="5"/>
      <c r="AQ46" s="5"/>
      <c r="AR46" s="40"/>
      <c r="AS46" s="5"/>
      <c r="AT46" s="5"/>
      <c r="AU46" s="40"/>
      <c r="AV46" s="5"/>
      <c r="AW46" s="5"/>
      <c r="AX46" s="40"/>
      <c r="AY46" s="5"/>
      <c r="AZ46" s="5"/>
      <c r="BA46" s="40"/>
      <c r="BB46" s="5"/>
      <c r="BC46" s="5"/>
      <c r="BD46" s="40"/>
      <c r="BE46" s="5"/>
      <c r="BF46" s="5"/>
      <c r="BG46" s="40"/>
      <c r="BH46" s="5"/>
      <c r="BI46" s="5"/>
      <c r="BJ46" s="40"/>
      <c r="BK46" s="5"/>
      <c r="BL46" s="5"/>
      <c r="BM46" s="40"/>
      <c r="BN46" s="5"/>
      <c r="BO46" s="5"/>
      <c r="BP46" s="40"/>
      <c r="BQ46" s="5"/>
      <c r="BR46" s="5"/>
      <c r="BS46" s="40"/>
      <c r="BT46" s="5"/>
      <c r="BU46" s="5"/>
      <c r="BV46" s="40"/>
      <c r="BW46" s="5"/>
      <c r="BX46" s="5"/>
      <c r="BY46" s="40"/>
      <c r="BZ46" s="5"/>
      <c r="CA46" s="5"/>
      <c r="CB46" s="40"/>
      <c r="CC46" s="5"/>
      <c r="CD46" s="5"/>
      <c r="CE46" s="40"/>
      <c r="CF46" s="5"/>
      <c r="CG46" s="5"/>
      <c r="CH46" s="40"/>
      <c r="CI46" s="5"/>
      <c r="CJ46" s="5"/>
      <c r="CK46" s="40"/>
      <c r="CL46" s="5"/>
      <c r="CM46" s="5"/>
      <c r="CN46" s="40"/>
      <c r="CO46" s="5"/>
      <c r="CP46" s="5"/>
      <c r="CQ46" s="40"/>
      <c r="CR46" s="5"/>
      <c r="CS46" s="5"/>
      <c r="CT46" s="5"/>
      <c r="CU46" s="5"/>
      <c r="CV46" s="5"/>
      <c r="CW46" s="5"/>
      <c r="CX46" s="5"/>
      <c r="CY46" s="5"/>
      <c r="CZ46" s="5"/>
      <c r="DA46" s="5"/>
      <c r="DB46" s="5"/>
      <c r="DC46" s="5"/>
      <c r="DD46" s="5"/>
      <c r="DE46" s="5"/>
      <c r="DF46" s="5"/>
    </row>
    <row r="47">
      <c r="A47" s="37"/>
      <c r="B47" s="36"/>
      <c r="C47" s="36"/>
      <c r="D47" s="19"/>
      <c r="G47" s="5"/>
      <c r="J47" s="5"/>
      <c r="M47" s="5"/>
      <c r="P47" s="5"/>
      <c r="S47" s="5"/>
      <c r="V47" s="5"/>
      <c r="Y47" s="5"/>
      <c r="AB47" s="5"/>
      <c r="AE47" s="5"/>
      <c r="AH47" s="5"/>
      <c r="AK47" s="5"/>
      <c r="AN47" s="5"/>
      <c r="AO47" s="40"/>
      <c r="AP47" s="5"/>
      <c r="AQ47" s="5"/>
      <c r="AR47" s="40"/>
      <c r="AS47" s="5"/>
      <c r="AT47" s="5"/>
      <c r="AU47" s="40"/>
      <c r="AV47" s="5"/>
      <c r="AW47" s="5"/>
      <c r="AX47" s="40"/>
      <c r="AY47" s="5"/>
      <c r="AZ47" s="5"/>
      <c r="BA47" s="40"/>
      <c r="BB47" s="5"/>
      <c r="BC47" s="5"/>
      <c r="BD47" s="40"/>
      <c r="BE47" s="5"/>
      <c r="BF47" s="5"/>
      <c r="BG47" s="40"/>
      <c r="BH47" s="5"/>
      <c r="BI47" s="5"/>
      <c r="BJ47" s="40"/>
      <c r="BK47" s="5"/>
      <c r="BL47" s="5"/>
      <c r="BM47" s="40"/>
      <c r="BN47" s="5"/>
      <c r="BO47" s="5"/>
      <c r="BP47" s="40"/>
      <c r="BQ47" s="5"/>
      <c r="BR47" s="5"/>
      <c r="BS47" s="40"/>
      <c r="BT47" s="5"/>
      <c r="BU47" s="5"/>
      <c r="BV47" s="40"/>
      <c r="BW47" s="5"/>
      <c r="BX47" s="5"/>
      <c r="BY47" s="40"/>
      <c r="BZ47" s="5"/>
      <c r="CA47" s="5"/>
      <c r="CB47" s="40"/>
      <c r="CC47" s="5"/>
      <c r="CD47" s="5"/>
      <c r="CE47" s="40"/>
      <c r="CF47" s="5"/>
      <c r="CG47" s="5"/>
      <c r="CH47" s="40"/>
      <c r="CI47" s="5"/>
      <c r="CJ47" s="5"/>
      <c r="CK47" s="40"/>
      <c r="CL47" s="5"/>
      <c r="CM47" s="5"/>
      <c r="CN47" s="40"/>
      <c r="CO47" s="5"/>
      <c r="CP47" s="5"/>
      <c r="CQ47" s="40"/>
      <c r="CR47" s="5"/>
      <c r="CS47" s="5"/>
      <c r="CT47" s="5"/>
      <c r="CU47" s="5"/>
      <c r="CV47" s="5"/>
      <c r="CW47" s="5"/>
      <c r="CX47" s="5"/>
      <c r="CY47" s="5"/>
      <c r="CZ47" s="5"/>
      <c r="DA47" s="5"/>
      <c r="DB47" s="5"/>
      <c r="DC47" s="5"/>
      <c r="DD47" s="5"/>
      <c r="DE47" s="5"/>
      <c r="DF47" s="5"/>
    </row>
    <row r="48">
      <c r="A48" s="19"/>
      <c r="B48" s="26"/>
      <c r="C48" s="21"/>
      <c r="D48" s="19"/>
      <c r="G48" s="5"/>
      <c r="J48" s="5"/>
      <c r="M48" s="5"/>
      <c r="P48" s="5"/>
      <c r="S48" s="5"/>
      <c r="V48" s="5"/>
      <c r="Y48" s="5"/>
      <c r="AB48" s="5"/>
      <c r="AE48" s="5"/>
      <c r="AH48" s="5"/>
      <c r="AK48" s="5"/>
      <c r="AN48" s="5"/>
      <c r="AO48" s="40"/>
      <c r="AP48" s="5"/>
      <c r="AQ48" s="5"/>
      <c r="AR48" s="40"/>
      <c r="AS48" s="5"/>
      <c r="AT48" s="5"/>
      <c r="AU48" s="40"/>
      <c r="AV48" s="5"/>
      <c r="AW48" s="5"/>
      <c r="AX48" s="40"/>
      <c r="AY48" s="5"/>
      <c r="AZ48" s="5"/>
      <c r="BA48" s="40"/>
      <c r="BB48" s="5"/>
      <c r="BC48" s="5"/>
      <c r="BD48" s="40"/>
      <c r="BE48" s="5"/>
      <c r="BF48" s="5"/>
      <c r="BG48" s="40"/>
      <c r="BH48" s="5"/>
      <c r="BI48" s="5"/>
      <c r="BJ48" s="40"/>
      <c r="BK48" s="5"/>
      <c r="BL48" s="5"/>
      <c r="BM48" s="40"/>
      <c r="BN48" s="5"/>
      <c r="BO48" s="5"/>
      <c r="BP48" s="40"/>
      <c r="BQ48" s="5"/>
      <c r="BR48" s="5"/>
      <c r="BS48" s="40"/>
      <c r="BT48" s="5"/>
      <c r="BU48" s="5"/>
      <c r="BV48" s="40"/>
      <c r="BW48" s="5"/>
      <c r="BX48" s="5"/>
      <c r="BY48" s="40"/>
      <c r="BZ48" s="5"/>
      <c r="CA48" s="5"/>
      <c r="CB48" s="40"/>
      <c r="CC48" s="5"/>
      <c r="CD48" s="5"/>
      <c r="CE48" s="40"/>
      <c r="CF48" s="5"/>
      <c r="CG48" s="5"/>
      <c r="CH48" s="40"/>
      <c r="CI48" s="5"/>
      <c r="CJ48" s="5"/>
      <c r="CK48" s="40"/>
      <c r="CL48" s="5"/>
      <c r="CM48" s="5"/>
      <c r="CN48" s="40"/>
      <c r="CO48" s="5"/>
      <c r="CP48" s="5"/>
      <c r="CQ48" s="40"/>
      <c r="CR48" s="5"/>
      <c r="CS48" s="5"/>
      <c r="CT48" s="5"/>
      <c r="CU48" s="5"/>
      <c r="CV48" s="5"/>
      <c r="CW48" s="5"/>
      <c r="CX48" s="5"/>
      <c r="CY48" s="5"/>
      <c r="CZ48" s="5"/>
      <c r="DA48" s="5"/>
      <c r="DB48" s="5"/>
      <c r="DC48" s="5"/>
      <c r="DD48" s="5"/>
      <c r="DE48" s="5"/>
      <c r="DF48" s="5"/>
    </row>
    <row r="49">
      <c r="A49" s="19"/>
      <c r="B49" s="26"/>
      <c r="C49" s="21"/>
      <c r="D49" s="19"/>
      <c r="G49" s="5"/>
      <c r="J49" s="5"/>
      <c r="M49" s="5"/>
      <c r="P49" s="5"/>
      <c r="S49" s="5"/>
      <c r="V49" s="5"/>
      <c r="Y49" s="5"/>
      <c r="AB49" s="5"/>
      <c r="AE49" s="5"/>
      <c r="AH49" s="5"/>
      <c r="AK49" s="5"/>
      <c r="AN49" s="5"/>
      <c r="AO49" s="40"/>
      <c r="AP49" s="5"/>
      <c r="AQ49" s="5"/>
      <c r="AR49" s="40"/>
      <c r="AS49" s="5"/>
      <c r="AT49" s="5"/>
      <c r="AU49" s="40"/>
      <c r="AV49" s="5"/>
      <c r="AW49" s="5"/>
      <c r="AX49" s="40"/>
      <c r="AY49" s="5"/>
      <c r="AZ49" s="5"/>
      <c r="BA49" s="40"/>
      <c r="BB49" s="5"/>
      <c r="BC49" s="5"/>
      <c r="BD49" s="40"/>
      <c r="BE49" s="5"/>
      <c r="BF49" s="5"/>
      <c r="BG49" s="40"/>
      <c r="BH49" s="5"/>
      <c r="BI49" s="5"/>
      <c r="BJ49" s="40"/>
      <c r="BK49" s="5"/>
      <c r="BL49" s="5"/>
      <c r="BM49" s="40"/>
      <c r="BN49" s="5"/>
      <c r="BO49" s="5"/>
      <c r="BP49" s="40"/>
      <c r="BQ49" s="5"/>
      <c r="BR49" s="5"/>
      <c r="BS49" s="40"/>
      <c r="BT49" s="5"/>
      <c r="BU49" s="5"/>
      <c r="BV49" s="40"/>
      <c r="BW49" s="5"/>
      <c r="BX49" s="5"/>
      <c r="BY49" s="40"/>
      <c r="BZ49" s="5"/>
      <c r="CA49" s="5"/>
      <c r="CB49" s="40"/>
      <c r="CC49" s="5"/>
      <c r="CD49" s="5"/>
      <c r="CE49" s="40"/>
      <c r="CF49" s="5"/>
      <c r="CG49" s="5"/>
      <c r="CH49" s="40"/>
      <c r="CI49" s="5"/>
      <c r="CJ49" s="5"/>
      <c r="CK49" s="40"/>
      <c r="CL49" s="5"/>
      <c r="CM49" s="5"/>
      <c r="CN49" s="40"/>
      <c r="CO49" s="5"/>
      <c r="CP49" s="5"/>
      <c r="CQ49" s="40"/>
      <c r="CR49" s="5"/>
      <c r="CS49" s="5"/>
      <c r="CT49" s="5"/>
      <c r="CU49" s="5"/>
      <c r="CV49" s="5"/>
      <c r="CW49" s="5"/>
      <c r="CX49" s="5"/>
      <c r="CY49" s="5"/>
      <c r="CZ49" s="5"/>
      <c r="DA49" s="5"/>
      <c r="DB49" s="5"/>
      <c r="DC49" s="5"/>
      <c r="DD49" s="5"/>
      <c r="DE49" s="5"/>
      <c r="DF49" s="5"/>
    </row>
    <row r="50">
      <c r="A50" s="19"/>
      <c r="B50" s="26"/>
      <c r="C50" s="21"/>
      <c r="D50" s="19"/>
      <c r="G50" s="5"/>
      <c r="J50" s="5"/>
      <c r="M50" s="5"/>
      <c r="P50" s="5"/>
      <c r="S50" s="5"/>
      <c r="V50" s="5"/>
      <c r="Y50" s="5"/>
      <c r="AB50" s="5"/>
      <c r="AE50" s="5"/>
      <c r="AH50" s="5"/>
      <c r="AK50" s="5"/>
      <c r="AN50" s="5"/>
      <c r="AO50" s="40"/>
      <c r="AP50" s="5"/>
      <c r="AQ50" s="5"/>
      <c r="AR50" s="40"/>
      <c r="AS50" s="5"/>
      <c r="AT50" s="5"/>
      <c r="AU50" s="40"/>
      <c r="AV50" s="5"/>
      <c r="AW50" s="5"/>
      <c r="AX50" s="40"/>
      <c r="AY50" s="5"/>
      <c r="AZ50" s="5"/>
      <c r="BA50" s="40"/>
      <c r="BB50" s="5"/>
      <c r="BC50" s="5"/>
      <c r="BD50" s="40"/>
      <c r="BE50" s="5"/>
      <c r="BF50" s="5"/>
      <c r="BG50" s="40"/>
      <c r="BH50" s="5"/>
      <c r="BI50" s="5"/>
      <c r="BJ50" s="40"/>
      <c r="BK50" s="5"/>
      <c r="BL50" s="5"/>
      <c r="BM50" s="40"/>
      <c r="BN50" s="5"/>
      <c r="BO50" s="5"/>
      <c r="BP50" s="40"/>
      <c r="BQ50" s="5"/>
      <c r="BR50" s="5"/>
      <c r="BS50" s="40"/>
      <c r="BT50" s="5"/>
      <c r="BU50" s="5"/>
      <c r="BV50" s="40"/>
      <c r="BW50" s="5"/>
      <c r="BX50" s="5"/>
      <c r="BY50" s="40"/>
      <c r="BZ50" s="5"/>
      <c r="CA50" s="5"/>
      <c r="CB50" s="40"/>
      <c r="CC50" s="5"/>
      <c r="CD50" s="5"/>
      <c r="CE50" s="40"/>
      <c r="CF50" s="5"/>
      <c r="CG50" s="5"/>
      <c r="CH50" s="40"/>
      <c r="CI50" s="5"/>
      <c r="CJ50" s="5"/>
      <c r="CK50" s="40"/>
      <c r="CL50" s="5"/>
      <c r="CM50" s="5"/>
      <c r="CN50" s="40"/>
      <c r="CO50" s="5"/>
      <c r="CP50" s="5"/>
      <c r="CQ50" s="40"/>
      <c r="CR50" s="5"/>
      <c r="CS50" s="5"/>
      <c r="CT50" s="5"/>
      <c r="CU50" s="5"/>
      <c r="CV50" s="5"/>
      <c r="CW50" s="5"/>
      <c r="CX50" s="5"/>
      <c r="CY50" s="5"/>
      <c r="CZ50" s="5"/>
      <c r="DA50" s="5"/>
      <c r="DB50" s="5"/>
      <c r="DC50" s="5"/>
      <c r="DD50" s="5"/>
      <c r="DE50" s="5"/>
      <c r="DF50" s="5"/>
    </row>
    <row r="51">
      <c r="A51" s="19"/>
      <c r="B51" s="26"/>
      <c r="C51" s="21"/>
      <c r="D51" s="19"/>
      <c r="G51" s="5"/>
      <c r="J51" s="5"/>
      <c r="M51" s="5"/>
      <c r="P51" s="5"/>
      <c r="S51" s="5"/>
      <c r="V51" s="5"/>
      <c r="Y51" s="5"/>
      <c r="AB51" s="5"/>
      <c r="AE51" s="5"/>
      <c r="AH51" s="5"/>
      <c r="AK51" s="5"/>
      <c r="AN51" s="5"/>
      <c r="AO51" s="40"/>
      <c r="AP51" s="5"/>
      <c r="AQ51" s="5"/>
      <c r="AR51" s="40"/>
      <c r="AS51" s="5"/>
      <c r="AT51" s="5"/>
      <c r="AU51" s="40"/>
      <c r="AV51" s="5"/>
      <c r="AW51" s="5"/>
      <c r="AX51" s="40"/>
      <c r="AY51" s="5"/>
      <c r="AZ51" s="5"/>
      <c r="BA51" s="40"/>
      <c r="BB51" s="5"/>
      <c r="BC51" s="5"/>
      <c r="BD51" s="40"/>
      <c r="BE51" s="5"/>
      <c r="BF51" s="5"/>
      <c r="BG51" s="40"/>
      <c r="BH51" s="5"/>
      <c r="BI51" s="5"/>
      <c r="BJ51" s="40"/>
      <c r="BK51" s="5"/>
      <c r="BL51" s="5"/>
      <c r="BM51" s="40"/>
      <c r="BN51" s="5"/>
      <c r="BO51" s="5"/>
      <c r="BP51" s="40"/>
      <c r="BQ51" s="5"/>
      <c r="BR51" s="5"/>
      <c r="BS51" s="40"/>
      <c r="BT51" s="5"/>
      <c r="BU51" s="5"/>
      <c r="BV51" s="40"/>
      <c r="BW51" s="5"/>
      <c r="BX51" s="5"/>
      <c r="BY51" s="40"/>
      <c r="BZ51" s="5"/>
      <c r="CA51" s="5"/>
      <c r="CB51" s="40"/>
      <c r="CC51" s="5"/>
      <c r="CD51" s="5"/>
      <c r="CE51" s="40"/>
      <c r="CF51" s="5"/>
      <c r="CG51" s="5"/>
      <c r="CH51" s="40"/>
      <c r="CI51" s="5"/>
      <c r="CJ51" s="5"/>
      <c r="CK51" s="40"/>
      <c r="CL51" s="5"/>
      <c r="CM51" s="5"/>
      <c r="CN51" s="40"/>
      <c r="CO51" s="5"/>
      <c r="CP51" s="5"/>
      <c r="CQ51" s="40"/>
      <c r="CR51" s="5"/>
      <c r="CS51" s="5"/>
      <c r="CT51" s="5"/>
      <c r="CU51" s="5"/>
      <c r="CV51" s="5"/>
      <c r="CW51" s="5"/>
      <c r="CX51" s="5"/>
      <c r="CY51" s="5"/>
      <c r="CZ51" s="5"/>
      <c r="DA51" s="5"/>
      <c r="DB51" s="5"/>
      <c r="DC51" s="5"/>
      <c r="DD51" s="5"/>
      <c r="DE51" s="5"/>
      <c r="DF51" s="5"/>
    </row>
    <row r="52">
      <c r="A52" s="19"/>
      <c r="B52" s="26"/>
      <c r="C52" s="21"/>
      <c r="D52" s="19"/>
      <c r="G52" s="5"/>
      <c r="J52" s="5"/>
      <c r="M52" s="5"/>
      <c r="P52" s="5"/>
      <c r="S52" s="5"/>
      <c r="V52" s="5"/>
      <c r="Y52" s="5"/>
      <c r="AB52" s="5"/>
      <c r="AE52" s="5"/>
      <c r="AH52" s="5"/>
      <c r="AK52" s="5"/>
      <c r="AN52" s="5"/>
      <c r="AO52" s="40"/>
      <c r="AP52" s="5"/>
      <c r="AQ52" s="5"/>
      <c r="AR52" s="40"/>
      <c r="AS52" s="5"/>
      <c r="AT52" s="5"/>
      <c r="AU52" s="40"/>
      <c r="AV52" s="5"/>
      <c r="AW52" s="5"/>
      <c r="AX52" s="40"/>
      <c r="AY52" s="5"/>
      <c r="AZ52" s="5"/>
      <c r="BA52" s="40"/>
      <c r="BB52" s="5"/>
      <c r="BC52" s="5"/>
      <c r="BD52" s="40"/>
      <c r="BE52" s="5"/>
      <c r="BF52" s="5"/>
      <c r="BG52" s="40"/>
      <c r="BH52" s="5"/>
      <c r="BI52" s="5"/>
      <c r="BJ52" s="40"/>
      <c r="BK52" s="5"/>
      <c r="BL52" s="5"/>
      <c r="BM52" s="40"/>
      <c r="BN52" s="5"/>
      <c r="BO52" s="5"/>
      <c r="BP52" s="40"/>
      <c r="BQ52" s="5"/>
      <c r="BR52" s="5"/>
      <c r="BS52" s="40"/>
      <c r="BT52" s="5"/>
      <c r="BU52" s="5"/>
      <c r="BV52" s="40"/>
      <c r="BW52" s="5"/>
      <c r="BX52" s="5"/>
      <c r="BY52" s="40"/>
      <c r="BZ52" s="5"/>
      <c r="CA52" s="5"/>
      <c r="CB52" s="40"/>
      <c r="CC52" s="5"/>
      <c r="CD52" s="5"/>
      <c r="CE52" s="40"/>
      <c r="CF52" s="5"/>
      <c r="CG52" s="5"/>
      <c r="CH52" s="40"/>
      <c r="CI52" s="5"/>
      <c r="CJ52" s="5"/>
      <c r="CK52" s="40"/>
      <c r="CL52" s="5"/>
      <c r="CM52" s="5"/>
      <c r="CN52" s="40"/>
      <c r="CO52" s="5"/>
      <c r="CP52" s="5"/>
      <c r="CQ52" s="40"/>
      <c r="CR52" s="5"/>
      <c r="CS52" s="5"/>
      <c r="CT52" s="5"/>
      <c r="CU52" s="5"/>
      <c r="CV52" s="5"/>
      <c r="CW52" s="5"/>
      <c r="CX52" s="5"/>
      <c r="CY52" s="5"/>
      <c r="CZ52" s="5"/>
      <c r="DA52" s="5"/>
      <c r="DB52" s="5"/>
      <c r="DC52" s="5"/>
      <c r="DD52" s="5"/>
      <c r="DE52" s="5"/>
      <c r="DF52" s="5"/>
    </row>
    <row r="53">
      <c r="A53" s="19"/>
      <c r="B53" s="26"/>
      <c r="C53" s="21"/>
      <c r="D53" s="19"/>
      <c r="G53" s="5"/>
      <c r="J53" s="5"/>
      <c r="M53" s="5"/>
      <c r="P53" s="5"/>
      <c r="S53" s="5"/>
      <c r="V53" s="5"/>
      <c r="Y53" s="5"/>
      <c r="AB53" s="5"/>
      <c r="AE53" s="5"/>
      <c r="AH53" s="5"/>
      <c r="AK53" s="5"/>
      <c r="AN53" s="5"/>
      <c r="AO53" s="40"/>
      <c r="AP53" s="5"/>
      <c r="AQ53" s="5"/>
      <c r="AR53" s="40"/>
      <c r="AS53" s="5"/>
      <c r="AT53" s="5"/>
      <c r="AU53" s="40"/>
      <c r="AV53" s="5"/>
      <c r="AW53" s="5"/>
      <c r="AX53" s="40"/>
      <c r="AY53" s="5"/>
      <c r="AZ53" s="5"/>
      <c r="BA53" s="40"/>
      <c r="BB53" s="5"/>
      <c r="BC53" s="5"/>
      <c r="BD53" s="40"/>
      <c r="BE53" s="5"/>
      <c r="BF53" s="5"/>
      <c r="BG53" s="40"/>
      <c r="BH53" s="5"/>
      <c r="BI53" s="5"/>
      <c r="BJ53" s="40"/>
      <c r="BK53" s="5"/>
      <c r="BL53" s="5"/>
      <c r="BM53" s="40"/>
      <c r="BN53" s="5"/>
      <c r="BO53" s="5"/>
      <c r="BP53" s="40"/>
      <c r="BQ53" s="5"/>
      <c r="BR53" s="5"/>
      <c r="BS53" s="40"/>
      <c r="BT53" s="5"/>
      <c r="BU53" s="5"/>
      <c r="BV53" s="40"/>
      <c r="BW53" s="5"/>
      <c r="BX53" s="5"/>
      <c r="BY53" s="40"/>
      <c r="BZ53" s="5"/>
      <c r="CA53" s="5"/>
      <c r="CB53" s="40"/>
      <c r="CC53" s="5"/>
      <c r="CD53" s="5"/>
      <c r="CE53" s="40"/>
      <c r="CF53" s="5"/>
      <c r="CG53" s="5"/>
      <c r="CH53" s="40"/>
      <c r="CI53" s="5"/>
      <c r="CJ53" s="5"/>
      <c r="CK53" s="40"/>
      <c r="CL53" s="5"/>
      <c r="CM53" s="5"/>
      <c r="CN53" s="40"/>
      <c r="CO53" s="5"/>
      <c r="CP53" s="5"/>
      <c r="CQ53" s="40"/>
      <c r="CR53" s="5"/>
      <c r="CS53" s="5"/>
      <c r="CT53" s="5"/>
      <c r="CU53" s="5"/>
      <c r="CV53" s="5"/>
      <c r="CW53" s="5"/>
      <c r="CX53" s="5"/>
      <c r="CY53" s="5"/>
      <c r="CZ53" s="5"/>
      <c r="DA53" s="5"/>
      <c r="DB53" s="5"/>
      <c r="DC53" s="5"/>
      <c r="DD53" s="5"/>
      <c r="DE53" s="5"/>
      <c r="DF53" s="5"/>
    </row>
    <row r="54">
      <c r="A54" s="19"/>
      <c r="B54" s="26"/>
      <c r="C54" s="21"/>
      <c r="D54" s="19"/>
      <c r="G54" s="5"/>
      <c r="J54" s="5"/>
      <c r="M54" s="5"/>
      <c r="P54" s="5"/>
      <c r="S54" s="5"/>
      <c r="V54" s="5"/>
      <c r="Y54" s="5"/>
      <c r="AB54" s="5"/>
      <c r="AE54" s="5"/>
      <c r="AH54" s="5"/>
      <c r="AK54" s="5"/>
      <c r="AN54" s="5"/>
      <c r="AO54" s="40"/>
      <c r="AP54" s="5"/>
      <c r="AQ54" s="5"/>
      <c r="AR54" s="40"/>
      <c r="AS54" s="5"/>
      <c r="AT54" s="5"/>
      <c r="AU54" s="40"/>
      <c r="AV54" s="5"/>
      <c r="AW54" s="5"/>
      <c r="AX54" s="40"/>
      <c r="AY54" s="5"/>
      <c r="AZ54" s="5"/>
      <c r="BA54" s="40"/>
      <c r="BB54" s="5"/>
      <c r="BC54" s="5"/>
      <c r="BD54" s="40"/>
      <c r="BE54" s="5"/>
      <c r="BF54" s="5"/>
      <c r="BG54" s="40"/>
      <c r="BH54" s="5"/>
      <c r="BI54" s="5"/>
      <c r="BJ54" s="40"/>
      <c r="BK54" s="5"/>
      <c r="BL54" s="5"/>
      <c r="BM54" s="40"/>
      <c r="BN54" s="5"/>
      <c r="BO54" s="5"/>
      <c r="BP54" s="40"/>
      <c r="BQ54" s="5"/>
      <c r="BR54" s="5"/>
      <c r="BS54" s="40"/>
      <c r="BT54" s="5"/>
      <c r="BU54" s="5"/>
      <c r="BV54" s="40"/>
      <c r="BW54" s="5"/>
      <c r="BX54" s="5"/>
      <c r="BY54" s="40"/>
      <c r="BZ54" s="5"/>
      <c r="CA54" s="5"/>
      <c r="CB54" s="40"/>
      <c r="CC54" s="5"/>
      <c r="CD54" s="5"/>
      <c r="CE54" s="40"/>
      <c r="CF54" s="5"/>
      <c r="CG54" s="5"/>
      <c r="CH54" s="40"/>
      <c r="CI54" s="5"/>
      <c r="CJ54" s="5"/>
      <c r="CK54" s="40"/>
      <c r="CL54" s="5"/>
      <c r="CM54" s="5"/>
      <c r="CN54" s="40"/>
      <c r="CO54" s="5"/>
      <c r="CP54" s="5"/>
      <c r="CQ54" s="40"/>
      <c r="CR54" s="5"/>
      <c r="CS54" s="5"/>
      <c r="CT54" s="5"/>
      <c r="CU54" s="5"/>
      <c r="CV54" s="5"/>
      <c r="CW54" s="5"/>
      <c r="CX54" s="5"/>
      <c r="CY54" s="5"/>
      <c r="CZ54" s="5"/>
      <c r="DA54" s="5"/>
      <c r="DB54" s="5"/>
      <c r="DC54" s="5"/>
      <c r="DD54" s="5"/>
      <c r="DE54" s="5"/>
      <c r="DF54" s="5"/>
    </row>
    <row r="55">
      <c r="A55" s="19"/>
      <c r="B55" s="26"/>
      <c r="C55" s="21"/>
      <c r="D55" s="19"/>
      <c r="G55" s="5"/>
      <c r="J55" s="5"/>
      <c r="M55" s="5"/>
      <c r="P55" s="5"/>
      <c r="S55" s="5"/>
      <c r="V55" s="5"/>
      <c r="Y55" s="5"/>
      <c r="AB55" s="5"/>
      <c r="AE55" s="5"/>
      <c r="AH55" s="5"/>
      <c r="AK55" s="5"/>
      <c r="AN55" s="5"/>
      <c r="AO55" s="40"/>
      <c r="AP55" s="5"/>
      <c r="AQ55" s="5"/>
      <c r="AR55" s="40"/>
      <c r="AS55" s="5"/>
      <c r="AT55" s="5"/>
      <c r="AU55" s="40"/>
      <c r="AV55" s="5"/>
      <c r="AW55" s="5"/>
      <c r="AX55" s="40"/>
      <c r="AY55" s="5"/>
      <c r="AZ55" s="5"/>
      <c r="BA55" s="40"/>
      <c r="BB55" s="5"/>
      <c r="BC55" s="5"/>
      <c r="BD55" s="40"/>
      <c r="BE55" s="5"/>
      <c r="BF55" s="5"/>
      <c r="BG55" s="40"/>
      <c r="BH55" s="5"/>
      <c r="BI55" s="5"/>
      <c r="BJ55" s="40"/>
      <c r="BK55" s="5"/>
      <c r="BL55" s="5"/>
      <c r="BM55" s="40"/>
      <c r="BN55" s="5"/>
      <c r="BO55" s="5"/>
      <c r="BP55" s="40"/>
      <c r="BQ55" s="5"/>
      <c r="BR55" s="5"/>
      <c r="BS55" s="40"/>
      <c r="BT55" s="5"/>
      <c r="BU55" s="5"/>
      <c r="BV55" s="40"/>
      <c r="BW55" s="5"/>
      <c r="BX55" s="5"/>
      <c r="BY55" s="40"/>
      <c r="BZ55" s="5"/>
      <c r="CA55" s="5"/>
      <c r="CB55" s="40"/>
      <c r="CC55" s="5"/>
      <c r="CD55" s="5"/>
      <c r="CE55" s="40"/>
      <c r="CF55" s="5"/>
      <c r="CG55" s="5"/>
      <c r="CH55" s="40"/>
      <c r="CI55" s="5"/>
      <c r="CJ55" s="5"/>
      <c r="CK55" s="40"/>
      <c r="CL55" s="5"/>
      <c r="CM55" s="5"/>
      <c r="CN55" s="40"/>
      <c r="CO55" s="5"/>
      <c r="CP55" s="5"/>
      <c r="CQ55" s="40"/>
      <c r="CR55" s="5"/>
      <c r="CS55" s="5"/>
      <c r="CT55" s="5"/>
      <c r="CU55" s="5"/>
      <c r="CV55" s="5"/>
      <c r="CW55" s="5"/>
      <c r="CX55" s="5"/>
      <c r="CY55" s="5"/>
      <c r="CZ55" s="5"/>
      <c r="DA55" s="5"/>
      <c r="DB55" s="5"/>
      <c r="DC55" s="5"/>
      <c r="DD55" s="5"/>
      <c r="DE55" s="5"/>
      <c r="DF55" s="5"/>
    </row>
    <row r="56">
      <c r="A56" s="19"/>
      <c r="B56" s="26"/>
      <c r="C56" s="21"/>
      <c r="D56" s="19"/>
      <c r="G56" s="5"/>
      <c r="J56" s="5"/>
      <c r="M56" s="5"/>
      <c r="P56" s="5"/>
      <c r="S56" s="5"/>
      <c r="V56" s="5"/>
      <c r="Y56" s="5"/>
      <c r="AB56" s="5"/>
      <c r="AE56" s="5"/>
      <c r="AH56" s="5"/>
      <c r="AK56" s="5"/>
      <c r="AN56" s="5"/>
      <c r="AO56" s="40"/>
      <c r="AP56" s="5"/>
      <c r="AQ56" s="5"/>
      <c r="AR56" s="40"/>
      <c r="AS56" s="5"/>
      <c r="AT56" s="5"/>
      <c r="AU56" s="40"/>
      <c r="AV56" s="5"/>
      <c r="AW56" s="5"/>
      <c r="AX56" s="40"/>
      <c r="AY56" s="5"/>
      <c r="AZ56" s="5"/>
      <c r="BA56" s="40"/>
      <c r="BB56" s="5"/>
      <c r="BC56" s="5"/>
      <c r="BD56" s="40"/>
      <c r="BE56" s="5"/>
      <c r="BF56" s="5"/>
      <c r="BG56" s="40"/>
      <c r="BH56" s="5"/>
      <c r="BI56" s="5"/>
      <c r="BJ56" s="40"/>
      <c r="BK56" s="5"/>
      <c r="BL56" s="5"/>
      <c r="BM56" s="40"/>
      <c r="BN56" s="5"/>
      <c r="BO56" s="5"/>
      <c r="BP56" s="40"/>
      <c r="BQ56" s="5"/>
      <c r="BR56" s="5"/>
      <c r="BS56" s="40"/>
      <c r="BT56" s="5"/>
      <c r="BU56" s="5"/>
      <c r="BV56" s="40"/>
      <c r="BW56" s="5"/>
      <c r="BX56" s="5"/>
      <c r="BY56" s="40"/>
      <c r="BZ56" s="5"/>
      <c r="CA56" s="5"/>
      <c r="CB56" s="40"/>
      <c r="CC56" s="5"/>
      <c r="CD56" s="5"/>
      <c r="CE56" s="40"/>
      <c r="CF56" s="5"/>
      <c r="CG56" s="5"/>
      <c r="CH56" s="40"/>
      <c r="CI56" s="5"/>
      <c r="CJ56" s="5"/>
      <c r="CK56" s="40"/>
      <c r="CL56" s="5"/>
      <c r="CM56" s="5"/>
      <c r="CN56" s="40"/>
      <c r="CO56" s="5"/>
      <c r="CP56" s="5"/>
      <c r="CQ56" s="40"/>
      <c r="CR56" s="5"/>
      <c r="CS56" s="5"/>
      <c r="CT56" s="5"/>
      <c r="CU56" s="5"/>
      <c r="CV56" s="5"/>
      <c r="CW56" s="5"/>
      <c r="CX56" s="5"/>
      <c r="CY56" s="5"/>
      <c r="CZ56" s="5"/>
      <c r="DA56" s="5"/>
      <c r="DB56" s="5"/>
      <c r="DC56" s="5"/>
      <c r="DD56" s="5"/>
      <c r="DE56" s="5"/>
      <c r="DF56" s="5"/>
    </row>
    <row r="57">
      <c r="A57" s="19"/>
      <c r="B57" s="26"/>
      <c r="C57" s="21"/>
      <c r="D57" s="19"/>
      <c r="G57" s="5"/>
      <c r="J57" s="5"/>
      <c r="M57" s="5"/>
      <c r="P57" s="5"/>
      <c r="S57" s="5"/>
      <c r="V57" s="5"/>
      <c r="Y57" s="5"/>
      <c r="AB57" s="5"/>
      <c r="AE57" s="5"/>
      <c r="AH57" s="5"/>
      <c r="AK57" s="5"/>
      <c r="AN57" s="5"/>
      <c r="AO57" s="40"/>
      <c r="AP57" s="5"/>
      <c r="AQ57" s="5"/>
      <c r="AR57" s="40"/>
      <c r="AS57" s="5"/>
      <c r="AT57" s="5"/>
      <c r="AU57" s="40"/>
      <c r="AV57" s="5"/>
      <c r="AW57" s="5"/>
      <c r="AX57" s="40"/>
      <c r="AY57" s="5"/>
      <c r="AZ57" s="5"/>
      <c r="BA57" s="40"/>
      <c r="BB57" s="5"/>
      <c r="BC57" s="5"/>
      <c r="BD57" s="40"/>
      <c r="BE57" s="5"/>
      <c r="BF57" s="5"/>
      <c r="BG57" s="40"/>
      <c r="BH57" s="5"/>
      <c r="BI57" s="5"/>
      <c r="BJ57" s="40"/>
      <c r="BK57" s="5"/>
      <c r="BL57" s="5"/>
      <c r="BM57" s="40"/>
      <c r="BN57" s="5"/>
      <c r="BO57" s="5"/>
      <c r="BP57" s="40"/>
      <c r="BQ57" s="5"/>
      <c r="BR57" s="5"/>
      <c r="BS57" s="40"/>
      <c r="BT57" s="5"/>
      <c r="BU57" s="5"/>
      <c r="BV57" s="40"/>
      <c r="BW57" s="5"/>
      <c r="BX57" s="5"/>
      <c r="BY57" s="40"/>
      <c r="BZ57" s="5"/>
      <c r="CA57" s="5"/>
      <c r="CB57" s="40"/>
      <c r="CC57" s="5"/>
      <c r="CD57" s="5"/>
      <c r="CE57" s="40"/>
      <c r="CF57" s="5"/>
      <c r="CG57" s="5"/>
      <c r="CH57" s="40"/>
      <c r="CI57" s="5"/>
      <c r="CJ57" s="5"/>
      <c r="CK57" s="40"/>
      <c r="CL57" s="5"/>
      <c r="CM57" s="5"/>
      <c r="CN57" s="40"/>
      <c r="CO57" s="5"/>
      <c r="CP57" s="5"/>
      <c r="CQ57" s="40"/>
      <c r="CR57" s="5"/>
      <c r="CS57" s="5"/>
      <c r="CT57" s="5"/>
      <c r="CU57" s="5"/>
      <c r="CV57" s="5"/>
      <c r="CW57" s="5"/>
      <c r="CX57" s="5"/>
      <c r="CY57" s="5"/>
      <c r="CZ57" s="5"/>
      <c r="DA57" s="5"/>
      <c r="DB57" s="5"/>
      <c r="DC57" s="5"/>
      <c r="DD57" s="5"/>
      <c r="DE57" s="5"/>
      <c r="DF57" s="5"/>
    </row>
    <row r="58">
      <c r="A58" s="19"/>
      <c r="B58" s="26"/>
      <c r="C58" s="21"/>
      <c r="D58" s="19"/>
      <c r="G58" s="5"/>
      <c r="J58" s="5"/>
      <c r="M58" s="5"/>
      <c r="P58" s="5"/>
      <c r="S58" s="5"/>
      <c r="V58" s="5"/>
      <c r="Y58" s="5"/>
      <c r="AB58" s="5"/>
      <c r="AE58" s="5"/>
      <c r="AH58" s="5"/>
      <c r="AK58" s="5"/>
      <c r="AN58" s="5"/>
      <c r="AO58" s="40"/>
      <c r="AP58" s="5"/>
      <c r="AQ58" s="5"/>
      <c r="AR58" s="40"/>
      <c r="AS58" s="5"/>
      <c r="AT58" s="5"/>
      <c r="AU58" s="40"/>
      <c r="AV58" s="5"/>
      <c r="AW58" s="5"/>
      <c r="AX58" s="40"/>
      <c r="AY58" s="5"/>
      <c r="AZ58" s="5"/>
      <c r="BA58" s="40"/>
      <c r="BB58" s="5"/>
      <c r="BC58" s="5"/>
      <c r="BD58" s="40"/>
      <c r="BE58" s="5"/>
      <c r="BF58" s="5"/>
      <c r="BG58" s="40"/>
      <c r="BH58" s="5"/>
      <c r="BI58" s="5"/>
      <c r="BJ58" s="40"/>
      <c r="BK58" s="5"/>
      <c r="BL58" s="5"/>
      <c r="BM58" s="40"/>
      <c r="BN58" s="5"/>
      <c r="BO58" s="5"/>
      <c r="BP58" s="40"/>
      <c r="BQ58" s="5"/>
      <c r="BR58" s="5"/>
      <c r="BS58" s="40"/>
      <c r="BT58" s="5"/>
      <c r="BU58" s="5"/>
      <c r="BV58" s="40"/>
      <c r="BW58" s="5"/>
      <c r="BX58" s="5"/>
      <c r="BY58" s="40"/>
      <c r="BZ58" s="5"/>
      <c r="CA58" s="5"/>
      <c r="CB58" s="40"/>
      <c r="CC58" s="5"/>
      <c r="CD58" s="5"/>
      <c r="CE58" s="40"/>
      <c r="CF58" s="5"/>
      <c r="CG58" s="5"/>
      <c r="CH58" s="40"/>
      <c r="CI58" s="5"/>
      <c r="CJ58" s="5"/>
      <c r="CK58" s="40"/>
      <c r="CL58" s="5"/>
      <c r="CM58" s="5"/>
      <c r="CN58" s="40"/>
      <c r="CO58" s="5"/>
      <c r="CP58" s="5"/>
      <c r="CQ58" s="40"/>
      <c r="CR58" s="5"/>
      <c r="CS58" s="5"/>
      <c r="CT58" s="5"/>
      <c r="CU58" s="5"/>
      <c r="CV58" s="5"/>
      <c r="CW58" s="5"/>
      <c r="CX58" s="5"/>
      <c r="CY58" s="5"/>
      <c r="CZ58" s="5"/>
      <c r="DA58" s="5"/>
      <c r="DB58" s="5"/>
      <c r="DC58" s="5"/>
      <c r="DD58" s="5"/>
      <c r="DE58" s="5"/>
      <c r="DF58" s="5"/>
    </row>
    <row r="59">
      <c r="A59" s="19"/>
      <c r="B59" s="26"/>
      <c r="C59" s="21"/>
      <c r="D59" s="19"/>
      <c r="G59" s="5"/>
      <c r="J59" s="5"/>
      <c r="M59" s="5"/>
      <c r="P59" s="5"/>
      <c r="S59" s="5"/>
      <c r="V59" s="5"/>
      <c r="Y59" s="5"/>
      <c r="AB59" s="5"/>
      <c r="AE59" s="5"/>
      <c r="AH59" s="5"/>
      <c r="AK59" s="5"/>
      <c r="AN59" s="5"/>
      <c r="AO59" s="40"/>
      <c r="AP59" s="5"/>
      <c r="AQ59" s="5"/>
      <c r="AR59" s="40"/>
      <c r="AS59" s="5"/>
      <c r="AT59" s="5"/>
      <c r="AU59" s="40"/>
      <c r="AV59" s="5"/>
      <c r="AW59" s="5"/>
      <c r="AX59" s="40"/>
      <c r="AY59" s="5"/>
      <c r="AZ59" s="5"/>
      <c r="BA59" s="40"/>
      <c r="BB59" s="5"/>
      <c r="BC59" s="5"/>
      <c r="BD59" s="40"/>
      <c r="BE59" s="5"/>
      <c r="BF59" s="5"/>
      <c r="BG59" s="40"/>
      <c r="BH59" s="5"/>
      <c r="BI59" s="5"/>
      <c r="BJ59" s="40"/>
      <c r="BK59" s="5"/>
      <c r="BL59" s="5"/>
      <c r="BM59" s="40"/>
      <c r="BN59" s="5"/>
      <c r="BO59" s="5"/>
      <c r="BP59" s="40"/>
      <c r="BQ59" s="5"/>
      <c r="BR59" s="5"/>
      <c r="BS59" s="40"/>
      <c r="BT59" s="5"/>
      <c r="BU59" s="5"/>
      <c r="BV59" s="40"/>
      <c r="BW59" s="5"/>
      <c r="BX59" s="5"/>
      <c r="BY59" s="40"/>
      <c r="BZ59" s="5"/>
      <c r="CA59" s="5"/>
      <c r="CB59" s="40"/>
      <c r="CC59" s="5"/>
      <c r="CD59" s="5"/>
      <c r="CE59" s="40"/>
      <c r="CF59" s="5"/>
      <c r="CG59" s="5"/>
      <c r="CH59" s="40"/>
      <c r="CI59" s="5"/>
      <c r="CJ59" s="5"/>
      <c r="CK59" s="40"/>
      <c r="CL59" s="5"/>
      <c r="CM59" s="5"/>
      <c r="CN59" s="40"/>
      <c r="CO59" s="5"/>
      <c r="CP59" s="5"/>
      <c r="CQ59" s="40"/>
      <c r="CR59" s="5"/>
      <c r="CS59" s="5"/>
      <c r="CT59" s="5"/>
      <c r="CU59" s="5"/>
      <c r="CV59" s="5"/>
      <c r="CW59" s="5"/>
      <c r="CX59" s="5"/>
      <c r="CY59" s="5"/>
      <c r="CZ59" s="5"/>
      <c r="DA59" s="5"/>
      <c r="DB59" s="5"/>
      <c r="DC59" s="5"/>
      <c r="DD59" s="5"/>
      <c r="DE59" s="5"/>
      <c r="DF59" s="5"/>
    </row>
    <row r="60">
      <c r="A60" s="19"/>
      <c r="B60" s="26"/>
      <c r="C60" s="21"/>
      <c r="D60" s="19"/>
      <c r="G60" s="5"/>
      <c r="J60" s="5"/>
      <c r="M60" s="5"/>
      <c r="P60" s="5"/>
      <c r="S60" s="5"/>
      <c r="V60" s="5"/>
      <c r="Y60" s="5"/>
      <c r="AB60" s="5"/>
      <c r="AE60" s="5"/>
      <c r="AH60" s="5"/>
      <c r="AK60" s="5"/>
      <c r="AN60" s="5"/>
      <c r="AO60" s="40"/>
      <c r="AP60" s="5"/>
      <c r="AQ60" s="5"/>
      <c r="AR60" s="40"/>
      <c r="AS60" s="5"/>
      <c r="AT60" s="5"/>
      <c r="AU60" s="40"/>
      <c r="AV60" s="5"/>
      <c r="AW60" s="5"/>
      <c r="AX60" s="40"/>
      <c r="AY60" s="5"/>
      <c r="AZ60" s="5"/>
      <c r="BA60" s="40"/>
      <c r="BB60" s="5"/>
      <c r="BC60" s="5"/>
      <c r="BD60" s="40"/>
      <c r="BE60" s="5"/>
      <c r="BF60" s="5"/>
      <c r="BG60" s="40"/>
      <c r="BH60" s="5"/>
      <c r="BI60" s="5"/>
      <c r="BJ60" s="40"/>
      <c r="BK60" s="5"/>
      <c r="BL60" s="5"/>
      <c r="BM60" s="40"/>
      <c r="BN60" s="5"/>
      <c r="BO60" s="5"/>
      <c r="BP60" s="40"/>
      <c r="BQ60" s="5"/>
      <c r="BR60" s="5"/>
      <c r="BS60" s="40"/>
      <c r="BT60" s="5"/>
      <c r="BU60" s="5"/>
      <c r="BV60" s="40"/>
      <c r="BW60" s="5"/>
      <c r="BX60" s="5"/>
      <c r="BY60" s="40"/>
      <c r="BZ60" s="5"/>
      <c r="CA60" s="5"/>
      <c r="CB60" s="40"/>
      <c r="CC60" s="5"/>
      <c r="CD60" s="5"/>
      <c r="CE60" s="40"/>
      <c r="CF60" s="5"/>
      <c r="CG60" s="5"/>
      <c r="CH60" s="40"/>
      <c r="CI60" s="5"/>
      <c r="CJ60" s="5"/>
      <c r="CK60" s="40"/>
      <c r="CL60" s="5"/>
      <c r="CM60" s="5"/>
      <c r="CN60" s="40"/>
      <c r="CO60" s="5"/>
      <c r="CP60" s="5"/>
      <c r="CQ60" s="40"/>
      <c r="CR60" s="5"/>
      <c r="CS60" s="5"/>
      <c r="CT60" s="5"/>
      <c r="CU60" s="5"/>
      <c r="CV60" s="5"/>
      <c r="CW60" s="5"/>
      <c r="CX60" s="5"/>
      <c r="CY60" s="5"/>
      <c r="CZ60" s="5"/>
      <c r="DA60" s="5"/>
      <c r="DB60" s="5"/>
      <c r="DC60" s="5"/>
      <c r="DD60" s="5"/>
      <c r="DE60" s="5"/>
      <c r="DF60" s="5"/>
    </row>
    <row r="61">
      <c r="A61" s="19"/>
      <c r="B61" s="26"/>
      <c r="C61" s="21"/>
      <c r="D61" s="19"/>
      <c r="G61" s="5"/>
      <c r="J61" s="5"/>
      <c r="M61" s="5"/>
      <c r="P61" s="5"/>
      <c r="S61" s="5"/>
      <c r="V61" s="5"/>
      <c r="Y61" s="5"/>
      <c r="AB61" s="5"/>
      <c r="AE61" s="5"/>
      <c r="AH61" s="5"/>
      <c r="AK61" s="5"/>
      <c r="AN61" s="5"/>
      <c r="AO61" s="40"/>
      <c r="AP61" s="5"/>
      <c r="AQ61" s="5"/>
      <c r="AR61" s="40"/>
      <c r="AS61" s="5"/>
      <c r="AT61" s="5"/>
      <c r="AU61" s="40"/>
      <c r="AV61" s="5"/>
      <c r="AW61" s="5"/>
      <c r="AX61" s="40"/>
      <c r="AY61" s="5"/>
      <c r="AZ61" s="5"/>
      <c r="BA61" s="40"/>
      <c r="BB61" s="5"/>
      <c r="BC61" s="5"/>
      <c r="BD61" s="40"/>
      <c r="BE61" s="5"/>
      <c r="BF61" s="5"/>
      <c r="BG61" s="40"/>
      <c r="BH61" s="5"/>
      <c r="BI61" s="5"/>
      <c r="BJ61" s="40"/>
      <c r="BK61" s="5"/>
      <c r="BL61" s="5"/>
      <c r="BM61" s="40"/>
      <c r="BN61" s="5"/>
      <c r="BO61" s="5"/>
      <c r="BP61" s="40"/>
      <c r="BQ61" s="5"/>
      <c r="BR61" s="5"/>
      <c r="BS61" s="40"/>
      <c r="BT61" s="5"/>
      <c r="BU61" s="5"/>
      <c r="BV61" s="40"/>
      <c r="BW61" s="5"/>
      <c r="BX61" s="5"/>
      <c r="BY61" s="40"/>
      <c r="BZ61" s="5"/>
      <c r="CA61" s="5"/>
      <c r="CB61" s="40"/>
      <c r="CC61" s="5"/>
      <c r="CD61" s="5"/>
      <c r="CE61" s="40"/>
      <c r="CF61" s="5"/>
      <c r="CG61" s="5"/>
      <c r="CH61" s="40"/>
      <c r="CI61" s="5"/>
      <c r="CJ61" s="5"/>
      <c r="CK61" s="40"/>
      <c r="CL61" s="5"/>
      <c r="CM61" s="5"/>
      <c r="CN61" s="40"/>
      <c r="CO61" s="5"/>
      <c r="CP61" s="5"/>
      <c r="CQ61" s="40"/>
      <c r="CR61" s="5"/>
      <c r="CS61" s="5"/>
      <c r="CT61" s="5"/>
      <c r="CU61" s="5"/>
      <c r="CV61" s="5"/>
      <c r="CW61" s="5"/>
      <c r="CX61" s="5"/>
      <c r="CY61" s="5"/>
      <c r="CZ61" s="5"/>
      <c r="DA61" s="5"/>
      <c r="DB61" s="5"/>
      <c r="DC61" s="5"/>
      <c r="DD61" s="5"/>
      <c r="DE61" s="5"/>
      <c r="DF61" s="5"/>
    </row>
    <row r="62">
      <c r="A62" s="19"/>
      <c r="B62" s="26"/>
      <c r="C62" s="21"/>
      <c r="D62" s="19"/>
      <c r="AO62" s="40"/>
      <c r="AP62" s="5"/>
      <c r="AR62" s="40"/>
      <c r="AS62" s="5"/>
      <c r="AU62" s="40"/>
      <c r="AV62" s="5"/>
      <c r="AX62" s="40"/>
      <c r="AY62" s="5"/>
      <c r="BA62" s="40"/>
      <c r="BB62" s="5"/>
      <c r="BD62" s="40"/>
      <c r="BE62" s="5"/>
      <c r="BG62" s="40"/>
      <c r="BH62" s="5"/>
      <c r="BJ62" s="40"/>
      <c r="BK62" s="5"/>
      <c r="BM62" s="40"/>
      <c r="BN62" s="5"/>
      <c r="BP62" s="40"/>
      <c r="BQ62" s="5"/>
      <c r="BS62" s="40"/>
      <c r="BT62" s="5"/>
      <c r="BV62" s="40"/>
      <c r="BW62" s="5"/>
      <c r="BY62" s="40"/>
      <c r="BZ62" s="5"/>
      <c r="CB62" s="40"/>
      <c r="CC62" s="5"/>
      <c r="CE62" s="40"/>
      <c r="CF62" s="5"/>
      <c r="CH62" s="40"/>
      <c r="CI62" s="5"/>
      <c r="CK62" s="40"/>
      <c r="CL62" s="5"/>
      <c r="CN62" s="40"/>
      <c r="CO62" s="5"/>
      <c r="CQ62" s="40"/>
      <c r="CR62" s="5"/>
    </row>
    <row r="63">
      <c r="A63" s="19"/>
      <c r="B63" s="26"/>
      <c r="C63" s="21"/>
      <c r="D63" s="19"/>
      <c r="AO63" s="40"/>
      <c r="AP63" s="5"/>
      <c r="AR63" s="40"/>
      <c r="AS63" s="5"/>
      <c r="AU63" s="40"/>
      <c r="AV63" s="5"/>
      <c r="AX63" s="40"/>
      <c r="AY63" s="5"/>
      <c r="BA63" s="40"/>
      <c r="BB63" s="5"/>
      <c r="BD63" s="40"/>
      <c r="BE63" s="5"/>
      <c r="BG63" s="40"/>
      <c r="BH63" s="5"/>
      <c r="BJ63" s="40"/>
      <c r="BK63" s="5"/>
      <c r="BM63" s="40"/>
      <c r="BN63" s="5"/>
      <c r="BP63" s="40"/>
      <c r="BQ63" s="5"/>
      <c r="BS63" s="40"/>
      <c r="BT63" s="5"/>
      <c r="BV63" s="40"/>
      <c r="BW63" s="5"/>
      <c r="BY63" s="40"/>
      <c r="BZ63" s="5"/>
      <c r="CB63" s="40"/>
      <c r="CC63" s="5"/>
      <c r="CE63" s="40"/>
      <c r="CF63" s="5"/>
      <c r="CH63" s="40"/>
      <c r="CI63" s="5"/>
      <c r="CK63" s="40"/>
      <c r="CL63" s="5"/>
      <c r="CN63" s="40"/>
      <c r="CO63" s="5"/>
      <c r="CQ63" s="40"/>
      <c r="CR63" s="5"/>
    </row>
    <row r="64">
      <c r="A64" s="19"/>
      <c r="B64" s="26"/>
      <c r="C64" s="21"/>
      <c r="D64" s="19"/>
      <c r="AO64" s="40"/>
      <c r="AP64" s="5"/>
      <c r="AR64" s="40"/>
      <c r="AS64" s="5"/>
      <c r="AU64" s="40"/>
      <c r="AV64" s="5"/>
      <c r="AX64" s="40"/>
      <c r="AY64" s="5"/>
      <c r="BA64" s="40"/>
      <c r="BB64" s="5"/>
      <c r="BD64" s="40"/>
      <c r="BE64" s="5"/>
      <c r="BG64" s="40"/>
      <c r="BH64" s="5"/>
      <c r="BJ64" s="40"/>
      <c r="BK64" s="5"/>
      <c r="BM64" s="40"/>
      <c r="BN64" s="5"/>
      <c r="BP64" s="40"/>
      <c r="BQ64" s="5"/>
      <c r="BS64" s="40"/>
      <c r="BT64" s="5"/>
      <c r="BV64" s="40"/>
      <c r="BW64" s="5"/>
      <c r="BY64" s="40"/>
      <c r="BZ64" s="5"/>
      <c r="CB64" s="40"/>
      <c r="CC64" s="5"/>
      <c r="CE64" s="40"/>
      <c r="CF64" s="5"/>
      <c r="CH64" s="40"/>
      <c r="CI64" s="5"/>
      <c r="CK64" s="40"/>
      <c r="CL64" s="5"/>
      <c r="CN64" s="40"/>
      <c r="CO64" s="5"/>
      <c r="CQ64" s="40"/>
      <c r="CR64" s="5"/>
    </row>
    <row r="65">
      <c r="A65" s="19"/>
      <c r="B65" s="26"/>
      <c r="C65" s="21"/>
      <c r="D65" s="19"/>
      <c r="AO65" s="40"/>
      <c r="AP65" s="5"/>
      <c r="AR65" s="40"/>
      <c r="AS65" s="5"/>
      <c r="AU65" s="40"/>
      <c r="AV65" s="5"/>
      <c r="AX65" s="40"/>
      <c r="AY65" s="5"/>
      <c r="BA65" s="40"/>
      <c r="BB65" s="5"/>
      <c r="BD65" s="40"/>
      <c r="BE65" s="5"/>
      <c r="BG65" s="40"/>
      <c r="BH65" s="5"/>
      <c r="BJ65" s="40"/>
      <c r="BK65" s="5"/>
      <c r="BM65" s="40"/>
      <c r="BN65" s="5"/>
      <c r="BP65" s="40"/>
      <c r="BQ65" s="5"/>
      <c r="BS65" s="40"/>
      <c r="BT65" s="5"/>
      <c r="BV65" s="40"/>
      <c r="BW65" s="5"/>
      <c r="BY65" s="40"/>
      <c r="BZ65" s="5"/>
      <c r="CB65" s="40"/>
      <c r="CC65" s="5"/>
      <c r="CE65" s="40"/>
      <c r="CF65" s="5"/>
      <c r="CH65" s="40"/>
      <c r="CI65" s="5"/>
      <c r="CK65" s="40"/>
      <c r="CL65" s="5"/>
      <c r="CN65" s="40"/>
      <c r="CO65" s="5"/>
      <c r="CQ65" s="40"/>
      <c r="CR65" s="5"/>
    </row>
    <row r="66">
      <c r="A66" s="19"/>
      <c r="B66" s="26"/>
      <c r="C66" s="21"/>
      <c r="D66" s="19"/>
      <c r="AO66" s="40"/>
      <c r="AP66" s="5"/>
      <c r="AR66" s="40"/>
      <c r="AS66" s="5"/>
      <c r="AU66" s="40"/>
      <c r="AV66" s="5"/>
      <c r="AX66" s="40"/>
      <c r="AY66" s="5"/>
      <c r="BA66" s="40"/>
      <c r="BB66" s="5"/>
      <c r="BD66" s="40"/>
      <c r="BE66" s="5"/>
      <c r="BG66" s="40"/>
      <c r="BH66" s="5"/>
      <c r="BJ66" s="40"/>
      <c r="BK66" s="5"/>
      <c r="BM66" s="40"/>
      <c r="BN66" s="5"/>
      <c r="BP66" s="40"/>
      <c r="BQ66" s="5"/>
      <c r="BS66" s="40"/>
      <c r="BT66" s="5"/>
      <c r="BV66" s="40"/>
      <c r="BW66" s="5"/>
      <c r="BY66" s="40"/>
      <c r="BZ66" s="5"/>
      <c r="CB66" s="40"/>
      <c r="CC66" s="5"/>
      <c r="CE66" s="40"/>
      <c r="CF66" s="5"/>
      <c r="CH66" s="40"/>
      <c r="CI66" s="5"/>
      <c r="CK66" s="40"/>
      <c r="CL66" s="5"/>
      <c r="CN66" s="40"/>
      <c r="CO66" s="5"/>
      <c r="CQ66" s="40"/>
      <c r="CR66" s="5"/>
    </row>
    <row r="67">
      <c r="A67" s="19"/>
      <c r="B67" s="38"/>
      <c r="C67" s="19"/>
      <c r="D67" s="19"/>
      <c r="AO67" s="40"/>
      <c r="AP67" s="5"/>
      <c r="AR67" s="40"/>
      <c r="AS67" s="5"/>
      <c r="AU67" s="40"/>
      <c r="AV67" s="5"/>
      <c r="AX67" s="40"/>
      <c r="AY67" s="5"/>
      <c r="BA67" s="40"/>
      <c r="BB67" s="5"/>
      <c r="BD67" s="40"/>
      <c r="BE67" s="5"/>
      <c r="BG67" s="40"/>
      <c r="BH67" s="5"/>
      <c r="BJ67" s="40"/>
      <c r="BK67" s="5"/>
      <c r="BM67" s="40"/>
      <c r="BN67" s="5"/>
      <c r="BP67" s="40"/>
      <c r="BQ67" s="5"/>
      <c r="BS67" s="40"/>
      <c r="BT67" s="5"/>
      <c r="BV67" s="40"/>
      <c r="BW67" s="5"/>
      <c r="BY67" s="40"/>
      <c r="BZ67" s="5"/>
      <c r="CB67" s="40"/>
      <c r="CC67" s="5"/>
      <c r="CE67" s="40"/>
      <c r="CF67" s="5"/>
      <c r="CH67" s="40"/>
      <c r="CI67" s="5"/>
      <c r="CK67" s="40"/>
      <c r="CL67" s="5"/>
      <c r="CN67" s="40"/>
      <c r="CO67" s="5"/>
      <c r="CQ67" s="40"/>
      <c r="CR67" s="5"/>
    </row>
    <row r="68">
      <c r="AO68" s="40"/>
      <c r="AP68" s="5"/>
      <c r="AR68" s="40"/>
      <c r="AS68" s="5"/>
      <c r="AU68" s="40"/>
      <c r="AV68" s="5"/>
      <c r="AX68" s="40"/>
      <c r="AY68" s="5"/>
      <c r="BA68" s="40"/>
      <c r="BB68" s="5"/>
      <c r="BD68" s="40"/>
      <c r="BE68" s="5"/>
      <c r="BG68" s="40"/>
      <c r="BH68" s="5"/>
      <c r="BJ68" s="40"/>
      <c r="BK68" s="5"/>
      <c r="BM68" s="40"/>
      <c r="BN68" s="5"/>
      <c r="BP68" s="40"/>
      <c r="BQ68" s="5"/>
      <c r="BS68" s="40"/>
      <c r="BT68" s="5"/>
      <c r="BV68" s="40"/>
      <c r="BW68" s="5"/>
      <c r="BY68" s="40"/>
      <c r="BZ68" s="5"/>
      <c r="CB68" s="40"/>
      <c r="CC68" s="5"/>
      <c r="CE68" s="40"/>
      <c r="CF68" s="5"/>
      <c r="CH68" s="40"/>
      <c r="CI68" s="5"/>
      <c r="CK68" s="40"/>
      <c r="CL68" s="5"/>
      <c r="CN68" s="40"/>
      <c r="CO68" s="5"/>
      <c r="CQ68" s="40"/>
      <c r="CR68" s="5"/>
    </row>
    <row r="69">
      <c r="AO69" s="40"/>
      <c r="AP69" s="5"/>
      <c r="AR69" s="40"/>
      <c r="AS69" s="5"/>
      <c r="AU69" s="40"/>
      <c r="AV69" s="5"/>
      <c r="AX69" s="40"/>
      <c r="AY69" s="5"/>
      <c r="BA69" s="40"/>
      <c r="BB69" s="5"/>
      <c r="BD69" s="40"/>
      <c r="BE69" s="5"/>
      <c r="BG69" s="40"/>
      <c r="BH69" s="5"/>
      <c r="BJ69" s="40"/>
      <c r="BK69" s="5"/>
      <c r="BM69" s="40"/>
      <c r="BN69" s="5"/>
      <c r="BP69" s="40"/>
      <c r="BQ69" s="5"/>
      <c r="BS69" s="40"/>
      <c r="BT69" s="5"/>
      <c r="BV69" s="40"/>
      <c r="BW69" s="5"/>
      <c r="BY69" s="40"/>
      <c r="BZ69" s="5"/>
      <c r="CB69" s="40"/>
      <c r="CC69" s="5"/>
      <c r="CE69" s="40"/>
      <c r="CF69" s="5"/>
      <c r="CH69" s="40"/>
      <c r="CI69" s="5"/>
      <c r="CK69" s="40"/>
      <c r="CL69" s="5"/>
      <c r="CN69" s="40"/>
      <c r="CO69" s="5"/>
      <c r="CQ69" s="40"/>
      <c r="CR69" s="5"/>
    </row>
    <row r="70">
      <c r="AO70" s="40"/>
      <c r="AP70" s="5"/>
      <c r="AR70" s="40"/>
      <c r="AS70" s="5"/>
      <c r="AU70" s="40"/>
      <c r="AV70" s="5"/>
      <c r="AX70" s="40"/>
      <c r="AY70" s="5"/>
      <c r="BA70" s="40"/>
      <c r="BB70" s="5"/>
      <c r="BD70" s="40"/>
      <c r="BE70" s="5"/>
      <c r="BG70" s="40"/>
      <c r="BH70" s="5"/>
      <c r="BJ70" s="40"/>
      <c r="BK70" s="5"/>
      <c r="BM70" s="40"/>
      <c r="BN70" s="5"/>
      <c r="BP70" s="40"/>
      <c r="BQ70" s="5"/>
      <c r="BS70" s="40"/>
      <c r="BT70" s="5"/>
      <c r="BV70" s="40"/>
      <c r="BW70" s="5"/>
      <c r="BY70" s="40"/>
      <c r="BZ70" s="5"/>
      <c r="CB70" s="40"/>
      <c r="CC70" s="5"/>
      <c r="CE70" s="40"/>
      <c r="CF70" s="5"/>
      <c r="CH70" s="40"/>
      <c r="CI70" s="5"/>
      <c r="CK70" s="40"/>
      <c r="CL70" s="5"/>
      <c r="CN70" s="40"/>
      <c r="CO70" s="5"/>
      <c r="CQ70" s="40"/>
      <c r="CR70" s="5"/>
    </row>
    <row r="71">
      <c r="AO71" s="40"/>
      <c r="AP71" s="5"/>
      <c r="AR71" s="40"/>
      <c r="AS71" s="5"/>
      <c r="AU71" s="40"/>
      <c r="AV71" s="5"/>
      <c r="AX71" s="40"/>
      <c r="AY71" s="5"/>
      <c r="BA71" s="40"/>
      <c r="BB71" s="5"/>
      <c r="BD71" s="40"/>
      <c r="BE71" s="5"/>
      <c r="BG71" s="40"/>
      <c r="BH71" s="5"/>
      <c r="BJ71" s="40"/>
      <c r="BK71" s="5"/>
      <c r="BM71" s="40"/>
      <c r="BN71" s="5"/>
      <c r="BP71" s="40"/>
      <c r="BQ71" s="5"/>
      <c r="BS71" s="40"/>
      <c r="BT71" s="5"/>
      <c r="BV71" s="40"/>
      <c r="BW71" s="5"/>
      <c r="BY71" s="40"/>
      <c r="BZ71" s="5"/>
      <c r="CB71" s="40"/>
      <c r="CC71" s="5"/>
      <c r="CE71" s="40"/>
      <c r="CF71" s="5"/>
      <c r="CH71" s="40"/>
      <c r="CI71" s="5"/>
      <c r="CK71" s="40"/>
      <c r="CL71" s="5"/>
      <c r="CN71" s="40"/>
      <c r="CO71" s="5"/>
      <c r="CQ71" s="40"/>
      <c r="CR71" s="5"/>
    </row>
    <row r="72">
      <c r="AO72" s="40"/>
      <c r="AP72" s="5"/>
      <c r="AR72" s="40"/>
      <c r="AS72" s="5"/>
      <c r="AU72" s="40"/>
      <c r="AV72" s="5"/>
      <c r="AX72" s="40"/>
      <c r="AY72" s="5"/>
      <c r="BA72" s="40"/>
      <c r="BB72" s="5"/>
      <c r="BD72" s="40"/>
      <c r="BE72" s="5"/>
      <c r="BG72" s="40"/>
      <c r="BH72" s="5"/>
      <c r="BJ72" s="40"/>
      <c r="BK72" s="5"/>
      <c r="BM72" s="40"/>
      <c r="BN72" s="5"/>
      <c r="BP72" s="40"/>
      <c r="BQ72" s="5"/>
      <c r="BS72" s="40"/>
      <c r="BT72" s="5"/>
      <c r="BV72" s="40"/>
      <c r="BW72" s="5"/>
      <c r="BY72" s="40"/>
      <c r="BZ72" s="5"/>
      <c r="CB72" s="40"/>
      <c r="CC72" s="5"/>
      <c r="CE72" s="40"/>
      <c r="CF72" s="5"/>
      <c r="CH72" s="40"/>
      <c r="CI72" s="5"/>
      <c r="CK72" s="40"/>
      <c r="CL72" s="5"/>
      <c r="CN72" s="40"/>
      <c r="CO72" s="5"/>
      <c r="CQ72" s="40"/>
      <c r="CR72" s="5"/>
    </row>
    <row r="73">
      <c r="AO73" s="40"/>
      <c r="AP73" s="5"/>
      <c r="AR73" s="40"/>
      <c r="AS73" s="5"/>
      <c r="AU73" s="40"/>
      <c r="AV73" s="5"/>
      <c r="AX73" s="40"/>
      <c r="AY73" s="5"/>
      <c r="BA73" s="40"/>
      <c r="BB73" s="5"/>
      <c r="BD73" s="40"/>
      <c r="BE73" s="5"/>
      <c r="BG73" s="40"/>
      <c r="BH73" s="5"/>
      <c r="BJ73" s="40"/>
      <c r="BK73" s="5"/>
      <c r="BM73" s="40"/>
      <c r="BN73" s="5"/>
      <c r="BP73" s="40"/>
      <c r="BQ73" s="5"/>
      <c r="BS73" s="40"/>
      <c r="BT73" s="5"/>
      <c r="BV73" s="40"/>
      <c r="BW73" s="5"/>
      <c r="BY73" s="40"/>
      <c r="BZ73" s="5"/>
      <c r="CB73" s="40"/>
      <c r="CC73" s="5"/>
      <c r="CE73" s="40"/>
      <c r="CF73" s="5"/>
      <c r="CH73" s="40"/>
      <c r="CI73" s="5"/>
      <c r="CK73" s="40"/>
      <c r="CL73" s="5"/>
      <c r="CN73" s="40"/>
      <c r="CO73" s="5"/>
      <c r="CQ73" s="40"/>
      <c r="CR73" s="5"/>
    </row>
    <row r="74">
      <c r="AO74" s="40"/>
      <c r="AP74" s="5"/>
      <c r="AR74" s="40"/>
      <c r="AS74" s="5"/>
      <c r="AU74" s="40"/>
      <c r="AV74" s="5"/>
      <c r="AX74" s="40"/>
      <c r="AY74" s="5"/>
      <c r="BA74" s="40"/>
      <c r="BB74" s="5"/>
      <c r="BD74" s="40"/>
      <c r="BE74" s="5"/>
      <c r="BG74" s="40"/>
      <c r="BH74" s="5"/>
      <c r="BJ74" s="40"/>
      <c r="BK74" s="5"/>
      <c r="BM74" s="40"/>
      <c r="BN74" s="5"/>
      <c r="BP74" s="40"/>
      <c r="BQ74" s="5"/>
      <c r="BS74" s="40"/>
      <c r="BT74" s="5"/>
      <c r="BV74" s="40"/>
      <c r="BW74" s="5"/>
      <c r="BY74" s="40"/>
      <c r="BZ74" s="5"/>
      <c r="CB74" s="40"/>
      <c r="CC74" s="5"/>
      <c r="CE74" s="40"/>
      <c r="CF74" s="5"/>
      <c r="CH74" s="40"/>
      <c r="CI74" s="5"/>
      <c r="CK74" s="40"/>
      <c r="CL74" s="5"/>
      <c r="CN74" s="40"/>
      <c r="CO74" s="5"/>
      <c r="CQ74" s="40"/>
      <c r="CR74" s="5"/>
    </row>
    <row r="75">
      <c r="AO75" s="40"/>
      <c r="AP75" s="5"/>
      <c r="AR75" s="40"/>
      <c r="AS75" s="5"/>
      <c r="AU75" s="40"/>
      <c r="AV75" s="5"/>
      <c r="AX75" s="40"/>
      <c r="AY75" s="5"/>
      <c r="BA75" s="40"/>
      <c r="BB75" s="5"/>
      <c r="BD75" s="40"/>
      <c r="BE75" s="5"/>
      <c r="BG75" s="40"/>
      <c r="BH75" s="5"/>
      <c r="BJ75" s="40"/>
      <c r="BK75" s="5"/>
      <c r="BM75" s="40"/>
      <c r="BN75" s="5"/>
      <c r="BP75" s="40"/>
      <c r="BQ75" s="5"/>
      <c r="BS75" s="40"/>
      <c r="BT75" s="5"/>
      <c r="BV75" s="40"/>
      <c r="BW75" s="5"/>
      <c r="BY75" s="40"/>
      <c r="BZ75" s="5"/>
      <c r="CB75" s="40"/>
      <c r="CC75" s="5"/>
      <c r="CE75" s="40"/>
      <c r="CF75" s="5"/>
      <c r="CH75" s="40"/>
      <c r="CI75" s="5"/>
      <c r="CK75" s="40"/>
      <c r="CL75" s="5"/>
      <c r="CN75" s="40"/>
      <c r="CO75" s="5"/>
      <c r="CQ75" s="40"/>
      <c r="CR75" s="5"/>
    </row>
    <row r="76">
      <c r="AO76" s="40"/>
      <c r="AP76" s="5"/>
      <c r="AR76" s="40"/>
      <c r="AS76" s="5"/>
      <c r="AU76" s="40"/>
      <c r="AV76" s="5"/>
      <c r="AX76" s="40"/>
      <c r="AY76" s="5"/>
      <c r="BA76" s="40"/>
      <c r="BB76" s="5"/>
      <c r="BD76" s="40"/>
      <c r="BE76" s="5"/>
      <c r="BG76" s="40"/>
      <c r="BH76" s="5"/>
      <c r="BJ76" s="40"/>
      <c r="BK76" s="5"/>
      <c r="BM76" s="40"/>
      <c r="BN76" s="5"/>
      <c r="BP76" s="40"/>
      <c r="BQ76" s="5"/>
      <c r="BS76" s="40"/>
      <c r="BT76" s="5"/>
      <c r="BV76" s="40"/>
      <c r="BW76" s="5"/>
      <c r="BY76" s="40"/>
      <c r="BZ76" s="5"/>
      <c r="CB76" s="40"/>
      <c r="CC76" s="5"/>
      <c r="CE76" s="40"/>
      <c r="CF76" s="5"/>
      <c r="CH76" s="40"/>
      <c r="CI76" s="5"/>
      <c r="CK76" s="40"/>
      <c r="CL76" s="5"/>
      <c r="CN76" s="40"/>
      <c r="CO76" s="5"/>
      <c r="CQ76" s="40"/>
      <c r="CR76" s="5"/>
    </row>
    <row r="77">
      <c r="AO77" s="40"/>
      <c r="AP77" s="5"/>
      <c r="AR77" s="40"/>
      <c r="AS77" s="5"/>
      <c r="AU77" s="40"/>
      <c r="AV77" s="5"/>
      <c r="AX77" s="40"/>
      <c r="AY77" s="5"/>
      <c r="BA77" s="40"/>
      <c r="BB77" s="5"/>
      <c r="BD77" s="40"/>
      <c r="BE77" s="5"/>
      <c r="BG77" s="40"/>
      <c r="BH77" s="5"/>
      <c r="BJ77" s="40"/>
      <c r="BK77" s="5"/>
      <c r="BM77" s="40"/>
      <c r="BN77" s="5"/>
      <c r="BP77" s="40"/>
      <c r="BQ77" s="5"/>
      <c r="BS77" s="40"/>
      <c r="BT77" s="5"/>
      <c r="BV77" s="40"/>
      <c r="BW77" s="5"/>
      <c r="BY77" s="40"/>
      <c r="BZ77" s="5"/>
      <c r="CB77" s="40"/>
      <c r="CC77" s="5"/>
      <c r="CE77" s="40"/>
      <c r="CF77" s="5"/>
      <c r="CH77" s="40"/>
      <c r="CI77" s="5"/>
      <c r="CK77" s="40"/>
      <c r="CL77" s="5"/>
      <c r="CN77" s="40"/>
      <c r="CO77" s="5"/>
      <c r="CQ77" s="40"/>
      <c r="CR77" s="5"/>
    </row>
    <row r="78">
      <c r="AO78" s="40"/>
      <c r="AP78" s="5"/>
      <c r="AR78" s="40"/>
      <c r="AS78" s="5"/>
      <c r="AU78" s="40"/>
      <c r="AV78" s="5"/>
      <c r="AX78" s="40"/>
      <c r="AY78" s="5"/>
      <c r="BA78" s="40"/>
      <c r="BB78" s="5"/>
      <c r="BD78" s="40"/>
      <c r="BE78" s="5"/>
      <c r="BG78" s="40"/>
      <c r="BH78" s="5"/>
      <c r="BJ78" s="40"/>
      <c r="BK78" s="5"/>
      <c r="BM78" s="40"/>
      <c r="BN78" s="5"/>
      <c r="BP78" s="40"/>
      <c r="BQ78" s="5"/>
      <c r="BS78" s="40"/>
      <c r="BT78" s="5"/>
      <c r="BV78" s="40"/>
      <c r="BW78" s="5"/>
      <c r="BY78" s="40"/>
      <c r="BZ78" s="5"/>
      <c r="CB78" s="40"/>
      <c r="CC78" s="5"/>
      <c r="CE78" s="40"/>
      <c r="CF78" s="5"/>
      <c r="CH78" s="40"/>
      <c r="CI78" s="5"/>
      <c r="CK78" s="40"/>
      <c r="CL78" s="5"/>
      <c r="CN78" s="40"/>
      <c r="CO78" s="5"/>
      <c r="CQ78" s="40"/>
      <c r="CR78" s="5"/>
    </row>
    <row r="79">
      <c r="AO79" s="40"/>
      <c r="AP79" s="5"/>
      <c r="AR79" s="40"/>
      <c r="AS79" s="5"/>
      <c r="AU79" s="40"/>
      <c r="AV79" s="5"/>
      <c r="AX79" s="40"/>
      <c r="AY79" s="5"/>
      <c r="BA79" s="40"/>
      <c r="BB79" s="5"/>
      <c r="BD79" s="40"/>
      <c r="BE79" s="5"/>
      <c r="BG79" s="40"/>
      <c r="BH79" s="5"/>
      <c r="BJ79" s="40"/>
      <c r="BK79" s="5"/>
      <c r="BM79" s="40"/>
      <c r="BN79" s="5"/>
      <c r="BP79" s="40"/>
      <c r="BQ79" s="5"/>
      <c r="BS79" s="40"/>
      <c r="BT79" s="5"/>
      <c r="BV79" s="40"/>
      <c r="BW79" s="5"/>
      <c r="BY79" s="40"/>
      <c r="BZ79" s="5"/>
      <c r="CB79" s="40"/>
      <c r="CC79" s="5"/>
      <c r="CE79" s="40"/>
      <c r="CF79" s="5"/>
      <c r="CH79" s="40"/>
      <c r="CI79" s="5"/>
      <c r="CK79" s="40"/>
      <c r="CL79" s="5"/>
      <c r="CN79" s="40"/>
      <c r="CO79" s="5"/>
      <c r="CQ79" s="40"/>
      <c r="CR79" s="5"/>
    </row>
    <row r="80">
      <c r="AO80" s="40"/>
      <c r="AP80" s="5"/>
      <c r="AR80" s="40"/>
      <c r="AS80" s="5"/>
      <c r="AU80" s="40"/>
      <c r="AV80" s="5"/>
      <c r="AX80" s="40"/>
      <c r="AY80" s="5"/>
      <c r="BA80" s="40"/>
      <c r="BB80" s="5"/>
      <c r="BD80" s="40"/>
      <c r="BE80" s="5"/>
      <c r="BG80" s="40"/>
      <c r="BH80" s="5"/>
      <c r="BJ80" s="40"/>
      <c r="BK80" s="5"/>
      <c r="BM80" s="40"/>
      <c r="BN80" s="5"/>
      <c r="BP80" s="40"/>
      <c r="BQ80" s="5"/>
      <c r="BS80" s="40"/>
      <c r="BT80" s="5"/>
      <c r="BV80" s="40"/>
      <c r="BW80" s="5"/>
      <c r="BY80" s="40"/>
      <c r="BZ80" s="5"/>
      <c r="CB80" s="40"/>
      <c r="CC80" s="5"/>
      <c r="CE80" s="40"/>
      <c r="CF80" s="5"/>
      <c r="CH80" s="40"/>
      <c r="CI80" s="5"/>
      <c r="CK80" s="40"/>
      <c r="CL80" s="5"/>
      <c r="CN80" s="40"/>
      <c r="CO80" s="5"/>
      <c r="CQ80" s="40"/>
      <c r="CR80" s="5"/>
    </row>
    <row r="81">
      <c r="AO81" s="40"/>
      <c r="AP81" s="5"/>
      <c r="AR81" s="40"/>
      <c r="AS81" s="5"/>
      <c r="AU81" s="40"/>
      <c r="AV81" s="5"/>
      <c r="AX81" s="40"/>
      <c r="AY81" s="5"/>
      <c r="BA81" s="40"/>
      <c r="BB81" s="5"/>
      <c r="BD81" s="40"/>
      <c r="BE81" s="5"/>
      <c r="BG81" s="40"/>
      <c r="BH81" s="5"/>
      <c r="BJ81" s="40"/>
      <c r="BK81" s="5"/>
      <c r="BM81" s="40"/>
      <c r="BN81" s="5"/>
      <c r="BP81" s="40"/>
      <c r="BQ81" s="5"/>
      <c r="BS81" s="40"/>
      <c r="BT81" s="5"/>
      <c r="BV81" s="40"/>
      <c r="BW81" s="5"/>
      <c r="BY81" s="40"/>
      <c r="BZ81" s="5"/>
      <c r="CB81" s="40"/>
      <c r="CC81" s="5"/>
      <c r="CE81" s="40"/>
      <c r="CF81" s="5"/>
      <c r="CH81" s="40"/>
      <c r="CI81" s="5"/>
      <c r="CK81" s="40"/>
      <c r="CL81" s="5"/>
      <c r="CN81" s="40"/>
      <c r="CO81" s="5"/>
      <c r="CQ81" s="40"/>
      <c r="CR81" s="5"/>
    </row>
    <row r="82">
      <c r="AO82" s="40"/>
      <c r="AP82" s="5"/>
      <c r="AR82" s="40"/>
      <c r="AS82" s="5"/>
      <c r="AU82" s="40"/>
      <c r="AV82" s="5"/>
      <c r="AX82" s="40"/>
      <c r="AY82" s="5"/>
      <c r="BA82" s="40"/>
      <c r="BB82" s="5"/>
      <c r="BD82" s="40"/>
      <c r="BE82" s="5"/>
      <c r="BG82" s="40"/>
      <c r="BH82" s="5"/>
      <c r="BJ82" s="40"/>
      <c r="BK82" s="5"/>
      <c r="BM82" s="40"/>
      <c r="BN82" s="5"/>
      <c r="BP82" s="40"/>
      <c r="BQ82" s="5"/>
      <c r="BS82" s="40"/>
      <c r="BT82" s="5"/>
      <c r="BV82" s="40"/>
      <c r="BW82" s="5"/>
      <c r="BY82" s="40"/>
      <c r="BZ82" s="5"/>
      <c r="CB82" s="40"/>
      <c r="CC82" s="5"/>
      <c r="CE82" s="40"/>
      <c r="CF82" s="5"/>
      <c r="CH82" s="40"/>
      <c r="CI82" s="5"/>
      <c r="CK82" s="40"/>
      <c r="CL82" s="5"/>
      <c r="CN82" s="40"/>
      <c r="CO82" s="5"/>
      <c r="CQ82" s="40"/>
      <c r="CR82" s="5"/>
    </row>
    <row r="83">
      <c r="AO83" s="40"/>
      <c r="AP83" s="5"/>
      <c r="AR83" s="40"/>
      <c r="AS83" s="5"/>
      <c r="AU83" s="40"/>
      <c r="AV83" s="5"/>
      <c r="AX83" s="40"/>
      <c r="AY83" s="5"/>
      <c r="BA83" s="40"/>
      <c r="BB83" s="5"/>
      <c r="BD83" s="40"/>
      <c r="BE83" s="5"/>
      <c r="BG83" s="40"/>
      <c r="BH83" s="5"/>
      <c r="BJ83" s="40"/>
      <c r="BK83" s="5"/>
      <c r="BM83" s="40"/>
      <c r="BN83" s="5"/>
      <c r="BP83" s="40"/>
      <c r="BQ83" s="5"/>
      <c r="BS83" s="40"/>
      <c r="BT83" s="5"/>
      <c r="BV83" s="40"/>
      <c r="BW83" s="5"/>
      <c r="BY83" s="40"/>
      <c r="BZ83" s="5"/>
      <c r="CB83" s="40"/>
      <c r="CC83" s="5"/>
      <c r="CE83" s="40"/>
      <c r="CF83" s="5"/>
      <c r="CH83" s="40"/>
      <c r="CI83" s="5"/>
      <c r="CK83" s="40"/>
      <c r="CL83" s="5"/>
      <c r="CN83" s="40"/>
      <c r="CO83" s="5"/>
      <c r="CQ83" s="40"/>
      <c r="CR83" s="5"/>
    </row>
    <row r="84">
      <c r="AO84" s="40"/>
      <c r="AP84" s="5"/>
      <c r="AR84" s="40"/>
      <c r="AS84" s="5"/>
      <c r="AU84" s="40"/>
      <c r="AV84" s="5"/>
      <c r="AX84" s="40"/>
      <c r="AY84" s="5"/>
      <c r="BA84" s="40"/>
      <c r="BB84" s="5"/>
      <c r="BD84" s="40"/>
      <c r="BE84" s="5"/>
      <c r="BG84" s="40"/>
      <c r="BH84" s="5"/>
      <c r="BJ84" s="40"/>
      <c r="BK84" s="5"/>
      <c r="BM84" s="40"/>
      <c r="BN84" s="5"/>
      <c r="BP84" s="40"/>
      <c r="BQ84" s="5"/>
      <c r="BS84" s="40"/>
      <c r="BT84" s="5"/>
      <c r="BV84" s="40"/>
      <c r="BW84" s="5"/>
      <c r="BY84" s="40"/>
      <c r="BZ84" s="5"/>
      <c r="CB84" s="40"/>
      <c r="CC84" s="5"/>
      <c r="CE84" s="40"/>
      <c r="CF84" s="5"/>
      <c r="CH84" s="40"/>
      <c r="CI84" s="5"/>
      <c r="CK84" s="40"/>
      <c r="CL84" s="5"/>
      <c r="CN84" s="40"/>
      <c r="CO84" s="5"/>
      <c r="CQ84" s="40"/>
      <c r="CR84" s="5"/>
    </row>
    <row r="85">
      <c r="AO85" s="40"/>
      <c r="AP85" s="5"/>
      <c r="AR85" s="40"/>
      <c r="AS85" s="5"/>
      <c r="AU85" s="40"/>
      <c r="AV85" s="5"/>
      <c r="AX85" s="40"/>
      <c r="AY85" s="5"/>
      <c r="BA85" s="40"/>
      <c r="BB85" s="5"/>
      <c r="BD85" s="40"/>
      <c r="BE85" s="5"/>
      <c r="BG85" s="40"/>
      <c r="BH85" s="5"/>
      <c r="BJ85" s="40"/>
      <c r="BK85" s="5"/>
      <c r="BM85" s="40"/>
      <c r="BN85" s="5"/>
      <c r="BP85" s="40"/>
      <c r="BQ85" s="5"/>
      <c r="BS85" s="40"/>
      <c r="BT85" s="5"/>
      <c r="BV85" s="40"/>
      <c r="BW85" s="5"/>
      <c r="BY85" s="40"/>
      <c r="BZ85" s="5"/>
      <c r="CB85" s="40"/>
      <c r="CC85" s="5"/>
      <c r="CE85" s="40"/>
      <c r="CF85" s="5"/>
      <c r="CH85" s="40"/>
      <c r="CI85" s="5"/>
      <c r="CK85" s="40"/>
      <c r="CL85" s="5"/>
      <c r="CN85" s="40"/>
      <c r="CO85" s="5"/>
      <c r="CQ85" s="40"/>
      <c r="CR85" s="5"/>
    </row>
    <row r="86">
      <c r="AO86" s="40"/>
      <c r="AP86" s="5"/>
      <c r="AR86" s="40"/>
      <c r="AS86" s="5"/>
      <c r="AU86" s="40"/>
      <c r="AV86" s="5"/>
      <c r="AX86" s="40"/>
      <c r="AY86" s="5"/>
      <c r="BA86" s="40"/>
      <c r="BB86" s="5"/>
      <c r="BD86" s="40"/>
      <c r="BE86" s="5"/>
      <c r="BG86" s="40"/>
      <c r="BH86" s="5"/>
      <c r="BJ86" s="40"/>
      <c r="BK86" s="5"/>
      <c r="BM86" s="40"/>
      <c r="BN86" s="5"/>
      <c r="BP86" s="40"/>
      <c r="BQ86" s="5"/>
      <c r="BS86" s="40"/>
      <c r="BT86" s="5"/>
      <c r="BV86" s="40"/>
      <c r="BW86" s="5"/>
      <c r="BY86" s="40"/>
      <c r="BZ86" s="5"/>
      <c r="CB86" s="40"/>
      <c r="CC86" s="5"/>
      <c r="CE86" s="40"/>
      <c r="CF86" s="5"/>
      <c r="CH86" s="40"/>
      <c r="CI86" s="5"/>
      <c r="CK86" s="40"/>
      <c r="CL86" s="5"/>
      <c r="CN86" s="40"/>
      <c r="CO86" s="5"/>
      <c r="CQ86" s="40"/>
      <c r="CR86" s="5"/>
    </row>
    <row r="87">
      <c r="AO87" s="40"/>
      <c r="AP87" s="5"/>
      <c r="AR87" s="40"/>
      <c r="AS87" s="5"/>
      <c r="AU87" s="40"/>
      <c r="AV87" s="5"/>
      <c r="AX87" s="40"/>
      <c r="AY87" s="5"/>
      <c r="BA87" s="40"/>
      <c r="BB87" s="5"/>
      <c r="BD87" s="40"/>
      <c r="BE87" s="5"/>
      <c r="BG87" s="40"/>
      <c r="BH87" s="5"/>
      <c r="BJ87" s="40"/>
      <c r="BK87" s="5"/>
      <c r="BM87" s="40"/>
      <c r="BN87" s="5"/>
      <c r="BP87" s="40"/>
      <c r="BQ87" s="5"/>
      <c r="BS87" s="40"/>
      <c r="BT87" s="5"/>
      <c r="BV87" s="40"/>
      <c r="BW87" s="5"/>
      <c r="BY87" s="40"/>
      <c r="BZ87" s="5"/>
      <c r="CB87" s="40"/>
      <c r="CC87" s="5"/>
      <c r="CE87" s="40"/>
      <c r="CF87" s="5"/>
      <c r="CH87" s="40"/>
      <c r="CI87" s="5"/>
      <c r="CK87" s="40"/>
      <c r="CL87" s="5"/>
      <c r="CN87" s="40"/>
      <c r="CO87" s="5"/>
      <c r="CQ87" s="40"/>
      <c r="CR87" s="5"/>
    </row>
    <row r="88">
      <c r="AO88" s="40"/>
      <c r="AP88" s="5"/>
      <c r="AR88" s="40"/>
      <c r="AS88" s="5"/>
      <c r="AU88" s="40"/>
      <c r="AV88" s="5"/>
      <c r="AX88" s="40"/>
      <c r="AY88" s="5"/>
      <c r="BA88" s="40"/>
      <c r="BB88" s="5"/>
      <c r="BD88" s="40"/>
      <c r="BE88" s="5"/>
      <c r="BG88" s="40"/>
      <c r="BH88" s="5"/>
      <c r="BJ88" s="40"/>
      <c r="BK88" s="5"/>
      <c r="BM88" s="40"/>
      <c r="BN88" s="5"/>
      <c r="BP88" s="40"/>
      <c r="BQ88" s="5"/>
      <c r="BS88" s="40"/>
      <c r="BT88" s="5"/>
      <c r="BV88" s="40"/>
      <c r="BW88" s="5"/>
      <c r="BY88" s="40"/>
      <c r="BZ88" s="5"/>
      <c r="CB88" s="40"/>
      <c r="CC88" s="5"/>
      <c r="CE88" s="40"/>
      <c r="CF88" s="5"/>
      <c r="CH88" s="40"/>
      <c r="CI88" s="5"/>
      <c r="CK88" s="40"/>
      <c r="CL88" s="5"/>
      <c r="CN88" s="40"/>
      <c r="CO88" s="5"/>
      <c r="CQ88" s="40"/>
      <c r="CR88" s="5"/>
    </row>
    <row r="89">
      <c r="AO89" s="40"/>
      <c r="AP89" s="5"/>
      <c r="AR89" s="40"/>
      <c r="AS89" s="5"/>
      <c r="AU89" s="40"/>
      <c r="AV89" s="5"/>
      <c r="AX89" s="40"/>
      <c r="AY89" s="5"/>
      <c r="BA89" s="40"/>
      <c r="BB89" s="5"/>
      <c r="BD89" s="40"/>
      <c r="BE89" s="5"/>
      <c r="BG89" s="40"/>
      <c r="BH89" s="5"/>
      <c r="BJ89" s="40"/>
      <c r="BK89" s="5"/>
      <c r="BM89" s="40"/>
      <c r="BN89" s="5"/>
      <c r="BP89" s="40"/>
      <c r="BQ89" s="5"/>
      <c r="BS89" s="40"/>
      <c r="BT89" s="5"/>
      <c r="BV89" s="40"/>
      <c r="BW89" s="5"/>
      <c r="BY89" s="40"/>
      <c r="BZ89" s="5"/>
      <c r="CB89" s="40"/>
      <c r="CC89" s="5"/>
      <c r="CE89" s="40"/>
      <c r="CF89" s="5"/>
      <c r="CH89" s="40"/>
      <c r="CI89" s="5"/>
      <c r="CK89" s="40"/>
      <c r="CL89" s="5"/>
      <c r="CN89" s="40"/>
      <c r="CO89" s="5"/>
      <c r="CQ89" s="40"/>
      <c r="CR89" s="5"/>
    </row>
    <row r="90">
      <c r="AO90" s="40"/>
      <c r="AP90" s="5"/>
      <c r="AR90" s="40"/>
      <c r="AS90" s="5"/>
      <c r="AU90" s="40"/>
      <c r="AV90" s="5"/>
      <c r="AX90" s="40"/>
      <c r="AY90" s="5"/>
      <c r="BA90" s="40"/>
      <c r="BB90" s="5"/>
      <c r="BD90" s="40"/>
      <c r="BE90" s="5"/>
      <c r="BG90" s="40"/>
      <c r="BH90" s="5"/>
      <c r="BJ90" s="40"/>
      <c r="BK90" s="5"/>
      <c r="BM90" s="40"/>
      <c r="BN90" s="5"/>
      <c r="BP90" s="40"/>
      <c r="BQ90" s="5"/>
      <c r="BS90" s="40"/>
      <c r="BT90" s="5"/>
      <c r="BV90" s="40"/>
      <c r="BW90" s="5"/>
      <c r="BY90" s="40"/>
      <c r="BZ90" s="5"/>
      <c r="CB90" s="40"/>
      <c r="CC90" s="5"/>
      <c r="CE90" s="40"/>
      <c r="CF90" s="5"/>
      <c r="CH90" s="40"/>
      <c r="CI90" s="5"/>
      <c r="CK90" s="40"/>
      <c r="CL90" s="5"/>
      <c r="CN90" s="40"/>
      <c r="CO90" s="5"/>
      <c r="CQ90" s="40"/>
      <c r="CR90" s="5"/>
    </row>
    <row r="91">
      <c r="AO91" s="40"/>
      <c r="AP91" s="5"/>
      <c r="AR91" s="40"/>
      <c r="AS91" s="5"/>
      <c r="AU91" s="40"/>
      <c r="AV91" s="5"/>
      <c r="AX91" s="40"/>
      <c r="AY91" s="5"/>
      <c r="BA91" s="40"/>
      <c r="BB91" s="5"/>
      <c r="BD91" s="40"/>
      <c r="BE91" s="5"/>
      <c r="BG91" s="40"/>
      <c r="BH91" s="5"/>
      <c r="BJ91" s="40"/>
      <c r="BK91" s="5"/>
      <c r="BM91" s="40"/>
      <c r="BN91" s="5"/>
      <c r="BP91" s="40"/>
      <c r="BQ91" s="5"/>
      <c r="BS91" s="40"/>
      <c r="BT91" s="5"/>
      <c r="BV91" s="40"/>
      <c r="BW91" s="5"/>
      <c r="BY91" s="40"/>
      <c r="BZ91" s="5"/>
      <c r="CB91" s="40"/>
      <c r="CC91" s="5"/>
      <c r="CE91" s="40"/>
      <c r="CF91" s="5"/>
      <c r="CH91" s="40"/>
      <c r="CI91" s="5"/>
      <c r="CK91" s="40"/>
      <c r="CL91" s="5"/>
      <c r="CN91" s="40"/>
      <c r="CO91" s="5"/>
      <c r="CQ91" s="40"/>
      <c r="CR91" s="5"/>
    </row>
    <row r="92">
      <c r="AO92" s="40"/>
      <c r="AP92" s="5"/>
      <c r="AR92" s="40"/>
      <c r="AS92" s="5"/>
      <c r="AU92" s="40"/>
      <c r="AV92" s="5"/>
      <c r="AX92" s="40"/>
      <c r="AY92" s="5"/>
      <c r="BA92" s="40"/>
      <c r="BB92" s="5"/>
      <c r="BD92" s="40"/>
      <c r="BE92" s="5"/>
      <c r="BG92" s="40"/>
      <c r="BH92" s="5"/>
      <c r="BJ92" s="40"/>
      <c r="BK92" s="5"/>
      <c r="BM92" s="40"/>
      <c r="BN92" s="5"/>
      <c r="BP92" s="40"/>
      <c r="BQ92" s="5"/>
      <c r="BS92" s="40"/>
      <c r="BT92" s="5"/>
      <c r="BV92" s="40"/>
      <c r="BW92" s="5"/>
      <c r="BY92" s="40"/>
      <c r="BZ92" s="5"/>
      <c r="CB92" s="40"/>
      <c r="CC92" s="5"/>
      <c r="CE92" s="40"/>
      <c r="CF92" s="5"/>
      <c r="CH92" s="40"/>
      <c r="CI92" s="5"/>
      <c r="CK92" s="40"/>
      <c r="CL92" s="5"/>
      <c r="CN92" s="40"/>
      <c r="CO92" s="5"/>
      <c r="CQ92" s="40"/>
      <c r="CR92" s="5"/>
    </row>
    <row r="93">
      <c r="AO93" s="40"/>
      <c r="AP93" s="5"/>
      <c r="AR93" s="40"/>
      <c r="AS93" s="5"/>
      <c r="AU93" s="40"/>
      <c r="AV93" s="5"/>
      <c r="AX93" s="40"/>
      <c r="AY93" s="5"/>
      <c r="BA93" s="40"/>
      <c r="BB93" s="5"/>
      <c r="BD93" s="40"/>
      <c r="BE93" s="5"/>
      <c r="BG93" s="40"/>
      <c r="BH93" s="5"/>
      <c r="BJ93" s="40"/>
      <c r="BK93" s="5"/>
      <c r="BM93" s="40"/>
      <c r="BN93" s="5"/>
      <c r="BP93" s="40"/>
      <c r="BQ93" s="5"/>
      <c r="BS93" s="40"/>
      <c r="BT93" s="5"/>
      <c r="BV93" s="40"/>
      <c r="BW93" s="5"/>
      <c r="BY93" s="40"/>
      <c r="BZ93" s="5"/>
      <c r="CB93" s="40"/>
      <c r="CC93" s="5"/>
      <c r="CE93" s="40"/>
      <c r="CF93" s="5"/>
      <c r="CH93" s="40"/>
      <c r="CI93" s="5"/>
      <c r="CK93" s="40"/>
      <c r="CL93" s="5"/>
      <c r="CN93" s="40"/>
      <c r="CO93" s="5"/>
      <c r="CQ93" s="40"/>
      <c r="CR93" s="5"/>
    </row>
    <row r="94">
      <c r="AO94" s="40"/>
      <c r="AP94" s="5"/>
      <c r="AR94" s="40"/>
      <c r="AS94" s="5"/>
      <c r="AU94" s="40"/>
      <c r="AV94" s="5"/>
      <c r="AX94" s="40"/>
      <c r="AY94" s="5"/>
      <c r="BA94" s="40"/>
      <c r="BB94" s="5"/>
      <c r="BD94" s="40"/>
      <c r="BE94" s="5"/>
      <c r="BG94" s="40"/>
      <c r="BH94" s="5"/>
      <c r="BJ94" s="40"/>
      <c r="BK94" s="5"/>
      <c r="BM94" s="40"/>
      <c r="BN94" s="5"/>
      <c r="BP94" s="40"/>
      <c r="BQ94" s="5"/>
      <c r="BS94" s="40"/>
      <c r="BT94" s="5"/>
      <c r="BV94" s="40"/>
      <c r="BW94" s="5"/>
      <c r="BY94" s="40"/>
      <c r="BZ94" s="5"/>
      <c r="CB94" s="40"/>
      <c r="CC94" s="5"/>
      <c r="CE94" s="40"/>
      <c r="CF94" s="5"/>
      <c r="CH94" s="40"/>
      <c r="CI94" s="5"/>
      <c r="CK94" s="40"/>
      <c r="CL94" s="5"/>
      <c r="CN94" s="40"/>
      <c r="CO94" s="5"/>
      <c r="CQ94" s="40"/>
      <c r="CR94" s="5"/>
    </row>
    <row r="95">
      <c r="AO95" s="40"/>
      <c r="AP95" s="5"/>
      <c r="AR95" s="40"/>
      <c r="AS95" s="5"/>
      <c r="AU95" s="40"/>
      <c r="AV95" s="5"/>
      <c r="AX95" s="40"/>
      <c r="AY95" s="5"/>
      <c r="BA95" s="40"/>
      <c r="BB95" s="5"/>
      <c r="BD95" s="40"/>
      <c r="BE95" s="5"/>
      <c r="BG95" s="40"/>
      <c r="BH95" s="5"/>
      <c r="BJ95" s="40"/>
      <c r="BK95" s="5"/>
      <c r="BM95" s="40"/>
      <c r="BN95" s="5"/>
      <c r="BP95" s="40"/>
      <c r="BQ95" s="5"/>
      <c r="BS95" s="40"/>
      <c r="BT95" s="5"/>
      <c r="BV95" s="40"/>
      <c r="BW95" s="5"/>
      <c r="BY95" s="40"/>
      <c r="BZ95" s="5"/>
      <c r="CB95" s="40"/>
      <c r="CC95" s="5"/>
      <c r="CE95" s="40"/>
      <c r="CF95" s="5"/>
      <c r="CH95" s="40"/>
      <c r="CI95" s="5"/>
      <c r="CK95" s="40"/>
      <c r="CL95" s="5"/>
      <c r="CN95" s="40"/>
      <c r="CO95" s="5"/>
      <c r="CQ95" s="40"/>
      <c r="CR95" s="5"/>
    </row>
    <row r="96">
      <c r="AO96" s="40"/>
      <c r="AP96" s="5"/>
      <c r="AR96" s="40"/>
      <c r="AS96" s="5"/>
      <c r="AU96" s="40"/>
      <c r="AV96" s="5"/>
      <c r="AX96" s="40"/>
      <c r="AY96" s="5"/>
      <c r="BA96" s="40"/>
      <c r="BB96" s="5"/>
      <c r="BD96" s="40"/>
      <c r="BE96" s="5"/>
      <c r="BG96" s="40"/>
      <c r="BH96" s="5"/>
      <c r="BJ96" s="40"/>
      <c r="BK96" s="5"/>
      <c r="BM96" s="40"/>
      <c r="BN96" s="5"/>
      <c r="BP96" s="40"/>
      <c r="BQ96" s="5"/>
      <c r="BS96" s="40"/>
      <c r="BT96" s="5"/>
      <c r="BV96" s="40"/>
      <c r="BW96" s="5"/>
      <c r="BY96" s="40"/>
      <c r="BZ96" s="5"/>
      <c r="CB96" s="40"/>
      <c r="CC96" s="5"/>
      <c r="CE96" s="40"/>
      <c r="CF96" s="5"/>
      <c r="CH96" s="40"/>
      <c r="CI96" s="5"/>
      <c r="CK96" s="40"/>
      <c r="CL96" s="5"/>
      <c r="CN96" s="40"/>
      <c r="CO96" s="5"/>
      <c r="CQ96" s="40"/>
      <c r="CR96" s="5"/>
    </row>
    <row r="97">
      <c r="AO97" s="40"/>
      <c r="AP97" s="5"/>
      <c r="AR97" s="40"/>
      <c r="AS97" s="5"/>
      <c r="AU97" s="40"/>
      <c r="AV97" s="5"/>
      <c r="AX97" s="40"/>
      <c r="AY97" s="5"/>
      <c r="BA97" s="40"/>
      <c r="BB97" s="5"/>
      <c r="BD97" s="40"/>
      <c r="BE97" s="5"/>
      <c r="BG97" s="40"/>
      <c r="BH97" s="5"/>
      <c r="BJ97" s="40"/>
      <c r="BK97" s="5"/>
      <c r="BM97" s="40"/>
      <c r="BN97" s="5"/>
      <c r="BP97" s="40"/>
      <c r="BQ97" s="5"/>
      <c r="BS97" s="40"/>
      <c r="BT97" s="5"/>
      <c r="BV97" s="40"/>
      <c r="BW97" s="5"/>
      <c r="BY97" s="40"/>
      <c r="BZ97" s="5"/>
      <c r="CB97" s="40"/>
      <c r="CC97" s="5"/>
      <c r="CE97" s="40"/>
      <c r="CF97" s="5"/>
      <c r="CH97" s="40"/>
      <c r="CI97" s="5"/>
      <c r="CK97" s="40"/>
      <c r="CL97" s="5"/>
      <c r="CN97" s="40"/>
      <c r="CO97" s="5"/>
      <c r="CQ97" s="40"/>
      <c r="CR97" s="5"/>
    </row>
    <row r="98">
      <c r="AO98" s="40"/>
      <c r="AP98" s="5"/>
      <c r="AR98" s="40"/>
      <c r="AS98" s="5"/>
      <c r="AU98" s="40"/>
      <c r="AV98" s="5"/>
      <c r="AX98" s="40"/>
      <c r="AY98" s="5"/>
      <c r="BA98" s="40"/>
      <c r="BB98" s="5"/>
      <c r="BD98" s="40"/>
      <c r="BE98" s="5"/>
      <c r="BG98" s="40"/>
      <c r="BH98" s="5"/>
      <c r="BJ98" s="40"/>
      <c r="BK98" s="5"/>
      <c r="BM98" s="40"/>
      <c r="BN98" s="5"/>
      <c r="BP98" s="40"/>
      <c r="BQ98" s="5"/>
      <c r="BS98" s="40"/>
      <c r="BT98" s="5"/>
      <c r="BV98" s="40"/>
      <c r="BW98" s="5"/>
      <c r="BY98" s="40"/>
      <c r="BZ98" s="5"/>
      <c r="CB98" s="40"/>
      <c r="CC98" s="5"/>
      <c r="CE98" s="40"/>
      <c r="CF98" s="5"/>
      <c r="CH98" s="40"/>
      <c r="CI98" s="5"/>
      <c r="CK98" s="40"/>
      <c r="CL98" s="5"/>
      <c r="CN98" s="40"/>
      <c r="CO98" s="5"/>
      <c r="CQ98" s="40"/>
      <c r="CR98" s="5"/>
    </row>
    <row r="99">
      <c r="AO99" s="40"/>
      <c r="AP99" s="5"/>
      <c r="AR99" s="40"/>
      <c r="AS99" s="5"/>
      <c r="AU99" s="40"/>
      <c r="AV99" s="5"/>
      <c r="AX99" s="40"/>
      <c r="AY99" s="5"/>
      <c r="BA99" s="40"/>
      <c r="BB99" s="5"/>
      <c r="BD99" s="40"/>
      <c r="BE99" s="5"/>
      <c r="BG99" s="40"/>
      <c r="BH99" s="5"/>
      <c r="BJ99" s="40"/>
      <c r="BK99" s="5"/>
      <c r="BM99" s="40"/>
      <c r="BN99" s="5"/>
      <c r="BP99" s="40"/>
      <c r="BQ99" s="5"/>
      <c r="BS99" s="40"/>
      <c r="BT99" s="5"/>
      <c r="BV99" s="40"/>
      <c r="BW99" s="5"/>
      <c r="BY99" s="40"/>
      <c r="BZ99" s="5"/>
      <c r="CB99" s="40"/>
      <c r="CC99" s="5"/>
      <c r="CE99" s="40"/>
      <c r="CF99" s="5"/>
      <c r="CH99" s="40"/>
      <c r="CI99" s="5"/>
      <c r="CK99" s="40"/>
      <c r="CL99" s="5"/>
      <c r="CN99" s="40"/>
      <c r="CO99" s="5"/>
      <c r="CQ99" s="40"/>
      <c r="CR99" s="5"/>
    </row>
    <row r="100">
      <c r="AO100" s="40"/>
      <c r="AP100" s="5"/>
      <c r="AR100" s="40"/>
      <c r="AS100" s="5"/>
      <c r="AU100" s="40"/>
      <c r="AV100" s="5"/>
      <c r="AX100" s="40"/>
      <c r="AY100" s="5"/>
      <c r="BA100" s="40"/>
      <c r="BB100" s="5"/>
      <c r="BD100" s="40"/>
      <c r="BE100" s="5"/>
      <c r="BG100" s="40"/>
      <c r="BH100" s="5"/>
      <c r="BJ100" s="40"/>
      <c r="BK100" s="5"/>
      <c r="BM100" s="40"/>
      <c r="BN100" s="5"/>
      <c r="BP100" s="40"/>
      <c r="BQ100" s="5"/>
      <c r="BS100" s="40"/>
      <c r="BT100" s="5"/>
      <c r="BV100" s="40"/>
      <c r="BW100" s="5"/>
      <c r="BY100" s="40"/>
      <c r="BZ100" s="5"/>
      <c r="CB100" s="40"/>
      <c r="CC100" s="5"/>
      <c r="CE100" s="40"/>
      <c r="CF100" s="5"/>
      <c r="CH100" s="40"/>
      <c r="CI100" s="5"/>
      <c r="CK100" s="40"/>
      <c r="CL100" s="5"/>
      <c r="CN100" s="40"/>
      <c r="CO100" s="5"/>
      <c r="CQ100" s="40"/>
      <c r="CR100" s="5"/>
    </row>
    <row r="101">
      <c r="AO101" s="40"/>
      <c r="AP101" s="5"/>
      <c r="AR101" s="40"/>
      <c r="AS101" s="5"/>
      <c r="AU101" s="40"/>
      <c r="AV101" s="5"/>
      <c r="AX101" s="40"/>
      <c r="AY101" s="5"/>
      <c r="BA101" s="40"/>
      <c r="BB101" s="5"/>
      <c r="BD101" s="40"/>
      <c r="BE101" s="5"/>
      <c r="BG101" s="40"/>
      <c r="BH101" s="5"/>
      <c r="BJ101" s="40"/>
      <c r="BK101" s="5"/>
      <c r="BM101" s="40"/>
      <c r="BN101" s="5"/>
      <c r="BP101" s="40"/>
      <c r="BQ101" s="5"/>
      <c r="BS101" s="40"/>
      <c r="BT101" s="5"/>
      <c r="BV101" s="40"/>
      <c r="BW101" s="5"/>
      <c r="BY101" s="40"/>
      <c r="BZ101" s="5"/>
      <c r="CB101" s="40"/>
      <c r="CC101" s="5"/>
      <c r="CE101" s="40"/>
      <c r="CF101" s="5"/>
      <c r="CH101" s="40"/>
      <c r="CI101" s="5"/>
      <c r="CK101" s="40"/>
      <c r="CL101" s="5"/>
      <c r="CN101" s="40"/>
      <c r="CO101" s="5"/>
      <c r="CQ101" s="40"/>
      <c r="CR101" s="5"/>
    </row>
    <row r="102">
      <c r="AO102" s="40"/>
      <c r="AP102" s="5"/>
      <c r="AR102" s="40"/>
      <c r="AS102" s="5"/>
      <c r="AU102" s="40"/>
      <c r="AV102" s="5"/>
      <c r="AX102" s="40"/>
      <c r="AY102" s="5"/>
      <c r="BA102" s="40"/>
      <c r="BB102" s="5"/>
      <c r="BD102" s="40"/>
      <c r="BE102" s="5"/>
      <c r="BG102" s="40"/>
      <c r="BH102" s="5"/>
      <c r="BJ102" s="40"/>
      <c r="BK102" s="5"/>
      <c r="BM102" s="40"/>
      <c r="BN102" s="5"/>
      <c r="BP102" s="40"/>
      <c r="BQ102" s="5"/>
      <c r="BS102" s="40"/>
      <c r="BT102" s="5"/>
      <c r="BV102" s="40"/>
      <c r="BW102" s="5"/>
      <c r="BY102" s="40"/>
      <c r="BZ102" s="5"/>
      <c r="CB102" s="40"/>
      <c r="CC102" s="5"/>
      <c r="CE102" s="40"/>
      <c r="CF102" s="5"/>
      <c r="CH102" s="40"/>
      <c r="CI102" s="5"/>
      <c r="CK102" s="40"/>
      <c r="CL102" s="5"/>
      <c r="CN102" s="40"/>
      <c r="CO102" s="5"/>
      <c r="CQ102" s="40"/>
      <c r="CR102" s="5"/>
    </row>
    <row r="103">
      <c r="AO103" s="40"/>
      <c r="AP103" s="5"/>
      <c r="AR103" s="40"/>
      <c r="AS103" s="5"/>
      <c r="AU103" s="40"/>
      <c r="AV103" s="5"/>
      <c r="AX103" s="40"/>
      <c r="AY103" s="5"/>
      <c r="BA103" s="40"/>
      <c r="BB103" s="5"/>
      <c r="BD103" s="40"/>
      <c r="BE103" s="5"/>
      <c r="BG103" s="40"/>
      <c r="BH103" s="5"/>
      <c r="BJ103" s="40"/>
      <c r="BK103" s="5"/>
      <c r="BM103" s="40"/>
      <c r="BN103" s="5"/>
      <c r="BP103" s="40"/>
      <c r="BQ103" s="5"/>
      <c r="BS103" s="40"/>
      <c r="BT103" s="5"/>
      <c r="BV103" s="40"/>
      <c r="BW103" s="5"/>
      <c r="BY103" s="40"/>
      <c r="BZ103" s="5"/>
      <c r="CB103" s="40"/>
      <c r="CC103" s="5"/>
      <c r="CE103" s="40"/>
      <c r="CF103" s="5"/>
      <c r="CH103" s="40"/>
      <c r="CI103" s="5"/>
      <c r="CK103" s="40"/>
      <c r="CL103" s="5"/>
      <c r="CN103" s="40"/>
      <c r="CO103" s="5"/>
      <c r="CQ103" s="40"/>
      <c r="CR103" s="5"/>
    </row>
    <row r="104">
      <c r="AO104" s="40"/>
      <c r="AP104" s="5"/>
      <c r="AR104" s="40"/>
      <c r="AS104" s="5"/>
      <c r="AU104" s="40"/>
      <c r="AV104" s="5"/>
      <c r="AX104" s="40"/>
      <c r="AY104" s="5"/>
      <c r="BA104" s="40"/>
      <c r="BB104" s="5"/>
      <c r="BD104" s="40"/>
      <c r="BE104" s="5"/>
      <c r="BG104" s="40"/>
      <c r="BH104" s="5"/>
      <c r="BJ104" s="40"/>
      <c r="BK104" s="5"/>
      <c r="BM104" s="40"/>
      <c r="BN104" s="5"/>
      <c r="BP104" s="40"/>
      <c r="BQ104" s="5"/>
      <c r="BS104" s="40"/>
      <c r="BT104" s="5"/>
      <c r="BV104" s="40"/>
      <c r="BW104" s="5"/>
      <c r="BY104" s="40"/>
      <c r="BZ104" s="5"/>
      <c r="CB104" s="40"/>
      <c r="CC104" s="5"/>
      <c r="CE104" s="40"/>
      <c r="CF104" s="5"/>
      <c r="CH104" s="40"/>
      <c r="CI104" s="5"/>
      <c r="CK104" s="40"/>
      <c r="CL104" s="5"/>
      <c r="CN104" s="40"/>
      <c r="CO104" s="5"/>
      <c r="CQ104" s="40"/>
      <c r="CR104" s="5"/>
    </row>
    <row r="105">
      <c r="AO105" s="40"/>
      <c r="AP105" s="5"/>
      <c r="AR105" s="40"/>
      <c r="AS105" s="5"/>
      <c r="AU105" s="40"/>
      <c r="AV105" s="5"/>
      <c r="AX105" s="40"/>
      <c r="AY105" s="5"/>
      <c r="BA105" s="40"/>
      <c r="BB105" s="5"/>
      <c r="BD105" s="40"/>
      <c r="BE105" s="5"/>
      <c r="BG105" s="40"/>
      <c r="BH105" s="5"/>
      <c r="BJ105" s="40"/>
      <c r="BK105" s="5"/>
      <c r="BM105" s="40"/>
      <c r="BN105" s="5"/>
      <c r="BP105" s="40"/>
      <c r="BQ105" s="5"/>
      <c r="BS105" s="40"/>
      <c r="BT105" s="5"/>
      <c r="BV105" s="40"/>
      <c r="BW105" s="5"/>
      <c r="BY105" s="40"/>
      <c r="BZ105" s="5"/>
      <c r="CB105" s="40"/>
      <c r="CC105" s="5"/>
      <c r="CE105" s="40"/>
      <c r="CF105" s="5"/>
      <c r="CH105" s="40"/>
      <c r="CI105" s="5"/>
      <c r="CK105" s="40"/>
      <c r="CL105" s="5"/>
      <c r="CN105" s="40"/>
      <c r="CO105" s="5"/>
      <c r="CQ105" s="40"/>
      <c r="CR105" s="5"/>
    </row>
    <row r="106">
      <c r="AO106" s="40"/>
      <c r="AP106" s="5"/>
      <c r="AR106" s="40"/>
      <c r="AS106" s="5"/>
      <c r="AU106" s="40"/>
      <c r="AV106" s="5"/>
      <c r="AX106" s="40"/>
      <c r="AY106" s="5"/>
      <c r="BA106" s="40"/>
      <c r="BB106" s="5"/>
      <c r="BD106" s="40"/>
      <c r="BE106" s="5"/>
      <c r="BG106" s="40"/>
      <c r="BH106" s="5"/>
      <c r="BJ106" s="40"/>
      <c r="BK106" s="5"/>
      <c r="BM106" s="40"/>
      <c r="BN106" s="5"/>
      <c r="BP106" s="40"/>
      <c r="BQ106" s="5"/>
      <c r="BS106" s="40"/>
      <c r="BT106" s="5"/>
      <c r="BV106" s="40"/>
      <c r="BW106" s="5"/>
      <c r="BY106" s="40"/>
      <c r="BZ106" s="5"/>
      <c r="CB106" s="40"/>
      <c r="CC106" s="5"/>
      <c r="CE106" s="40"/>
      <c r="CF106" s="5"/>
      <c r="CH106" s="40"/>
      <c r="CI106" s="5"/>
      <c r="CK106" s="40"/>
      <c r="CL106" s="5"/>
      <c r="CN106" s="40"/>
      <c r="CO106" s="5"/>
      <c r="CQ106" s="40"/>
      <c r="CR106" s="5"/>
    </row>
    <row r="107">
      <c r="AO107" s="40"/>
      <c r="AP107" s="5"/>
      <c r="AR107" s="40"/>
      <c r="AS107" s="5"/>
      <c r="AU107" s="40"/>
      <c r="AV107" s="5"/>
      <c r="AX107" s="40"/>
      <c r="AY107" s="5"/>
      <c r="BA107" s="40"/>
      <c r="BB107" s="5"/>
      <c r="BD107" s="40"/>
      <c r="BE107" s="5"/>
      <c r="BG107" s="40"/>
      <c r="BH107" s="5"/>
      <c r="BJ107" s="40"/>
      <c r="BK107" s="5"/>
      <c r="BM107" s="40"/>
      <c r="BN107" s="5"/>
      <c r="BP107" s="40"/>
      <c r="BQ107" s="5"/>
      <c r="BS107" s="40"/>
      <c r="BT107" s="5"/>
      <c r="BV107" s="40"/>
      <c r="BW107" s="5"/>
      <c r="BY107" s="40"/>
      <c r="BZ107" s="5"/>
      <c r="CB107" s="40"/>
      <c r="CC107" s="5"/>
      <c r="CE107" s="40"/>
      <c r="CF107" s="5"/>
      <c r="CH107" s="40"/>
      <c r="CI107" s="5"/>
      <c r="CK107" s="40"/>
      <c r="CL107" s="5"/>
      <c r="CN107" s="40"/>
      <c r="CO107" s="5"/>
      <c r="CQ107" s="40"/>
      <c r="CR107" s="5"/>
    </row>
    <row r="108">
      <c r="AO108" s="40"/>
      <c r="AP108" s="5"/>
      <c r="AR108" s="40"/>
      <c r="AS108" s="5"/>
      <c r="AU108" s="40"/>
      <c r="AV108" s="5"/>
      <c r="AX108" s="40"/>
      <c r="AY108" s="5"/>
      <c r="BA108" s="40"/>
      <c r="BB108" s="5"/>
      <c r="BD108" s="40"/>
      <c r="BE108" s="5"/>
      <c r="BG108" s="40"/>
      <c r="BH108" s="5"/>
      <c r="BJ108" s="40"/>
      <c r="BK108" s="5"/>
      <c r="BM108" s="40"/>
      <c r="BN108" s="5"/>
      <c r="BP108" s="40"/>
      <c r="BQ108" s="5"/>
      <c r="BS108" s="40"/>
      <c r="BT108" s="5"/>
      <c r="BV108" s="40"/>
      <c r="BW108" s="5"/>
      <c r="BY108" s="40"/>
      <c r="BZ108" s="5"/>
      <c r="CB108" s="40"/>
      <c r="CC108" s="5"/>
      <c r="CE108" s="40"/>
      <c r="CF108" s="5"/>
      <c r="CH108" s="40"/>
      <c r="CI108" s="5"/>
      <c r="CK108" s="40"/>
      <c r="CL108" s="5"/>
      <c r="CN108" s="40"/>
      <c r="CO108" s="5"/>
      <c r="CQ108" s="40"/>
      <c r="CR108" s="5"/>
    </row>
    <row r="109">
      <c r="AO109" s="40"/>
      <c r="AP109" s="5"/>
      <c r="AR109" s="40"/>
      <c r="AS109" s="5"/>
      <c r="AU109" s="40"/>
      <c r="AV109" s="5"/>
      <c r="AX109" s="40"/>
      <c r="AY109" s="5"/>
      <c r="BA109" s="40"/>
      <c r="BB109" s="5"/>
      <c r="BD109" s="40"/>
      <c r="BE109" s="5"/>
      <c r="BG109" s="40"/>
      <c r="BH109" s="5"/>
      <c r="BJ109" s="40"/>
      <c r="BK109" s="5"/>
      <c r="BM109" s="40"/>
      <c r="BN109" s="5"/>
      <c r="BP109" s="40"/>
      <c r="BQ109" s="5"/>
      <c r="BS109" s="40"/>
      <c r="BT109" s="5"/>
      <c r="BV109" s="40"/>
      <c r="BW109" s="5"/>
      <c r="BY109" s="40"/>
      <c r="BZ109" s="5"/>
      <c r="CB109" s="40"/>
      <c r="CC109" s="5"/>
      <c r="CE109" s="40"/>
      <c r="CF109" s="5"/>
      <c r="CH109" s="40"/>
      <c r="CI109" s="5"/>
      <c r="CK109" s="40"/>
      <c r="CL109" s="5"/>
      <c r="CN109" s="40"/>
      <c r="CO109" s="5"/>
      <c r="CQ109" s="40"/>
      <c r="CR109" s="5"/>
    </row>
    <row r="110">
      <c r="AO110" s="40"/>
      <c r="AP110" s="5"/>
      <c r="AR110" s="40"/>
      <c r="AS110" s="5"/>
      <c r="AU110" s="40"/>
      <c r="AV110" s="5"/>
      <c r="AX110" s="40"/>
      <c r="AY110" s="5"/>
      <c r="BA110" s="40"/>
      <c r="BB110" s="5"/>
      <c r="BD110" s="40"/>
      <c r="BE110" s="5"/>
      <c r="BG110" s="40"/>
      <c r="BH110" s="5"/>
      <c r="BJ110" s="40"/>
      <c r="BK110" s="5"/>
      <c r="BM110" s="40"/>
      <c r="BN110" s="5"/>
      <c r="BP110" s="40"/>
      <c r="BQ110" s="5"/>
      <c r="BS110" s="40"/>
      <c r="BT110" s="5"/>
      <c r="BV110" s="40"/>
      <c r="BW110" s="5"/>
      <c r="BY110" s="40"/>
      <c r="BZ110" s="5"/>
      <c r="CB110" s="40"/>
      <c r="CC110" s="5"/>
      <c r="CE110" s="40"/>
      <c r="CF110" s="5"/>
      <c r="CH110" s="40"/>
      <c r="CI110" s="5"/>
      <c r="CK110" s="40"/>
      <c r="CL110" s="5"/>
      <c r="CN110" s="40"/>
      <c r="CO110" s="5"/>
      <c r="CQ110" s="40"/>
      <c r="CR110" s="5"/>
    </row>
    <row r="111">
      <c r="AO111" s="40"/>
      <c r="AP111" s="5"/>
      <c r="AR111" s="40"/>
      <c r="AS111" s="5"/>
      <c r="AU111" s="40"/>
      <c r="AV111" s="5"/>
      <c r="AX111" s="40"/>
      <c r="AY111" s="5"/>
      <c r="BA111" s="40"/>
      <c r="BB111" s="5"/>
      <c r="BD111" s="40"/>
      <c r="BE111" s="5"/>
      <c r="BG111" s="40"/>
      <c r="BH111" s="5"/>
      <c r="BJ111" s="40"/>
      <c r="BK111" s="5"/>
      <c r="BM111" s="40"/>
      <c r="BN111" s="5"/>
      <c r="BP111" s="40"/>
      <c r="BQ111" s="5"/>
      <c r="BS111" s="40"/>
      <c r="BT111" s="5"/>
      <c r="BV111" s="40"/>
      <c r="BW111" s="5"/>
      <c r="BY111" s="40"/>
      <c r="BZ111" s="5"/>
      <c r="CB111" s="40"/>
      <c r="CC111" s="5"/>
      <c r="CE111" s="40"/>
      <c r="CF111" s="5"/>
      <c r="CH111" s="40"/>
      <c r="CI111" s="5"/>
      <c r="CK111" s="40"/>
      <c r="CL111" s="5"/>
      <c r="CN111" s="40"/>
      <c r="CO111" s="5"/>
      <c r="CQ111" s="40"/>
      <c r="CR111" s="5"/>
    </row>
    <row r="112">
      <c r="AO112" s="40"/>
      <c r="AP112" s="5"/>
      <c r="AR112" s="40"/>
      <c r="AS112" s="5"/>
      <c r="AU112" s="40"/>
      <c r="AV112" s="5"/>
      <c r="AX112" s="40"/>
      <c r="AY112" s="5"/>
      <c r="BA112" s="40"/>
      <c r="BB112" s="5"/>
      <c r="BD112" s="40"/>
      <c r="BE112" s="5"/>
      <c r="BG112" s="40"/>
      <c r="BH112" s="5"/>
      <c r="BJ112" s="40"/>
      <c r="BK112" s="5"/>
      <c r="BM112" s="40"/>
      <c r="BN112" s="5"/>
      <c r="BP112" s="40"/>
      <c r="BQ112" s="5"/>
      <c r="BS112" s="40"/>
      <c r="BT112" s="5"/>
      <c r="BV112" s="40"/>
      <c r="BW112" s="5"/>
      <c r="BY112" s="40"/>
      <c r="BZ112" s="5"/>
      <c r="CB112" s="40"/>
      <c r="CC112" s="5"/>
      <c r="CE112" s="40"/>
      <c r="CF112" s="5"/>
      <c r="CH112" s="40"/>
      <c r="CI112" s="5"/>
      <c r="CK112" s="40"/>
      <c r="CL112" s="5"/>
      <c r="CN112" s="40"/>
      <c r="CO112" s="5"/>
      <c r="CQ112" s="40"/>
      <c r="CR112" s="5"/>
    </row>
    <row r="113">
      <c r="AO113" s="40"/>
      <c r="AP113" s="5"/>
      <c r="AR113" s="40"/>
      <c r="AS113" s="5"/>
      <c r="AU113" s="40"/>
      <c r="AV113" s="5"/>
      <c r="AX113" s="40"/>
      <c r="AY113" s="5"/>
      <c r="BA113" s="40"/>
      <c r="BB113" s="5"/>
      <c r="BD113" s="40"/>
      <c r="BE113" s="5"/>
      <c r="BG113" s="40"/>
      <c r="BH113" s="5"/>
      <c r="BJ113" s="40"/>
      <c r="BK113" s="5"/>
      <c r="BM113" s="40"/>
      <c r="BN113" s="5"/>
      <c r="BP113" s="40"/>
      <c r="BQ113" s="5"/>
      <c r="BS113" s="40"/>
      <c r="BT113" s="5"/>
      <c r="BV113" s="40"/>
      <c r="BW113" s="5"/>
      <c r="BY113" s="40"/>
      <c r="BZ113" s="5"/>
      <c r="CB113" s="40"/>
      <c r="CC113" s="5"/>
      <c r="CE113" s="40"/>
      <c r="CF113" s="5"/>
      <c r="CH113" s="40"/>
      <c r="CI113" s="5"/>
      <c r="CK113" s="40"/>
      <c r="CL113" s="5"/>
      <c r="CN113" s="40"/>
      <c r="CO113" s="5"/>
      <c r="CQ113" s="40"/>
      <c r="CR113" s="5"/>
    </row>
    <row r="114">
      <c r="AO114" s="40"/>
      <c r="AP114" s="5"/>
      <c r="AR114" s="40"/>
      <c r="AS114" s="5"/>
      <c r="AU114" s="40"/>
      <c r="AV114" s="5"/>
      <c r="AX114" s="40"/>
      <c r="AY114" s="5"/>
      <c r="BA114" s="40"/>
      <c r="BB114" s="5"/>
      <c r="BD114" s="40"/>
      <c r="BE114" s="5"/>
      <c r="BG114" s="40"/>
      <c r="BH114" s="5"/>
      <c r="BJ114" s="40"/>
      <c r="BK114" s="5"/>
      <c r="BM114" s="40"/>
      <c r="BN114" s="5"/>
      <c r="BP114" s="40"/>
      <c r="BQ114" s="5"/>
      <c r="BS114" s="40"/>
      <c r="BT114" s="5"/>
      <c r="BV114" s="40"/>
      <c r="BW114" s="5"/>
      <c r="BY114" s="40"/>
      <c r="BZ114" s="5"/>
      <c r="CB114" s="40"/>
      <c r="CC114" s="5"/>
      <c r="CE114" s="40"/>
      <c r="CF114" s="5"/>
      <c r="CH114" s="40"/>
      <c r="CI114" s="5"/>
      <c r="CK114" s="40"/>
      <c r="CL114" s="5"/>
      <c r="CN114" s="40"/>
      <c r="CO114" s="5"/>
      <c r="CQ114" s="40"/>
      <c r="CR114" s="5"/>
    </row>
    <row r="115">
      <c r="AO115" s="40"/>
      <c r="AP115" s="5"/>
      <c r="AR115" s="40"/>
      <c r="AS115" s="5"/>
      <c r="AU115" s="40"/>
      <c r="AV115" s="5"/>
      <c r="AX115" s="40"/>
      <c r="AY115" s="5"/>
      <c r="BA115" s="40"/>
      <c r="BB115" s="5"/>
      <c r="BD115" s="40"/>
      <c r="BE115" s="5"/>
      <c r="BG115" s="40"/>
      <c r="BH115" s="5"/>
      <c r="BJ115" s="40"/>
      <c r="BK115" s="5"/>
      <c r="BM115" s="40"/>
      <c r="BN115" s="5"/>
      <c r="BP115" s="40"/>
      <c r="BQ115" s="5"/>
      <c r="BS115" s="40"/>
      <c r="BT115" s="5"/>
      <c r="BV115" s="40"/>
      <c r="BW115" s="5"/>
      <c r="BY115" s="40"/>
      <c r="BZ115" s="5"/>
      <c r="CB115" s="40"/>
      <c r="CC115" s="5"/>
      <c r="CE115" s="40"/>
      <c r="CF115" s="5"/>
      <c r="CH115" s="40"/>
      <c r="CI115" s="5"/>
      <c r="CK115" s="40"/>
      <c r="CL115" s="5"/>
      <c r="CN115" s="40"/>
      <c r="CO115" s="5"/>
      <c r="CQ115" s="40"/>
      <c r="CR115" s="5"/>
    </row>
    <row r="116">
      <c r="AO116" s="40"/>
      <c r="AP116" s="5"/>
      <c r="AR116" s="40"/>
      <c r="AS116" s="5"/>
      <c r="AU116" s="40"/>
      <c r="AV116" s="5"/>
      <c r="AX116" s="40"/>
      <c r="AY116" s="5"/>
      <c r="BA116" s="40"/>
      <c r="BB116" s="5"/>
      <c r="BD116" s="40"/>
      <c r="BE116" s="5"/>
      <c r="BG116" s="40"/>
      <c r="BH116" s="5"/>
      <c r="BJ116" s="40"/>
      <c r="BK116" s="5"/>
      <c r="BM116" s="40"/>
      <c r="BN116" s="5"/>
      <c r="BP116" s="40"/>
      <c r="BQ116" s="5"/>
      <c r="BS116" s="40"/>
      <c r="BT116" s="5"/>
      <c r="BV116" s="40"/>
      <c r="BW116" s="5"/>
      <c r="BY116" s="40"/>
      <c r="BZ116" s="5"/>
      <c r="CB116" s="40"/>
      <c r="CC116" s="5"/>
      <c r="CE116" s="40"/>
      <c r="CF116" s="5"/>
      <c r="CH116" s="40"/>
      <c r="CI116" s="5"/>
      <c r="CK116" s="40"/>
      <c r="CL116" s="5"/>
      <c r="CN116" s="40"/>
      <c r="CO116" s="5"/>
      <c r="CQ116" s="40"/>
      <c r="CR116" s="5"/>
    </row>
    <row r="117">
      <c r="AO117" s="40"/>
      <c r="AP117" s="5"/>
      <c r="AR117" s="40"/>
      <c r="AS117" s="5"/>
      <c r="AU117" s="40"/>
      <c r="AV117" s="5"/>
      <c r="AX117" s="40"/>
      <c r="AY117" s="5"/>
      <c r="BA117" s="40"/>
      <c r="BB117" s="5"/>
      <c r="BD117" s="40"/>
      <c r="BE117" s="5"/>
      <c r="BG117" s="40"/>
      <c r="BH117" s="5"/>
      <c r="BJ117" s="40"/>
      <c r="BK117" s="5"/>
      <c r="BM117" s="40"/>
      <c r="BN117" s="5"/>
      <c r="BP117" s="40"/>
      <c r="BQ117" s="5"/>
      <c r="BS117" s="40"/>
      <c r="BT117" s="5"/>
      <c r="BV117" s="40"/>
      <c r="BW117" s="5"/>
      <c r="BY117" s="40"/>
      <c r="BZ117" s="5"/>
      <c r="CB117" s="40"/>
      <c r="CC117" s="5"/>
      <c r="CE117" s="40"/>
      <c r="CF117" s="5"/>
      <c r="CH117" s="40"/>
      <c r="CI117" s="5"/>
      <c r="CK117" s="40"/>
      <c r="CL117" s="5"/>
      <c r="CN117" s="40"/>
      <c r="CO117" s="5"/>
      <c r="CQ117" s="40"/>
      <c r="CR117" s="5"/>
    </row>
    <row r="118">
      <c r="AO118" s="40"/>
      <c r="AP118" s="5"/>
      <c r="AR118" s="40"/>
      <c r="AS118" s="5"/>
      <c r="AU118" s="40"/>
      <c r="AV118" s="5"/>
      <c r="AX118" s="40"/>
      <c r="AY118" s="5"/>
      <c r="BA118" s="40"/>
      <c r="BB118" s="5"/>
      <c r="BD118" s="40"/>
      <c r="BE118" s="5"/>
      <c r="BG118" s="40"/>
      <c r="BH118" s="5"/>
      <c r="BJ118" s="40"/>
      <c r="BK118" s="5"/>
      <c r="BM118" s="40"/>
      <c r="BN118" s="5"/>
      <c r="BP118" s="40"/>
      <c r="BQ118" s="5"/>
      <c r="BS118" s="40"/>
      <c r="BT118" s="5"/>
      <c r="BV118" s="40"/>
      <c r="BW118" s="5"/>
      <c r="BY118" s="40"/>
      <c r="BZ118" s="5"/>
      <c r="CB118" s="40"/>
      <c r="CC118" s="5"/>
      <c r="CE118" s="40"/>
      <c r="CF118" s="5"/>
      <c r="CH118" s="40"/>
      <c r="CI118" s="5"/>
      <c r="CK118" s="40"/>
      <c r="CL118" s="5"/>
      <c r="CN118" s="40"/>
      <c r="CO118" s="5"/>
      <c r="CQ118" s="40"/>
      <c r="CR118" s="5"/>
    </row>
    <row r="119">
      <c r="AO119" s="40"/>
      <c r="AP119" s="5"/>
      <c r="AR119" s="40"/>
      <c r="AS119" s="5"/>
      <c r="AU119" s="40"/>
      <c r="AV119" s="5"/>
      <c r="AX119" s="40"/>
      <c r="AY119" s="5"/>
      <c r="BA119" s="40"/>
      <c r="BB119" s="5"/>
      <c r="BD119" s="40"/>
      <c r="BE119" s="5"/>
      <c r="BG119" s="40"/>
      <c r="BH119" s="5"/>
      <c r="BJ119" s="40"/>
      <c r="BK119" s="5"/>
      <c r="BM119" s="40"/>
      <c r="BN119" s="5"/>
      <c r="BP119" s="40"/>
      <c r="BQ119" s="5"/>
      <c r="BS119" s="40"/>
      <c r="BT119" s="5"/>
      <c r="BV119" s="40"/>
      <c r="BW119" s="5"/>
      <c r="BY119" s="40"/>
      <c r="BZ119" s="5"/>
      <c r="CB119" s="40"/>
      <c r="CC119" s="5"/>
      <c r="CE119" s="40"/>
      <c r="CF119" s="5"/>
      <c r="CH119" s="40"/>
      <c r="CI119" s="5"/>
      <c r="CK119" s="40"/>
      <c r="CL119" s="5"/>
      <c r="CN119" s="40"/>
      <c r="CO119" s="5"/>
      <c r="CQ119" s="40"/>
      <c r="CR119" s="5"/>
    </row>
    <row r="120">
      <c r="AO120" s="40"/>
      <c r="AP120" s="5"/>
      <c r="AR120" s="40"/>
      <c r="AS120" s="5"/>
      <c r="AU120" s="40"/>
      <c r="AV120" s="5"/>
      <c r="AX120" s="40"/>
      <c r="AY120" s="5"/>
      <c r="BA120" s="40"/>
      <c r="BB120" s="5"/>
      <c r="BD120" s="40"/>
      <c r="BE120" s="5"/>
      <c r="BG120" s="40"/>
      <c r="BH120" s="5"/>
      <c r="BJ120" s="40"/>
      <c r="BK120" s="5"/>
      <c r="BM120" s="40"/>
      <c r="BN120" s="5"/>
      <c r="BP120" s="40"/>
      <c r="BQ120" s="5"/>
      <c r="BS120" s="40"/>
      <c r="BT120" s="5"/>
      <c r="BV120" s="40"/>
      <c r="BW120" s="5"/>
      <c r="BY120" s="40"/>
      <c r="BZ120" s="5"/>
      <c r="CB120" s="40"/>
      <c r="CC120" s="5"/>
      <c r="CE120" s="40"/>
      <c r="CF120" s="5"/>
      <c r="CH120" s="40"/>
      <c r="CI120" s="5"/>
      <c r="CK120" s="40"/>
      <c r="CL120" s="5"/>
      <c r="CN120" s="40"/>
      <c r="CO120" s="5"/>
      <c r="CQ120" s="40"/>
      <c r="CR120" s="5"/>
    </row>
    <row r="121">
      <c r="AO121" s="40"/>
      <c r="AP121" s="5"/>
      <c r="AR121" s="40"/>
      <c r="AS121" s="5"/>
      <c r="AU121" s="40"/>
      <c r="AV121" s="5"/>
      <c r="AX121" s="40"/>
      <c r="AY121" s="5"/>
      <c r="BA121" s="40"/>
      <c r="BB121" s="5"/>
      <c r="BD121" s="40"/>
      <c r="BE121" s="5"/>
      <c r="BG121" s="40"/>
      <c r="BH121" s="5"/>
      <c r="BJ121" s="40"/>
      <c r="BK121" s="5"/>
      <c r="BM121" s="40"/>
      <c r="BN121" s="5"/>
      <c r="BP121" s="40"/>
      <c r="BQ121" s="5"/>
      <c r="BS121" s="40"/>
      <c r="BT121" s="5"/>
      <c r="BV121" s="40"/>
      <c r="BW121" s="5"/>
      <c r="BY121" s="40"/>
      <c r="BZ121" s="5"/>
      <c r="CB121" s="40"/>
      <c r="CC121" s="5"/>
      <c r="CE121" s="40"/>
      <c r="CF121" s="5"/>
      <c r="CH121" s="40"/>
      <c r="CI121" s="5"/>
      <c r="CK121" s="40"/>
      <c r="CL121" s="5"/>
      <c r="CN121" s="40"/>
      <c r="CO121" s="5"/>
      <c r="CQ121" s="40"/>
      <c r="CR121" s="5"/>
    </row>
    <row r="122">
      <c r="AO122" s="40"/>
      <c r="AP122" s="5"/>
      <c r="AR122" s="40"/>
      <c r="AS122" s="5"/>
      <c r="AU122" s="40"/>
      <c r="AV122" s="5"/>
      <c r="AX122" s="40"/>
      <c r="AY122" s="5"/>
      <c r="BA122" s="40"/>
      <c r="BB122" s="5"/>
      <c r="BD122" s="40"/>
      <c r="BE122" s="5"/>
      <c r="BG122" s="40"/>
      <c r="BH122" s="5"/>
      <c r="BJ122" s="40"/>
      <c r="BK122" s="5"/>
      <c r="BM122" s="40"/>
      <c r="BN122" s="5"/>
      <c r="BP122" s="40"/>
      <c r="BQ122" s="5"/>
      <c r="BS122" s="40"/>
      <c r="BT122" s="5"/>
      <c r="BV122" s="40"/>
      <c r="BW122" s="5"/>
      <c r="BY122" s="40"/>
      <c r="BZ122" s="5"/>
      <c r="CB122" s="40"/>
      <c r="CC122" s="5"/>
      <c r="CE122" s="40"/>
      <c r="CF122" s="5"/>
      <c r="CH122" s="40"/>
      <c r="CI122" s="5"/>
      <c r="CK122" s="40"/>
      <c r="CL122" s="5"/>
      <c r="CN122" s="40"/>
      <c r="CO122" s="5"/>
      <c r="CQ122" s="40"/>
      <c r="CR122" s="5"/>
    </row>
    <row r="123">
      <c r="AO123" s="40"/>
      <c r="AP123" s="5"/>
      <c r="AR123" s="40"/>
      <c r="AS123" s="5"/>
      <c r="AU123" s="40"/>
      <c r="AV123" s="5"/>
      <c r="AX123" s="40"/>
      <c r="AY123" s="5"/>
      <c r="BA123" s="40"/>
      <c r="BB123" s="5"/>
      <c r="BD123" s="40"/>
      <c r="BE123" s="5"/>
      <c r="BG123" s="40"/>
      <c r="BH123" s="5"/>
      <c r="BJ123" s="40"/>
      <c r="BK123" s="5"/>
      <c r="BM123" s="40"/>
      <c r="BN123" s="5"/>
      <c r="BP123" s="40"/>
      <c r="BQ123" s="5"/>
      <c r="BS123" s="40"/>
      <c r="BT123" s="5"/>
      <c r="BV123" s="40"/>
      <c r="BW123" s="5"/>
      <c r="BY123" s="40"/>
      <c r="BZ123" s="5"/>
      <c r="CB123" s="40"/>
      <c r="CC123" s="5"/>
      <c r="CE123" s="40"/>
      <c r="CF123" s="5"/>
      <c r="CH123" s="40"/>
      <c r="CI123" s="5"/>
      <c r="CK123" s="40"/>
      <c r="CL123" s="5"/>
      <c r="CN123" s="40"/>
      <c r="CO123" s="5"/>
      <c r="CQ123" s="40"/>
      <c r="CR123" s="5"/>
    </row>
    <row r="124">
      <c r="AO124" s="40"/>
      <c r="AP124" s="5"/>
      <c r="AR124" s="40"/>
      <c r="AS124" s="5"/>
      <c r="AU124" s="40"/>
      <c r="AV124" s="5"/>
      <c r="AX124" s="40"/>
      <c r="AY124" s="5"/>
      <c r="BA124" s="40"/>
      <c r="BB124" s="5"/>
      <c r="BD124" s="40"/>
      <c r="BE124" s="5"/>
      <c r="BG124" s="40"/>
      <c r="BH124" s="5"/>
      <c r="BJ124" s="40"/>
      <c r="BK124" s="5"/>
      <c r="BM124" s="40"/>
      <c r="BN124" s="5"/>
      <c r="BP124" s="40"/>
      <c r="BQ124" s="5"/>
      <c r="BS124" s="40"/>
      <c r="BT124" s="5"/>
      <c r="BV124" s="40"/>
      <c r="BW124" s="5"/>
      <c r="BY124" s="40"/>
      <c r="BZ124" s="5"/>
      <c r="CB124" s="40"/>
      <c r="CC124" s="5"/>
      <c r="CE124" s="40"/>
      <c r="CF124" s="5"/>
      <c r="CH124" s="40"/>
      <c r="CI124" s="5"/>
      <c r="CK124" s="40"/>
      <c r="CL124" s="5"/>
      <c r="CN124" s="40"/>
      <c r="CO124" s="5"/>
      <c r="CQ124" s="40"/>
      <c r="CR124" s="5"/>
    </row>
    <row r="125">
      <c r="AO125" s="40"/>
      <c r="AP125" s="5"/>
      <c r="AR125" s="40"/>
      <c r="AS125" s="5"/>
      <c r="AU125" s="40"/>
      <c r="AV125" s="5"/>
      <c r="AX125" s="40"/>
      <c r="AY125" s="5"/>
      <c r="BA125" s="40"/>
      <c r="BB125" s="5"/>
      <c r="BD125" s="40"/>
      <c r="BE125" s="5"/>
      <c r="BG125" s="40"/>
      <c r="BH125" s="5"/>
      <c r="BJ125" s="40"/>
      <c r="BK125" s="5"/>
      <c r="BM125" s="40"/>
      <c r="BN125" s="5"/>
      <c r="BP125" s="40"/>
      <c r="BQ125" s="5"/>
      <c r="BS125" s="40"/>
      <c r="BT125" s="5"/>
      <c r="BV125" s="40"/>
      <c r="BW125" s="5"/>
      <c r="BY125" s="40"/>
      <c r="BZ125" s="5"/>
      <c r="CB125" s="40"/>
      <c r="CC125" s="5"/>
      <c r="CE125" s="40"/>
      <c r="CF125" s="5"/>
      <c r="CH125" s="40"/>
      <c r="CI125" s="5"/>
      <c r="CK125" s="40"/>
      <c r="CL125" s="5"/>
      <c r="CN125" s="40"/>
      <c r="CO125" s="5"/>
      <c r="CQ125" s="40"/>
      <c r="CR125" s="5"/>
    </row>
    <row r="126">
      <c r="AO126" s="40"/>
      <c r="AP126" s="5"/>
      <c r="AR126" s="40"/>
      <c r="AS126" s="5"/>
      <c r="AU126" s="40"/>
      <c r="AV126" s="5"/>
      <c r="AX126" s="40"/>
      <c r="AY126" s="5"/>
      <c r="BA126" s="40"/>
      <c r="BB126" s="5"/>
      <c r="BD126" s="40"/>
      <c r="BE126" s="5"/>
      <c r="BG126" s="40"/>
      <c r="BH126" s="5"/>
      <c r="BJ126" s="40"/>
      <c r="BK126" s="5"/>
      <c r="BM126" s="40"/>
      <c r="BN126" s="5"/>
      <c r="BP126" s="40"/>
      <c r="BQ126" s="5"/>
      <c r="BS126" s="40"/>
      <c r="BT126" s="5"/>
      <c r="BV126" s="40"/>
      <c r="BW126" s="5"/>
      <c r="BY126" s="40"/>
      <c r="BZ126" s="5"/>
      <c r="CB126" s="40"/>
      <c r="CC126" s="5"/>
      <c r="CE126" s="40"/>
      <c r="CF126" s="5"/>
      <c r="CH126" s="40"/>
      <c r="CI126" s="5"/>
      <c r="CK126" s="40"/>
      <c r="CL126" s="5"/>
      <c r="CN126" s="40"/>
      <c r="CO126" s="5"/>
      <c r="CQ126" s="40"/>
      <c r="CR126" s="5"/>
    </row>
    <row r="127">
      <c r="AO127" s="40"/>
      <c r="AP127" s="5"/>
      <c r="AR127" s="40"/>
      <c r="AS127" s="5"/>
      <c r="AU127" s="40"/>
      <c r="AV127" s="5"/>
      <c r="AX127" s="40"/>
      <c r="AY127" s="5"/>
      <c r="BA127" s="40"/>
      <c r="BB127" s="5"/>
      <c r="BD127" s="40"/>
      <c r="BE127" s="5"/>
      <c r="BG127" s="40"/>
      <c r="BH127" s="5"/>
      <c r="BJ127" s="40"/>
      <c r="BK127" s="5"/>
      <c r="BM127" s="40"/>
      <c r="BN127" s="5"/>
      <c r="BP127" s="40"/>
      <c r="BQ127" s="5"/>
      <c r="BS127" s="40"/>
      <c r="BT127" s="5"/>
      <c r="BV127" s="40"/>
      <c r="BW127" s="5"/>
      <c r="BY127" s="40"/>
      <c r="BZ127" s="5"/>
      <c r="CB127" s="40"/>
      <c r="CC127" s="5"/>
      <c r="CE127" s="40"/>
      <c r="CF127" s="5"/>
      <c r="CH127" s="40"/>
      <c r="CI127" s="5"/>
      <c r="CK127" s="40"/>
      <c r="CL127" s="5"/>
      <c r="CN127" s="40"/>
      <c r="CO127" s="5"/>
      <c r="CQ127" s="40"/>
      <c r="CR127" s="5"/>
    </row>
    <row r="128">
      <c r="AO128" s="40"/>
      <c r="AP128" s="5"/>
      <c r="AR128" s="40"/>
      <c r="AS128" s="5"/>
      <c r="AU128" s="40"/>
      <c r="AV128" s="5"/>
      <c r="AX128" s="40"/>
      <c r="AY128" s="5"/>
      <c r="BA128" s="40"/>
      <c r="BB128" s="5"/>
      <c r="BD128" s="40"/>
      <c r="BE128" s="5"/>
      <c r="BG128" s="40"/>
      <c r="BH128" s="5"/>
      <c r="BJ128" s="40"/>
      <c r="BK128" s="5"/>
      <c r="BM128" s="40"/>
      <c r="BN128" s="5"/>
      <c r="BP128" s="40"/>
      <c r="BQ128" s="5"/>
      <c r="BS128" s="40"/>
      <c r="BT128" s="5"/>
      <c r="BV128" s="40"/>
      <c r="BW128" s="5"/>
      <c r="BY128" s="40"/>
      <c r="BZ128" s="5"/>
      <c r="CB128" s="40"/>
      <c r="CC128" s="5"/>
      <c r="CE128" s="40"/>
      <c r="CF128" s="5"/>
      <c r="CH128" s="40"/>
      <c r="CI128" s="5"/>
      <c r="CK128" s="40"/>
      <c r="CL128" s="5"/>
      <c r="CN128" s="40"/>
      <c r="CO128" s="5"/>
      <c r="CQ128" s="40"/>
      <c r="CR128" s="5"/>
    </row>
    <row r="129">
      <c r="AO129" s="40"/>
      <c r="AP129" s="5"/>
      <c r="AR129" s="40"/>
      <c r="AS129" s="5"/>
      <c r="AU129" s="40"/>
      <c r="AV129" s="5"/>
      <c r="AX129" s="40"/>
      <c r="AY129" s="5"/>
      <c r="BA129" s="40"/>
      <c r="BB129" s="5"/>
      <c r="BD129" s="40"/>
      <c r="BE129" s="5"/>
      <c r="BG129" s="40"/>
      <c r="BH129" s="5"/>
      <c r="BJ129" s="40"/>
      <c r="BK129" s="5"/>
      <c r="BM129" s="40"/>
      <c r="BN129" s="5"/>
      <c r="BP129" s="40"/>
      <c r="BQ129" s="5"/>
      <c r="BS129" s="40"/>
      <c r="BT129" s="5"/>
      <c r="BV129" s="40"/>
      <c r="BW129" s="5"/>
      <c r="BY129" s="40"/>
      <c r="BZ129" s="5"/>
      <c r="CB129" s="40"/>
      <c r="CC129" s="5"/>
      <c r="CE129" s="40"/>
      <c r="CF129" s="5"/>
      <c r="CH129" s="40"/>
      <c r="CI129" s="5"/>
      <c r="CK129" s="40"/>
      <c r="CL129" s="5"/>
      <c r="CN129" s="40"/>
      <c r="CO129" s="5"/>
      <c r="CQ129" s="40"/>
      <c r="CR129" s="5"/>
    </row>
    <row r="130">
      <c r="AO130" s="40"/>
      <c r="AP130" s="5"/>
      <c r="AR130" s="40"/>
      <c r="AS130" s="5"/>
      <c r="AU130" s="40"/>
      <c r="AV130" s="5"/>
      <c r="AX130" s="40"/>
      <c r="AY130" s="5"/>
      <c r="BA130" s="40"/>
      <c r="BB130" s="5"/>
      <c r="BD130" s="40"/>
      <c r="BE130" s="5"/>
      <c r="BG130" s="40"/>
      <c r="BH130" s="5"/>
      <c r="BJ130" s="40"/>
      <c r="BK130" s="5"/>
      <c r="BM130" s="40"/>
      <c r="BN130" s="5"/>
      <c r="BP130" s="40"/>
      <c r="BQ130" s="5"/>
      <c r="BS130" s="40"/>
      <c r="BT130" s="5"/>
      <c r="BV130" s="40"/>
      <c r="BW130" s="5"/>
      <c r="BY130" s="40"/>
      <c r="BZ130" s="5"/>
      <c r="CB130" s="40"/>
      <c r="CC130" s="5"/>
      <c r="CE130" s="40"/>
      <c r="CF130" s="5"/>
      <c r="CH130" s="40"/>
      <c r="CI130" s="5"/>
      <c r="CK130" s="40"/>
      <c r="CL130" s="5"/>
      <c r="CN130" s="40"/>
      <c r="CO130" s="5"/>
      <c r="CQ130" s="40"/>
      <c r="CR130" s="5"/>
    </row>
    <row r="131">
      <c r="AO131" s="40"/>
      <c r="AP131" s="5"/>
      <c r="AR131" s="40"/>
      <c r="AS131" s="5"/>
      <c r="AU131" s="40"/>
      <c r="AV131" s="5"/>
      <c r="AX131" s="40"/>
      <c r="AY131" s="5"/>
      <c r="BA131" s="40"/>
      <c r="BB131" s="5"/>
      <c r="BD131" s="40"/>
      <c r="BE131" s="5"/>
      <c r="BG131" s="40"/>
      <c r="BH131" s="5"/>
      <c r="BJ131" s="40"/>
      <c r="BK131" s="5"/>
      <c r="BM131" s="40"/>
      <c r="BN131" s="5"/>
      <c r="BP131" s="40"/>
      <c r="BQ131" s="5"/>
      <c r="BS131" s="40"/>
      <c r="BT131" s="5"/>
      <c r="BV131" s="40"/>
      <c r="BW131" s="5"/>
      <c r="BY131" s="40"/>
      <c r="BZ131" s="5"/>
      <c r="CB131" s="40"/>
      <c r="CC131" s="5"/>
      <c r="CE131" s="40"/>
      <c r="CF131" s="5"/>
      <c r="CH131" s="40"/>
      <c r="CI131" s="5"/>
      <c r="CK131" s="40"/>
      <c r="CL131" s="5"/>
      <c r="CN131" s="40"/>
      <c r="CO131" s="5"/>
      <c r="CQ131" s="40"/>
      <c r="CR131" s="5"/>
    </row>
    <row r="132">
      <c r="AO132" s="40"/>
      <c r="AP132" s="5"/>
      <c r="AR132" s="40"/>
      <c r="AS132" s="5"/>
      <c r="AU132" s="40"/>
      <c r="AV132" s="5"/>
      <c r="AX132" s="40"/>
      <c r="AY132" s="5"/>
      <c r="BA132" s="40"/>
      <c r="BB132" s="5"/>
      <c r="BD132" s="40"/>
      <c r="BE132" s="5"/>
      <c r="BG132" s="40"/>
      <c r="BH132" s="5"/>
      <c r="BJ132" s="40"/>
      <c r="BK132" s="5"/>
      <c r="BM132" s="40"/>
      <c r="BN132" s="5"/>
      <c r="BP132" s="40"/>
      <c r="BQ132" s="5"/>
      <c r="BS132" s="40"/>
      <c r="BT132" s="5"/>
      <c r="BV132" s="40"/>
      <c r="BW132" s="5"/>
      <c r="BY132" s="40"/>
      <c r="BZ132" s="5"/>
      <c r="CB132" s="40"/>
      <c r="CC132" s="5"/>
      <c r="CE132" s="40"/>
      <c r="CF132" s="5"/>
      <c r="CH132" s="40"/>
      <c r="CI132" s="5"/>
      <c r="CK132" s="40"/>
      <c r="CL132" s="5"/>
      <c r="CN132" s="40"/>
      <c r="CO132" s="5"/>
      <c r="CQ132" s="40"/>
      <c r="CR132" s="5"/>
    </row>
    <row r="133">
      <c r="AO133" s="40"/>
      <c r="AP133" s="5"/>
      <c r="AR133" s="40"/>
      <c r="AS133" s="5"/>
      <c r="AU133" s="40"/>
      <c r="AV133" s="5"/>
      <c r="AX133" s="40"/>
      <c r="AY133" s="5"/>
      <c r="BA133" s="40"/>
      <c r="BB133" s="5"/>
      <c r="BD133" s="40"/>
      <c r="BE133" s="5"/>
      <c r="BG133" s="40"/>
      <c r="BH133" s="5"/>
      <c r="BJ133" s="40"/>
      <c r="BK133" s="5"/>
      <c r="BM133" s="40"/>
      <c r="BN133" s="5"/>
      <c r="BP133" s="40"/>
      <c r="BQ133" s="5"/>
      <c r="BS133" s="40"/>
      <c r="BT133" s="5"/>
      <c r="BV133" s="40"/>
      <c r="BW133" s="5"/>
      <c r="BY133" s="40"/>
      <c r="BZ133" s="5"/>
      <c r="CB133" s="40"/>
      <c r="CC133" s="5"/>
      <c r="CE133" s="40"/>
      <c r="CF133" s="5"/>
      <c r="CH133" s="40"/>
      <c r="CI133" s="5"/>
      <c r="CK133" s="40"/>
      <c r="CL133" s="5"/>
      <c r="CN133" s="40"/>
      <c r="CO133" s="5"/>
      <c r="CQ133" s="40"/>
      <c r="CR133" s="5"/>
    </row>
    <row r="134">
      <c r="AO134" s="40"/>
      <c r="AP134" s="5"/>
      <c r="AR134" s="40"/>
      <c r="AS134" s="5"/>
      <c r="AU134" s="40"/>
      <c r="AV134" s="5"/>
      <c r="AX134" s="40"/>
      <c r="AY134" s="5"/>
      <c r="BA134" s="40"/>
      <c r="BB134" s="5"/>
      <c r="BD134" s="40"/>
      <c r="BE134" s="5"/>
      <c r="BG134" s="40"/>
      <c r="BH134" s="5"/>
      <c r="BJ134" s="40"/>
      <c r="BK134" s="5"/>
      <c r="BM134" s="40"/>
      <c r="BN134" s="5"/>
      <c r="BP134" s="40"/>
      <c r="BQ134" s="5"/>
      <c r="BS134" s="40"/>
      <c r="BT134" s="5"/>
      <c r="BV134" s="40"/>
      <c r="BW134" s="5"/>
      <c r="BY134" s="40"/>
      <c r="BZ134" s="5"/>
      <c r="CB134" s="40"/>
      <c r="CC134" s="5"/>
      <c r="CE134" s="40"/>
      <c r="CF134" s="5"/>
      <c r="CH134" s="40"/>
      <c r="CI134" s="5"/>
      <c r="CK134" s="40"/>
      <c r="CL134" s="5"/>
      <c r="CN134" s="40"/>
      <c r="CO134" s="5"/>
      <c r="CQ134" s="40"/>
      <c r="CR134" s="5"/>
    </row>
    <row r="135">
      <c r="AO135" s="40"/>
      <c r="AP135" s="5"/>
      <c r="AR135" s="40"/>
      <c r="AS135" s="5"/>
      <c r="AU135" s="40"/>
      <c r="AV135" s="5"/>
      <c r="AX135" s="40"/>
      <c r="AY135" s="5"/>
      <c r="BA135" s="40"/>
      <c r="BB135" s="5"/>
      <c r="BD135" s="40"/>
      <c r="BE135" s="5"/>
      <c r="BG135" s="40"/>
      <c r="BH135" s="5"/>
      <c r="BJ135" s="40"/>
      <c r="BK135" s="5"/>
      <c r="BM135" s="40"/>
      <c r="BN135" s="5"/>
      <c r="BP135" s="40"/>
      <c r="BQ135" s="5"/>
      <c r="BS135" s="40"/>
      <c r="BT135" s="5"/>
      <c r="BV135" s="40"/>
      <c r="BW135" s="5"/>
      <c r="BY135" s="40"/>
      <c r="BZ135" s="5"/>
      <c r="CB135" s="40"/>
      <c r="CC135" s="5"/>
      <c r="CE135" s="40"/>
      <c r="CF135" s="5"/>
      <c r="CH135" s="40"/>
      <c r="CI135" s="5"/>
      <c r="CK135" s="40"/>
      <c r="CL135" s="5"/>
      <c r="CN135" s="40"/>
      <c r="CO135" s="5"/>
      <c r="CQ135" s="40"/>
      <c r="CR135" s="5"/>
    </row>
    <row r="136">
      <c r="AO136" s="40"/>
      <c r="AP136" s="5"/>
      <c r="AR136" s="40"/>
      <c r="AS136" s="5"/>
      <c r="AU136" s="40"/>
      <c r="AV136" s="5"/>
      <c r="AX136" s="40"/>
      <c r="AY136" s="5"/>
      <c r="BA136" s="40"/>
      <c r="BB136" s="5"/>
      <c r="BD136" s="40"/>
      <c r="BE136" s="5"/>
      <c r="BG136" s="40"/>
      <c r="BH136" s="5"/>
      <c r="BJ136" s="40"/>
      <c r="BK136" s="5"/>
      <c r="BM136" s="40"/>
      <c r="BN136" s="5"/>
      <c r="BP136" s="40"/>
      <c r="BQ136" s="5"/>
      <c r="BS136" s="40"/>
      <c r="BT136" s="5"/>
      <c r="BV136" s="40"/>
      <c r="BW136" s="5"/>
      <c r="BY136" s="40"/>
      <c r="BZ136" s="5"/>
      <c r="CB136" s="40"/>
      <c r="CC136" s="5"/>
      <c r="CE136" s="40"/>
      <c r="CF136" s="5"/>
      <c r="CH136" s="40"/>
      <c r="CI136" s="5"/>
      <c r="CK136" s="40"/>
      <c r="CL136" s="5"/>
      <c r="CN136" s="40"/>
      <c r="CO136" s="5"/>
      <c r="CQ136" s="40"/>
      <c r="CR136" s="5"/>
    </row>
    <row r="137">
      <c r="AO137" s="40"/>
      <c r="AP137" s="5"/>
      <c r="AR137" s="40"/>
      <c r="AS137" s="5"/>
      <c r="AU137" s="40"/>
      <c r="AV137" s="5"/>
      <c r="AX137" s="40"/>
      <c r="AY137" s="5"/>
      <c r="BA137" s="40"/>
      <c r="BB137" s="5"/>
      <c r="BD137" s="40"/>
      <c r="BE137" s="5"/>
      <c r="BG137" s="40"/>
      <c r="BH137" s="5"/>
      <c r="BJ137" s="40"/>
      <c r="BK137" s="5"/>
      <c r="BM137" s="40"/>
      <c r="BN137" s="5"/>
      <c r="BP137" s="40"/>
      <c r="BQ137" s="5"/>
      <c r="BS137" s="40"/>
      <c r="BT137" s="5"/>
      <c r="BV137" s="40"/>
      <c r="BW137" s="5"/>
      <c r="BY137" s="40"/>
      <c r="BZ137" s="5"/>
      <c r="CB137" s="40"/>
      <c r="CC137" s="5"/>
      <c r="CE137" s="40"/>
      <c r="CF137" s="5"/>
      <c r="CH137" s="40"/>
      <c r="CI137" s="5"/>
      <c r="CK137" s="40"/>
      <c r="CL137" s="5"/>
      <c r="CN137" s="40"/>
      <c r="CO137" s="5"/>
      <c r="CQ137" s="40"/>
      <c r="CR137" s="5"/>
    </row>
    <row r="138">
      <c r="AO138" s="40"/>
      <c r="AP138" s="5"/>
      <c r="AR138" s="40"/>
      <c r="AS138" s="5"/>
      <c r="AU138" s="40"/>
      <c r="AV138" s="5"/>
      <c r="AX138" s="40"/>
      <c r="AY138" s="5"/>
      <c r="BA138" s="40"/>
      <c r="BB138" s="5"/>
      <c r="BD138" s="40"/>
      <c r="BE138" s="5"/>
      <c r="BG138" s="40"/>
      <c r="BH138" s="5"/>
      <c r="BJ138" s="40"/>
      <c r="BK138" s="5"/>
      <c r="BM138" s="40"/>
      <c r="BN138" s="5"/>
      <c r="BP138" s="40"/>
      <c r="BQ138" s="5"/>
      <c r="BS138" s="40"/>
      <c r="BT138" s="5"/>
      <c r="BV138" s="40"/>
      <c r="BW138" s="5"/>
      <c r="BY138" s="40"/>
      <c r="BZ138" s="5"/>
      <c r="CB138" s="40"/>
      <c r="CC138" s="5"/>
      <c r="CE138" s="40"/>
      <c r="CF138" s="5"/>
      <c r="CH138" s="40"/>
      <c r="CI138" s="5"/>
      <c r="CK138" s="40"/>
      <c r="CL138" s="5"/>
      <c r="CN138" s="40"/>
      <c r="CO138" s="5"/>
      <c r="CQ138" s="40"/>
      <c r="CR138" s="5"/>
    </row>
    <row r="139">
      <c r="AO139" s="40"/>
      <c r="AP139" s="5"/>
      <c r="AR139" s="40"/>
      <c r="AS139" s="5"/>
      <c r="AU139" s="40"/>
      <c r="AV139" s="5"/>
      <c r="AX139" s="40"/>
      <c r="AY139" s="5"/>
      <c r="BA139" s="40"/>
      <c r="BB139" s="5"/>
      <c r="BD139" s="40"/>
      <c r="BE139" s="5"/>
      <c r="BG139" s="40"/>
      <c r="BH139" s="5"/>
      <c r="BJ139" s="40"/>
      <c r="BK139" s="5"/>
      <c r="BM139" s="40"/>
      <c r="BN139" s="5"/>
      <c r="BP139" s="40"/>
      <c r="BQ139" s="5"/>
      <c r="BS139" s="40"/>
      <c r="BT139" s="5"/>
      <c r="BV139" s="40"/>
      <c r="BW139" s="5"/>
      <c r="BY139" s="40"/>
      <c r="BZ139" s="5"/>
      <c r="CB139" s="40"/>
      <c r="CC139" s="5"/>
      <c r="CE139" s="40"/>
      <c r="CF139" s="5"/>
      <c r="CH139" s="40"/>
      <c r="CI139" s="5"/>
      <c r="CK139" s="40"/>
      <c r="CL139" s="5"/>
      <c r="CN139" s="40"/>
      <c r="CO139" s="5"/>
      <c r="CQ139" s="40"/>
      <c r="CR139" s="5"/>
    </row>
    <row r="140">
      <c r="AO140" s="40"/>
      <c r="AP140" s="5"/>
      <c r="AR140" s="40"/>
      <c r="AS140" s="5"/>
      <c r="AU140" s="40"/>
      <c r="AV140" s="5"/>
      <c r="AX140" s="40"/>
      <c r="AY140" s="5"/>
      <c r="BA140" s="40"/>
      <c r="BB140" s="5"/>
      <c r="BD140" s="40"/>
      <c r="BE140" s="5"/>
      <c r="BG140" s="40"/>
      <c r="BH140" s="5"/>
      <c r="BJ140" s="40"/>
      <c r="BK140" s="5"/>
      <c r="BM140" s="40"/>
      <c r="BN140" s="5"/>
      <c r="BP140" s="40"/>
      <c r="BQ140" s="5"/>
      <c r="BS140" s="40"/>
      <c r="BT140" s="5"/>
      <c r="BV140" s="40"/>
      <c r="BW140" s="5"/>
      <c r="BY140" s="40"/>
      <c r="BZ140" s="5"/>
      <c r="CB140" s="40"/>
      <c r="CC140" s="5"/>
      <c r="CE140" s="40"/>
      <c r="CF140" s="5"/>
      <c r="CH140" s="40"/>
      <c r="CI140" s="5"/>
      <c r="CK140" s="40"/>
      <c r="CL140" s="5"/>
      <c r="CN140" s="40"/>
      <c r="CO140" s="5"/>
      <c r="CQ140" s="40"/>
      <c r="CR140" s="5"/>
    </row>
    <row r="141">
      <c r="AO141" s="40"/>
      <c r="AP141" s="5"/>
      <c r="AR141" s="40"/>
      <c r="AS141" s="5"/>
      <c r="AU141" s="40"/>
      <c r="AV141" s="5"/>
      <c r="AX141" s="40"/>
      <c r="AY141" s="5"/>
      <c r="BA141" s="40"/>
      <c r="BB141" s="5"/>
      <c r="BD141" s="40"/>
      <c r="BE141" s="5"/>
      <c r="BG141" s="40"/>
      <c r="BH141" s="5"/>
      <c r="BJ141" s="40"/>
      <c r="BK141" s="5"/>
      <c r="BM141" s="40"/>
      <c r="BN141" s="5"/>
      <c r="BP141" s="40"/>
      <c r="BQ141" s="5"/>
      <c r="BS141" s="40"/>
      <c r="BT141" s="5"/>
      <c r="BV141" s="40"/>
      <c r="BW141" s="5"/>
      <c r="BY141" s="40"/>
      <c r="BZ141" s="5"/>
      <c r="CB141" s="40"/>
      <c r="CC141" s="5"/>
      <c r="CE141" s="40"/>
      <c r="CF141" s="5"/>
      <c r="CH141" s="40"/>
      <c r="CI141" s="5"/>
      <c r="CK141" s="40"/>
      <c r="CL141" s="5"/>
      <c r="CN141" s="40"/>
      <c r="CO141" s="5"/>
      <c r="CQ141" s="40"/>
      <c r="CR141" s="5"/>
    </row>
    <row r="142">
      <c r="AO142" s="40"/>
      <c r="AP142" s="5"/>
      <c r="AR142" s="40"/>
      <c r="AS142" s="5"/>
      <c r="AU142" s="40"/>
      <c r="AV142" s="5"/>
      <c r="AX142" s="40"/>
      <c r="AY142" s="5"/>
      <c r="BA142" s="40"/>
      <c r="BB142" s="5"/>
      <c r="BD142" s="40"/>
      <c r="BE142" s="5"/>
      <c r="BG142" s="40"/>
      <c r="BH142" s="5"/>
      <c r="BJ142" s="40"/>
      <c r="BK142" s="5"/>
      <c r="BM142" s="40"/>
      <c r="BN142" s="5"/>
      <c r="BP142" s="40"/>
      <c r="BQ142" s="5"/>
      <c r="BS142" s="40"/>
      <c r="BT142" s="5"/>
      <c r="BV142" s="40"/>
      <c r="BW142" s="5"/>
      <c r="BY142" s="40"/>
      <c r="BZ142" s="5"/>
      <c r="CB142" s="40"/>
      <c r="CC142" s="5"/>
      <c r="CE142" s="40"/>
      <c r="CF142" s="5"/>
      <c r="CH142" s="40"/>
      <c r="CI142" s="5"/>
      <c r="CK142" s="40"/>
      <c r="CL142" s="5"/>
      <c r="CN142" s="40"/>
      <c r="CO142" s="5"/>
      <c r="CQ142" s="40"/>
      <c r="CR142" s="5"/>
    </row>
    <row r="143">
      <c r="AO143" s="40"/>
      <c r="AP143" s="5"/>
      <c r="AR143" s="40"/>
      <c r="AS143" s="5"/>
      <c r="AU143" s="40"/>
      <c r="AV143" s="5"/>
      <c r="AX143" s="40"/>
      <c r="AY143" s="5"/>
      <c r="BA143" s="40"/>
      <c r="BB143" s="5"/>
      <c r="BD143" s="40"/>
      <c r="BE143" s="5"/>
      <c r="BG143" s="40"/>
      <c r="BH143" s="5"/>
      <c r="BJ143" s="40"/>
      <c r="BK143" s="5"/>
      <c r="BM143" s="40"/>
      <c r="BN143" s="5"/>
      <c r="BP143" s="40"/>
      <c r="BQ143" s="5"/>
      <c r="BS143" s="40"/>
      <c r="BT143" s="5"/>
      <c r="BV143" s="40"/>
      <c r="BW143" s="5"/>
      <c r="BY143" s="40"/>
      <c r="BZ143" s="5"/>
      <c r="CB143" s="40"/>
      <c r="CC143" s="5"/>
      <c r="CE143" s="40"/>
      <c r="CF143" s="5"/>
      <c r="CH143" s="40"/>
      <c r="CI143" s="5"/>
      <c r="CK143" s="40"/>
      <c r="CL143" s="5"/>
      <c r="CN143" s="40"/>
      <c r="CO143" s="5"/>
      <c r="CQ143" s="40"/>
      <c r="CR143" s="5"/>
    </row>
    <row r="144">
      <c r="AO144" s="40"/>
      <c r="AP144" s="5"/>
      <c r="AR144" s="40"/>
      <c r="AS144" s="5"/>
      <c r="AU144" s="40"/>
      <c r="AV144" s="5"/>
      <c r="AX144" s="40"/>
      <c r="AY144" s="5"/>
      <c r="BA144" s="40"/>
      <c r="BB144" s="5"/>
      <c r="BD144" s="40"/>
      <c r="BE144" s="5"/>
      <c r="BG144" s="40"/>
      <c r="BH144" s="5"/>
      <c r="BJ144" s="40"/>
      <c r="BK144" s="5"/>
      <c r="BM144" s="40"/>
      <c r="BN144" s="5"/>
      <c r="BP144" s="40"/>
      <c r="BQ144" s="5"/>
      <c r="BS144" s="40"/>
      <c r="BT144" s="5"/>
      <c r="BV144" s="40"/>
      <c r="BW144" s="5"/>
      <c r="BY144" s="40"/>
      <c r="BZ144" s="5"/>
      <c r="CB144" s="40"/>
      <c r="CC144" s="5"/>
      <c r="CE144" s="40"/>
      <c r="CF144" s="5"/>
      <c r="CH144" s="40"/>
      <c r="CI144" s="5"/>
      <c r="CK144" s="40"/>
      <c r="CL144" s="5"/>
      <c r="CN144" s="40"/>
      <c r="CO144" s="5"/>
      <c r="CQ144" s="40"/>
      <c r="CR144" s="5"/>
    </row>
    <row r="145">
      <c r="AO145" s="40"/>
      <c r="AP145" s="5"/>
      <c r="AR145" s="40"/>
      <c r="AS145" s="5"/>
      <c r="AU145" s="40"/>
      <c r="AV145" s="5"/>
      <c r="AX145" s="40"/>
      <c r="AY145" s="5"/>
      <c r="BA145" s="40"/>
      <c r="BB145" s="5"/>
      <c r="BD145" s="40"/>
      <c r="BE145" s="5"/>
      <c r="BG145" s="40"/>
      <c r="BH145" s="5"/>
      <c r="BJ145" s="40"/>
      <c r="BK145" s="5"/>
      <c r="BM145" s="40"/>
      <c r="BN145" s="5"/>
      <c r="BP145" s="40"/>
      <c r="BQ145" s="5"/>
      <c r="BS145" s="40"/>
      <c r="BT145" s="5"/>
      <c r="BV145" s="40"/>
      <c r="BW145" s="5"/>
      <c r="BY145" s="40"/>
      <c r="BZ145" s="5"/>
      <c r="CB145" s="40"/>
      <c r="CC145" s="5"/>
      <c r="CE145" s="40"/>
      <c r="CF145" s="5"/>
      <c r="CH145" s="40"/>
      <c r="CI145" s="5"/>
      <c r="CK145" s="40"/>
      <c r="CL145" s="5"/>
      <c r="CN145" s="40"/>
      <c r="CO145" s="5"/>
      <c r="CQ145" s="40"/>
      <c r="CR145" s="5"/>
    </row>
    <row r="146">
      <c r="AO146" s="40"/>
      <c r="AP146" s="5"/>
      <c r="AR146" s="40"/>
      <c r="AS146" s="5"/>
      <c r="AU146" s="40"/>
      <c r="AV146" s="5"/>
      <c r="AX146" s="40"/>
      <c r="AY146" s="5"/>
      <c r="BA146" s="40"/>
      <c r="BB146" s="5"/>
      <c r="BD146" s="40"/>
      <c r="BE146" s="5"/>
      <c r="BG146" s="40"/>
      <c r="BH146" s="5"/>
      <c r="BJ146" s="40"/>
      <c r="BK146" s="5"/>
      <c r="BM146" s="40"/>
      <c r="BN146" s="5"/>
      <c r="BP146" s="40"/>
      <c r="BQ146" s="5"/>
      <c r="BS146" s="40"/>
      <c r="BT146" s="5"/>
      <c r="BV146" s="40"/>
      <c r="BW146" s="5"/>
      <c r="BY146" s="40"/>
      <c r="BZ146" s="5"/>
      <c r="CB146" s="40"/>
      <c r="CC146" s="5"/>
      <c r="CE146" s="40"/>
      <c r="CF146" s="5"/>
      <c r="CH146" s="40"/>
      <c r="CI146" s="5"/>
      <c r="CK146" s="40"/>
      <c r="CL146" s="5"/>
      <c r="CN146" s="40"/>
      <c r="CO146" s="5"/>
      <c r="CQ146" s="40"/>
      <c r="CR146" s="5"/>
    </row>
    <row r="147">
      <c r="AO147" s="40"/>
      <c r="AP147" s="5"/>
      <c r="AR147" s="40"/>
      <c r="AS147" s="5"/>
      <c r="AU147" s="40"/>
      <c r="AV147" s="5"/>
      <c r="AX147" s="40"/>
      <c r="AY147" s="5"/>
      <c r="BA147" s="40"/>
      <c r="BB147" s="5"/>
      <c r="BD147" s="40"/>
      <c r="BE147" s="5"/>
      <c r="BG147" s="40"/>
      <c r="BH147" s="5"/>
      <c r="BJ147" s="40"/>
      <c r="BK147" s="5"/>
      <c r="BM147" s="40"/>
      <c r="BN147" s="5"/>
      <c r="BP147" s="40"/>
      <c r="BQ147" s="5"/>
      <c r="BS147" s="40"/>
      <c r="BT147" s="5"/>
      <c r="BV147" s="40"/>
      <c r="BW147" s="5"/>
      <c r="BY147" s="40"/>
      <c r="BZ147" s="5"/>
      <c r="CB147" s="40"/>
      <c r="CC147" s="5"/>
      <c r="CE147" s="40"/>
      <c r="CF147" s="5"/>
      <c r="CH147" s="40"/>
      <c r="CI147" s="5"/>
      <c r="CK147" s="40"/>
      <c r="CL147" s="5"/>
      <c r="CN147" s="40"/>
      <c r="CO147" s="5"/>
      <c r="CQ147" s="40"/>
      <c r="CR147" s="5"/>
    </row>
    <row r="148">
      <c r="AO148" s="40"/>
      <c r="AP148" s="5"/>
      <c r="AR148" s="40"/>
      <c r="AS148" s="5"/>
      <c r="AU148" s="40"/>
      <c r="AV148" s="5"/>
      <c r="AX148" s="40"/>
      <c r="AY148" s="5"/>
      <c r="BA148" s="40"/>
      <c r="BB148" s="5"/>
      <c r="BD148" s="40"/>
      <c r="BE148" s="5"/>
      <c r="BG148" s="40"/>
      <c r="BH148" s="5"/>
      <c r="BJ148" s="40"/>
      <c r="BK148" s="5"/>
      <c r="BM148" s="40"/>
      <c r="BN148" s="5"/>
      <c r="BP148" s="40"/>
      <c r="BQ148" s="5"/>
      <c r="BS148" s="40"/>
      <c r="BT148" s="5"/>
      <c r="BV148" s="40"/>
      <c r="BW148" s="5"/>
      <c r="BY148" s="40"/>
      <c r="BZ148" s="5"/>
      <c r="CB148" s="40"/>
      <c r="CC148" s="5"/>
      <c r="CE148" s="40"/>
      <c r="CF148" s="5"/>
      <c r="CH148" s="40"/>
      <c r="CI148" s="5"/>
      <c r="CK148" s="40"/>
      <c r="CL148" s="5"/>
      <c r="CN148" s="40"/>
      <c r="CO148" s="5"/>
      <c r="CQ148" s="40"/>
      <c r="CR148" s="5"/>
    </row>
    <row r="149">
      <c r="AO149" s="40"/>
      <c r="AP149" s="5"/>
      <c r="AR149" s="40"/>
      <c r="AS149" s="5"/>
      <c r="AU149" s="40"/>
      <c r="AV149" s="5"/>
      <c r="AX149" s="40"/>
      <c r="AY149" s="5"/>
      <c r="BA149" s="40"/>
      <c r="BB149" s="5"/>
      <c r="BD149" s="40"/>
      <c r="BE149" s="5"/>
      <c r="BG149" s="40"/>
      <c r="BH149" s="5"/>
      <c r="BJ149" s="40"/>
      <c r="BK149" s="5"/>
      <c r="BM149" s="40"/>
      <c r="BN149" s="5"/>
      <c r="BP149" s="40"/>
      <c r="BQ149" s="5"/>
      <c r="BS149" s="40"/>
      <c r="BT149" s="5"/>
      <c r="BV149" s="40"/>
      <c r="BW149" s="5"/>
      <c r="BY149" s="40"/>
      <c r="BZ149" s="5"/>
      <c r="CB149" s="40"/>
      <c r="CC149" s="5"/>
      <c r="CE149" s="40"/>
      <c r="CF149" s="5"/>
      <c r="CH149" s="40"/>
      <c r="CI149" s="5"/>
      <c r="CK149" s="40"/>
      <c r="CL149" s="5"/>
      <c r="CN149" s="40"/>
      <c r="CO149" s="5"/>
      <c r="CQ149" s="40"/>
      <c r="CR149" s="5"/>
    </row>
    <row r="150">
      <c r="AO150" s="40"/>
      <c r="AP150" s="5"/>
      <c r="AR150" s="40"/>
      <c r="AS150" s="5"/>
      <c r="AU150" s="40"/>
      <c r="AV150" s="5"/>
      <c r="AX150" s="40"/>
      <c r="AY150" s="5"/>
      <c r="BA150" s="40"/>
      <c r="BB150" s="5"/>
      <c r="BD150" s="40"/>
      <c r="BE150" s="5"/>
      <c r="BG150" s="40"/>
      <c r="BH150" s="5"/>
      <c r="BJ150" s="40"/>
      <c r="BK150" s="5"/>
      <c r="BM150" s="40"/>
      <c r="BN150" s="5"/>
      <c r="BP150" s="40"/>
      <c r="BQ150" s="5"/>
      <c r="BS150" s="40"/>
      <c r="BT150" s="5"/>
      <c r="BV150" s="40"/>
      <c r="BW150" s="5"/>
      <c r="BY150" s="40"/>
      <c r="BZ150" s="5"/>
      <c r="CB150" s="40"/>
      <c r="CC150" s="5"/>
      <c r="CE150" s="40"/>
      <c r="CF150" s="5"/>
      <c r="CH150" s="40"/>
      <c r="CI150" s="5"/>
      <c r="CK150" s="40"/>
      <c r="CL150" s="5"/>
      <c r="CN150" s="40"/>
      <c r="CO150" s="5"/>
      <c r="CQ150" s="40"/>
      <c r="CR150" s="5"/>
    </row>
    <row r="151">
      <c r="AO151" s="40"/>
      <c r="AP151" s="5"/>
      <c r="AR151" s="40"/>
      <c r="AS151" s="5"/>
      <c r="AU151" s="40"/>
      <c r="AV151" s="5"/>
      <c r="AX151" s="40"/>
      <c r="AY151" s="5"/>
      <c r="BA151" s="40"/>
      <c r="BB151" s="5"/>
      <c r="BD151" s="40"/>
      <c r="BE151" s="5"/>
      <c r="BG151" s="40"/>
      <c r="BH151" s="5"/>
      <c r="BJ151" s="40"/>
      <c r="BK151" s="5"/>
      <c r="BM151" s="40"/>
      <c r="BN151" s="5"/>
      <c r="BP151" s="40"/>
      <c r="BQ151" s="5"/>
      <c r="BS151" s="40"/>
      <c r="BT151" s="5"/>
      <c r="BV151" s="40"/>
      <c r="BW151" s="5"/>
      <c r="BY151" s="40"/>
      <c r="BZ151" s="5"/>
      <c r="CB151" s="40"/>
      <c r="CC151" s="5"/>
      <c r="CE151" s="40"/>
      <c r="CF151" s="5"/>
      <c r="CH151" s="40"/>
      <c r="CI151" s="5"/>
      <c r="CK151" s="40"/>
      <c r="CL151" s="5"/>
      <c r="CN151" s="40"/>
      <c r="CO151" s="5"/>
      <c r="CQ151" s="40"/>
      <c r="CR151" s="5"/>
    </row>
    <row r="152">
      <c r="AO152" s="40"/>
      <c r="AP152" s="5"/>
      <c r="AR152" s="40"/>
      <c r="AS152" s="5"/>
      <c r="AU152" s="40"/>
      <c r="AV152" s="5"/>
      <c r="AX152" s="40"/>
      <c r="AY152" s="5"/>
      <c r="BA152" s="40"/>
      <c r="BB152" s="5"/>
      <c r="BD152" s="40"/>
      <c r="BE152" s="5"/>
      <c r="BG152" s="40"/>
      <c r="BH152" s="5"/>
      <c r="BJ152" s="40"/>
      <c r="BK152" s="5"/>
      <c r="BM152" s="40"/>
      <c r="BN152" s="5"/>
      <c r="BP152" s="40"/>
      <c r="BQ152" s="5"/>
      <c r="BS152" s="40"/>
      <c r="BT152" s="5"/>
      <c r="BV152" s="40"/>
      <c r="BW152" s="5"/>
      <c r="BY152" s="40"/>
      <c r="BZ152" s="5"/>
      <c r="CB152" s="40"/>
      <c r="CC152" s="5"/>
      <c r="CE152" s="40"/>
      <c r="CF152" s="5"/>
      <c r="CH152" s="40"/>
      <c r="CI152" s="5"/>
      <c r="CK152" s="40"/>
      <c r="CL152" s="5"/>
      <c r="CN152" s="40"/>
      <c r="CO152" s="5"/>
      <c r="CQ152" s="40"/>
      <c r="CR152" s="5"/>
    </row>
    <row r="153">
      <c r="AO153" s="40"/>
      <c r="AP153" s="5"/>
      <c r="AR153" s="40"/>
      <c r="AS153" s="5"/>
      <c r="AU153" s="40"/>
      <c r="AV153" s="5"/>
      <c r="AX153" s="40"/>
      <c r="AY153" s="5"/>
      <c r="BA153" s="40"/>
      <c r="BB153" s="5"/>
      <c r="BD153" s="40"/>
      <c r="BE153" s="5"/>
      <c r="BG153" s="40"/>
      <c r="BH153" s="5"/>
      <c r="BJ153" s="40"/>
      <c r="BK153" s="5"/>
      <c r="BM153" s="40"/>
      <c r="BN153" s="5"/>
      <c r="BP153" s="40"/>
      <c r="BQ153" s="5"/>
      <c r="BS153" s="40"/>
      <c r="BT153" s="5"/>
      <c r="BV153" s="40"/>
      <c r="BW153" s="5"/>
      <c r="BY153" s="40"/>
      <c r="BZ153" s="5"/>
      <c r="CB153" s="40"/>
      <c r="CC153" s="5"/>
      <c r="CE153" s="40"/>
      <c r="CF153" s="5"/>
      <c r="CH153" s="40"/>
      <c r="CI153" s="5"/>
      <c r="CK153" s="40"/>
      <c r="CL153" s="5"/>
      <c r="CN153" s="40"/>
      <c r="CO153" s="5"/>
      <c r="CQ153" s="40"/>
      <c r="CR153" s="5"/>
    </row>
    <row r="154">
      <c r="AO154" s="40"/>
      <c r="AP154" s="5"/>
      <c r="AR154" s="40"/>
      <c r="AS154" s="5"/>
      <c r="AU154" s="40"/>
      <c r="AV154" s="5"/>
      <c r="AX154" s="40"/>
      <c r="AY154" s="5"/>
      <c r="BA154" s="40"/>
      <c r="BB154" s="5"/>
      <c r="BD154" s="40"/>
      <c r="BE154" s="5"/>
      <c r="BG154" s="40"/>
      <c r="BH154" s="5"/>
      <c r="BJ154" s="40"/>
      <c r="BK154" s="5"/>
      <c r="BM154" s="40"/>
      <c r="BN154" s="5"/>
      <c r="BP154" s="40"/>
      <c r="BQ154" s="5"/>
      <c r="BS154" s="40"/>
      <c r="BT154" s="5"/>
      <c r="BV154" s="40"/>
      <c r="BW154" s="5"/>
      <c r="BY154" s="40"/>
      <c r="BZ154" s="5"/>
      <c r="CB154" s="40"/>
      <c r="CC154" s="5"/>
      <c r="CE154" s="40"/>
      <c r="CF154" s="5"/>
      <c r="CH154" s="40"/>
      <c r="CI154" s="5"/>
      <c r="CK154" s="40"/>
      <c r="CL154" s="5"/>
      <c r="CN154" s="40"/>
      <c r="CO154" s="5"/>
      <c r="CQ154" s="40"/>
      <c r="CR154" s="5"/>
    </row>
    <row r="155">
      <c r="AO155" s="40"/>
      <c r="AP155" s="5"/>
      <c r="AR155" s="40"/>
      <c r="AS155" s="5"/>
      <c r="AU155" s="40"/>
      <c r="AV155" s="5"/>
      <c r="AX155" s="40"/>
      <c r="AY155" s="5"/>
      <c r="BA155" s="40"/>
      <c r="BB155" s="5"/>
      <c r="BD155" s="40"/>
      <c r="BE155" s="5"/>
      <c r="BG155" s="40"/>
      <c r="BH155" s="5"/>
      <c r="BJ155" s="40"/>
      <c r="BK155" s="5"/>
      <c r="BM155" s="40"/>
      <c r="BN155" s="5"/>
      <c r="BP155" s="40"/>
      <c r="BQ155" s="5"/>
      <c r="BS155" s="40"/>
      <c r="BT155" s="5"/>
      <c r="BV155" s="40"/>
      <c r="BW155" s="5"/>
      <c r="BY155" s="40"/>
      <c r="BZ155" s="5"/>
      <c r="CB155" s="40"/>
      <c r="CC155" s="5"/>
      <c r="CE155" s="40"/>
      <c r="CF155" s="5"/>
      <c r="CH155" s="40"/>
      <c r="CI155" s="5"/>
      <c r="CK155" s="40"/>
      <c r="CL155" s="5"/>
      <c r="CN155" s="40"/>
      <c r="CO155" s="5"/>
      <c r="CQ155" s="40"/>
      <c r="CR155" s="5"/>
    </row>
    <row r="156">
      <c r="AO156" s="40"/>
      <c r="AP156" s="5"/>
      <c r="AR156" s="40"/>
      <c r="AS156" s="5"/>
      <c r="AU156" s="40"/>
      <c r="AV156" s="5"/>
      <c r="AX156" s="40"/>
      <c r="AY156" s="5"/>
      <c r="BA156" s="40"/>
      <c r="BB156" s="5"/>
      <c r="BD156" s="40"/>
      <c r="BE156" s="5"/>
      <c r="BG156" s="40"/>
      <c r="BH156" s="5"/>
      <c r="BJ156" s="40"/>
      <c r="BK156" s="5"/>
      <c r="BM156" s="40"/>
      <c r="BN156" s="5"/>
      <c r="BP156" s="40"/>
      <c r="BQ156" s="5"/>
      <c r="BS156" s="40"/>
      <c r="BT156" s="5"/>
      <c r="BV156" s="40"/>
      <c r="BW156" s="5"/>
      <c r="BY156" s="40"/>
      <c r="BZ156" s="5"/>
      <c r="CB156" s="40"/>
      <c r="CC156" s="5"/>
      <c r="CE156" s="40"/>
      <c r="CF156" s="5"/>
      <c r="CH156" s="40"/>
      <c r="CI156" s="5"/>
      <c r="CK156" s="40"/>
      <c r="CL156" s="5"/>
      <c r="CN156" s="40"/>
      <c r="CO156" s="5"/>
      <c r="CQ156" s="40"/>
      <c r="CR156" s="5"/>
    </row>
    <row r="157">
      <c r="AO157" s="40"/>
      <c r="AP157" s="5"/>
      <c r="AR157" s="40"/>
      <c r="AS157" s="5"/>
      <c r="AU157" s="40"/>
      <c r="AV157" s="5"/>
      <c r="AX157" s="40"/>
      <c r="AY157" s="5"/>
      <c r="BA157" s="40"/>
      <c r="BB157" s="5"/>
      <c r="BD157" s="40"/>
      <c r="BE157" s="5"/>
      <c r="BG157" s="40"/>
      <c r="BH157" s="5"/>
      <c r="BJ157" s="40"/>
      <c r="BK157" s="5"/>
      <c r="BM157" s="40"/>
      <c r="BN157" s="5"/>
      <c r="BP157" s="40"/>
      <c r="BQ157" s="5"/>
      <c r="BS157" s="40"/>
      <c r="BT157" s="5"/>
      <c r="BV157" s="40"/>
      <c r="BW157" s="5"/>
      <c r="BY157" s="40"/>
      <c r="BZ157" s="5"/>
      <c r="CB157" s="40"/>
      <c r="CC157" s="5"/>
      <c r="CE157" s="40"/>
      <c r="CF157" s="5"/>
      <c r="CH157" s="40"/>
      <c r="CI157" s="5"/>
      <c r="CK157" s="40"/>
      <c r="CL157" s="5"/>
      <c r="CN157" s="40"/>
      <c r="CO157" s="5"/>
      <c r="CQ157" s="40"/>
      <c r="CR157" s="5"/>
    </row>
    <row r="158">
      <c r="AO158" s="40"/>
      <c r="AP158" s="5"/>
      <c r="AR158" s="40"/>
      <c r="AS158" s="5"/>
      <c r="AU158" s="40"/>
      <c r="AV158" s="5"/>
      <c r="AX158" s="40"/>
      <c r="AY158" s="5"/>
      <c r="BA158" s="40"/>
      <c r="BB158" s="5"/>
      <c r="BD158" s="40"/>
      <c r="BE158" s="5"/>
      <c r="BG158" s="40"/>
      <c r="BH158" s="5"/>
      <c r="BJ158" s="40"/>
      <c r="BK158" s="5"/>
      <c r="BM158" s="40"/>
      <c r="BN158" s="5"/>
      <c r="BP158" s="40"/>
      <c r="BQ158" s="5"/>
      <c r="BS158" s="40"/>
      <c r="BT158" s="5"/>
      <c r="BV158" s="40"/>
      <c r="BW158" s="5"/>
      <c r="BY158" s="40"/>
      <c r="BZ158" s="5"/>
      <c r="CB158" s="40"/>
      <c r="CC158" s="5"/>
      <c r="CE158" s="40"/>
      <c r="CF158" s="5"/>
      <c r="CH158" s="40"/>
      <c r="CI158" s="5"/>
      <c r="CK158" s="40"/>
      <c r="CL158" s="5"/>
      <c r="CN158" s="40"/>
      <c r="CO158" s="5"/>
      <c r="CQ158" s="40"/>
      <c r="CR158" s="5"/>
    </row>
    <row r="159">
      <c r="AO159" s="40"/>
      <c r="AP159" s="5"/>
      <c r="AR159" s="40"/>
      <c r="AS159" s="5"/>
      <c r="AU159" s="40"/>
      <c r="AV159" s="5"/>
      <c r="AX159" s="40"/>
      <c r="AY159" s="5"/>
      <c r="BA159" s="40"/>
      <c r="BB159" s="5"/>
      <c r="BD159" s="40"/>
      <c r="BE159" s="5"/>
      <c r="BG159" s="40"/>
      <c r="BH159" s="5"/>
      <c r="BJ159" s="40"/>
      <c r="BK159" s="5"/>
      <c r="BM159" s="40"/>
      <c r="BN159" s="5"/>
      <c r="BP159" s="40"/>
      <c r="BQ159" s="5"/>
      <c r="BS159" s="40"/>
      <c r="BT159" s="5"/>
      <c r="BV159" s="40"/>
      <c r="BW159" s="5"/>
      <c r="BY159" s="40"/>
      <c r="BZ159" s="5"/>
      <c r="CB159" s="40"/>
      <c r="CC159" s="5"/>
      <c r="CE159" s="40"/>
      <c r="CF159" s="5"/>
      <c r="CH159" s="40"/>
      <c r="CI159" s="5"/>
      <c r="CK159" s="40"/>
      <c r="CL159" s="5"/>
      <c r="CN159" s="40"/>
      <c r="CO159" s="5"/>
      <c r="CQ159" s="40"/>
      <c r="CR159" s="5"/>
    </row>
    <row r="160">
      <c r="AO160" s="40"/>
      <c r="AP160" s="5"/>
      <c r="AR160" s="40"/>
      <c r="AS160" s="5"/>
      <c r="AU160" s="40"/>
      <c r="AV160" s="5"/>
      <c r="AX160" s="40"/>
      <c r="AY160" s="5"/>
      <c r="BA160" s="40"/>
      <c r="BB160" s="5"/>
      <c r="BD160" s="40"/>
      <c r="BE160" s="5"/>
      <c r="BG160" s="40"/>
      <c r="BH160" s="5"/>
      <c r="BJ160" s="40"/>
      <c r="BK160" s="5"/>
      <c r="BM160" s="40"/>
      <c r="BN160" s="5"/>
      <c r="BP160" s="40"/>
      <c r="BQ160" s="5"/>
      <c r="BS160" s="40"/>
      <c r="BT160" s="5"/>
      <c r="BV160" s="40"/>
      <c r="BW160" s="5"/>
      <c r="BY160" s="40"/>
      <c r="BZ160" s="5"/>
      <c r="CB160" s="40"/>
      <c r="CC160" s="5"/>
      <c r="CE160" s="40"/>
      <c r="CF160" s="5"/>
      <c r="CH160" s="40"/>
      <c r="CI160" s="5"/>
      <c r="CK160" s="40"/>
      <c r="CL160" s="5"/>
      <c r="CN160" s="40"/>
      <c r="CO160" s="5"/>
      <c r="CQ160" s="40"/>
      <c r="CR160" s="5"/>
    </row>
    <row r="161">
      <c r="AO161" s="40"/>
      <c r="AP161" s="5"/>
      <c r="AR161" s="40"/>
      <c r="AS161" s="5"/>
      <c r="AU161" s="40"/>
      <c r="AV161" s="5"/>
      <c r="AX161" s="40"/>
      <c r="AY161" s="5"/>
      <c r="BA161" s="40"/>
      <c r="BB161" s="5"/>
      <c r="BD161" s="40"/>
      <c r="BE161" s="5"/>
      <c r="BG161" s="40"/>
      <c r="BH161" s="5"/>
      <c r="BJ161" s="40"/>
      <c r="BK161" s="5"/>
      <c r="BM161" s="40"/>
      <c r="BN161" s="5"/>
      <c r="BP161" s="40"/>
      <c r="BQ161" s="5"/>
      <c r="BS161" s="40"/>
      <c r="BT161" s="5"/>
      <c r="BV161" s="40"/>
      <c r="BW161" s="5"/>
      <c r="BY161" s="40"/>
      <c r="BZ161" s="5"/>
      <c r="CB161" s="40"/>
      <c r="CC161" s="5"/>
      <c r="CE161" s="40"/>
      <c r="CF161" s="5"/>
      <c r="CH161" s="40"/>
      <c r="CI161" s="5"/>
      <c r="CK161" s="40"/>
      <c r="CL161" s="5"/>
      <c r="CN161" s="40"/>
      <c r="CO161" s="5"/>
      <c r="CQ161" s="40"/>
      <c r="CR161" s="5"/>
    </row>
    <row r="162">
      <c r="AO162" s="40"/>
      <c r="AP162" s="5"/>
      <c r="AR162" s="40"/>
      <c r="AS162" s="5"/>
      <c r="AU162" s="40"/>
      <c r="AV162" s="5"/>
      <c r="AX162" s="40"/>
      <c r="AY162" s="5"/>
      <c r="BA162" s="40"/>
      <c r="BB162" s="5"/>
      <c r="BD162" s="40"/>
      <c r="BE162" s="5"/>
      <c r="BG162" s="40"/>
      <c r="BH162" s="5"/>
      <c r="BJ162" s="40"/>
      <c r="BK162" s="5"/>
      <c r="BM162" s="40"/>
      <c r="BN162" s="5"/>
      <c r="BP162" s="40"/>
      <c r="BQ162" s="5"/>
      <c r="BS162" s="40"/>
      <c r="BT162" s="5"/>
      <c r="BV162" s="40"/>
      <c r="BW162" s="5"/>
      <c r="BY162" s="40"/>
      <c r="BZ162" s="5"/>
      <c r="CB162" s="40"/>
      <c r="CC162" s="5"/>
      <c r="CE162" s="40"/>
      <c r="CF162" s="5"/>
      <c r="CH162" s="40"/>
      <c r="CI162" s="5"/>
      <c r="CK162" s="40"/>
      <c r="CL162" s="5"/>
      <c r="CN162" s="40"/>
      <c r="CO162" s="5"/>
      <c r="CQ162" s="40"/>
      <c r="CR162" s="5"/>
    </row>
    <row r="163">
      <c r="AO163" s="40"/>
      <c r="AP163" s="5"/>
      <c r="AR163" s="40"/>
      <c r="AS163" s="5"/>
      <c r="AU163" s="40"/>
      <c r="AV163" s="5"/>
      <c r="AX163" s="40"/>
      <c r="AY163" s="5"/>
      <c r="BA163" s="40"/>
      <c r="BB163" s="5"/>
      <c r="BD163" s="40"/>
      <c r="BE163" s="5"/>
      <c r="BG163" s="40"/>
      <c r="BH163" s="5"/>
      <c r="BJ163" s="40"/>
      <c r="BK163" s="5"/>
      <c r="BM163" s="40"/>
      <c r="BN163" s="5"/>
      <c r="BP163" s="40"/>
      <c r="BQ163" s="5"/>
      <c r="BS163" s="40"/>
      <c r="BT163" s="5"/>
      <c r="BV163" s="40"/>
      <c r="BW163" s="5"/>
      <c r="BY163" s="40"/>
      <c r="BZ163" s="5"/>
      <c r="CB163" s="40"/>
      <c r="CC163" s="5"/>
      <c r="CE163" s="40"/>
      <c r="CF163" s="5"/>
      <c r="CH163" s="40"/>
      <c r="CI163" s="5"/>
      <c r="CK163" s="40"/>
      <c r="CL163" s="5"/>
      <c r="CN163" s="40"/>
      <c r="CO163" s="5"/>
      <c r="CQ163" s="40"/>
      <c r="CR163" s="5"/>
    </row>
    <row r="164">
      <c r="AO164" s="40"/>
      <c r="AP164" s="5"/>
      <c r="AR164" s="40"/>
      <c r="AS164" s="5"/>
      <c r="AU164" s="40"/>
      <c r="AV164" s="5"/>
      <c r="AX164" s="40"/>
      <c r="AY164" s="5"/>
      <c r="BA164" s="40"/>
      <c r="BB164" s="5"/>
      <c r="BD164" s="40"/>
      <c r="BE164" s="5"/>
      <c r="BG164" s="40"/>
      <c r="BH164" s="5"/>
      <c r="BJ164" s="40"/>
      <c r="BK164" s="5"/>
      <c r="BM164" s="40"/>
      <c r="BN164" s="5"/>
      <c r="BP164" s="40"/>
      <c r="BQ164" s="5"/>
      <c r="BS164" s="40"/>
      <c r="BT164" s="5"/>
      <c r="BV164" s="40"/>
      <c r="BW164" s="5"/>
      <c r="BY164" s="40"/>
      <c r="BZ164" s="5"/>
      <c r="CB164" s="40"/>
      <c r="CC164" s="5"/>
      <c r="CE164" s="40"/>
      <c r="CF164" s="5"/>
      <c r="CH164" s="40"/>
      <c r="CI164" s="5"/>
      <c r="CK164" s="40"/>
      <c r="CL164" s="5"/>
      <c r="CN164" s="40"/>
      <c r="CO164" s="5"/>
      <c r="CQ164" s="40"/>
      <c r="CR164" s="5"/>
    </row>
    <row r="165">
      <c r="AO165" s="40"/>
      <c r="AP165" s="5"/>
      <c r="AR165" s="40"/>
      <c r="AS165" s="5"/>
      <c r="AU165" s="40"/>
      <c r="AV165" s="5"/>
      <c r="AX165" s="40"/>
      <c r="AY165" s="5"/>
      <c r="BA165" s="40"/>
      <c r="BB165" s="5"/>
      <c r="BD165" s="40"/>
      <c r="BE165" s="5"/>
      <c r="BG165" s="40"/>
      <c r="BH165" s="5"/>
      <c r="BJ165" s="40"/>
      <c r="BK165" s="5"/>
      <c r="BM165" s="40"/>
      <c r="BN165" s="5"/>
      <c r="BP165" s="40"/>
      <c r="BQ165" s="5"/>
      <c r="BS165" s="40"/>
      <c r="BT165" s="5"/>
      <c r="BV165" s="40"/>
      <c r="BW165" s="5"/>
      <c r="BY165" s="40"/>
      <c r="BZ165" s="5"/>
      <c r="CB165" s="40"/>
      <c r="CC165" s="5"/>
      <c r="CE165" s="40"/>
      <c r="CF165" s="5"/>
      <c r="CH165" s="40"/>
      <c r="CI165" s="5"/>
      <c r="CK165" s="40"/>
      <c r="CL165" s="5"/>
      <c r="CN165" s="40"/>
      <c r="CO165" s="5"/>
      <c r="CQ165" s="40"/>
      <c r="CR165" s="5"/>
    </row>
    <row r="166">
      <c r="AO166" s="40"/>
      <c r="AP166" s="5"/>
      <c r="AR166" s="40"/>
      <c r="AS166" s="5"/>
      <c r="AU166" s="40"/>
      <c r="AV166" s="5"/>
      <c r="AX166" s="40"/>
      <c r="AY166" s="5"/>
      <c r="BA166" s="40"/>
      <c r="BB166" s="5"/>
      <c r="BD166" s="40"/>
      <c r="BE166" s="5"/>
      <c r="BG166" s="40"/>
      <c r="BH166" s="5"/>
      <c r="BJ166" s="40"/>
      <c r="BK166" s="5"/>
      <c r="BM166" s="40"/>
      <c r="BN166" s="5"/>
      <c r="BP166" s="40"/>
      <c r="BQ166" s="5"/>
      <c r="BS166" s="40"/>
      <c r="BT166" s="5"/>
      <c r="BV166" s="40"/>
      <c r="BW166" s="5"/>
      <c r="BY166" s="40"/>
      <c r="BZ166" s="5"/>
      <c r="CB166" s="40"/>
      <c r="CC166" s="5"/>
      <c r="CE166" s="40"/>
      <c r="CF166" s="5"/>
      <c r="CH166" s="40"/>
      <c r="CI166" s="5"/>
      <c r="CK166" s="40"/>
      <c r="CL166" s="5"/>
      <c r="CN166" s="40"/>
      <c r="CO166" s="5"/>
      <c r="CQ166" s="40"/>
      <c r="CR166" s="5"/>
    </row>
    <row r="167">
      <c r="AO167" s="40"/>
      <c r="AP167" s="5"/>
      <c r="AR167" s="40"/>
      <c r="AS167" s="5"/>
      <c r="AU167" s="40"/>
      <c r="AV167" s="5"/>
      <c r="AX167" s="40"/>
      <c r="AY167" s="5"/>
      <c r="BA167" s="40"/>
      <c r="BB167" s="5"/>
      <c r="BD167" s="40"/>
      <c r="BE167" s="5"/>
      <c r="BG167" s="40"/>
      <c r="BH167" s="5"/>
      <c r="BJ167" s="40"/>
      <c r="BK167" s="5"/>
      <c r="BM167" s="40"/>
      <c r="BN167" s="5"/>
      <c r="BP167" s="40"/>
      <c r="BQ167" s="5"/>
      <c r="BS167" s="40"/>
      <c r="BT167" s="5"/>
      <c r="BV167" s="40"/>
      <c r="BW167" s="5"/>
      <c r="BY167" s="40"/>
      <c r="BZ167" s="5"/>
      <c r="CB167" s="40"/>
      <c r="CC167" s="5"/>
      <c r="CE167" s="40"/>
      <c r="CF167" s="5"/>
      <c r="CH167" s="40"/>
      <c r="CI167" s="5"/>
      <c r="CK167" s="40"/>
      <c r="CL167" s="5"/>
      <c r="CN167" s="40"/>
      <c r="CO167" s="5"/>
      <c r="CQ167" s="40"/>
      <c r="CR167" s="5"/>
    </row>
    <row r="168">
      <c r="AO168" s="40"/>
      <c r="AP168" s="5"/>
      <c r="AR168" s="40"/>
      <c r="AS168" s="5"/>
      <c r="AU168" s="40"/>
      <c r="AV168" s="5"/>
      <c r="AX168" s="40"/>
      <c r="AY168" s="5"/>
      <c r="BA168" s="40"/>
      <c r="BB168" s="5"/>
      <c r="BD168" s="40"/>
      <c r="BE168" s="5"/>
      <c r="BG168" s="40"/>
      <c r="BH168" s="5"/>
      <c r="BJ168" s="40"/>
      <c r="BK168" s="5"/>
      <c r="BM168" s="40"/>
      <c r="BN168" s="5"/>
      <c r="BP168" s="40"/>
      <c r="BQ168" s="5"/>
      <c r="BS168" s="40"/>
      <c r="BT168" s="5"/>
      <c r="BV168" s="40"/>
      <c r="BW168" s="5"/>
      <c r="BY168" s="40"/>
      <c r="BZ168" s="5"/>
      <c r="CB168" s="40"/>
      <c r="CC168" s="5"/>
      <c r="CE168" s="40"/>
      <c r="CF168" s="5"/>
      <c r="CH168" s="40"/>
      <c r="CI168" s="5"/>
      <c r="CK168" s="40"/>
      <c r="CL168" s="5"/>
      <c r="CN168" s="40"/>
      <c r="CO168" s="5"/>
      <c r="CQ168" s="40"/>
      <c r="CR168" s="5"/>
    </row>
    <row r="169">
      <c r="AO169" s="40"/>
      <c r="AP169" s="5"/>
      <c r="AR169" s="40"/>
      <c r="AS169" s="5"/>
      <c r="AU169" s="40"/>
      <c r="AV169" s="5"/>
      <c r="AX169" s="40"/>
      <c r="AY169" s="5"/>
      <c r="BA169" s="40"/>
      <c r="BB169" s="5"/>
      <c r="BD169" s="40"/>
      <c r="BE169" s="5"/>
      <c r="BG169" s="40"/>
      <c r="BH169" s="5"/>
      <c r="BJ169" s="40"/>
      <c r="BK169" s="5"/>
      <c r="BM169" s="40"/>
      <c r="BN169" s="5"/>
      <c r="BP169" s="40"/>
      <c r="BQ169" s="5"/>
      <c r="BS169" s="40"/>
      <c r="BT169" s="5"/>
      <c r="BV169" s="40"/>
      <c r="BW169" s="5"/>
      <c r="BY169" s="40"/>
      <c r="BZ169" s="5"/>
      <c r="CB169" s="40"/>
      <c r="CC169" s="5"/>
      <c r="CE169" s="40"/>
      <c r="CF169" s="5"/>
      <c r="CH169" s="40"/>
      <c r="CI169" s="5"/>
      <c r="CK169" s="40"/>
      <c r="CL169" s="5"/>
      <c r="CN169" s="40"/>
      <c r="CO169" s="5"/>
      <c r="CQ169" s="40"/>
      <c r="CR169" s="5"/>
    </row>
    <row r="170">
      <c r="AO170" s="40"/>
      <c r="AP170" s="5"/>
      <c r="AR170" s="40"/>
      <c r="AS170" s="5"/>
      <c r="AU170" s="40"/>
      <c r="AV170" s="5"/>
      <c r="AX170" s="40"/>
      <c r="AY170" s="5"/>
      <c r="BA170" s="40"/>
      <c r="BB170" s="5"/>
      <c r="BD170" s="40"/>
      <c r="BE170" s="5"/>
      <c r="BG170" s="40"/>
      <c r="BH170" s="5"/>
      <c r="BJ170" s="40"/>
      <c r="BK170" s="5"/>
      <c r="BM170" s="40"/>
      <c r="BN170" s="5"/>
      <c r="BP170" s="40"/>
      <c r="BQ170" s="5"/>
      <c r="BS170" s="40"/>
      <c r="BT170" s="5"/>
      <c r="BV170" s="40"/>
      <c r="BW170" s="5"/>
      <c r="BY170" s="40"/>
      <c r="BZ170" s="5"/>
      <c r="CB170" s="40"/>
      <c r="CC170" s="5"/>
      <c r="CE170" s="40"/>
      <c r="CF170" s="5"/>
      <c r="CH170" s="40"/>
      <c r="CI170" s="5"/>
      <c r="CK170" s="40"/>
      <c r="CL170" s="5"/>
      <c r="CN170" s="40"/>
      <c r="CO170" s="5"/>
      <c r="CQ170" s="40"/>
      <c r="CR170" s="5"/>
    </row>
    <row r="171">
      <c r="AO171" s="40"/>
      <c r="AP171" s="5"/>
      <c r="AR171" s="40"/>
      <c r="AS171" s="5"/>
      <c r="AU171" s="40"/>
      <c r="AV171" s="5"/>
      <c r="AX171" s="40"/>
      <c r="AY171" s="5"/>
      <c r="BA171" s="40"/>
      <c r="BB171" s="5"/>
      <c r="BD171" s="40"/>
      <c r="BE171" s="5"/>
      <c r="BG171" s="40"/>
      <c r="BH171" s="5"/>
      <c r="BJ171" s="40"/>
      <c r="BK171" s="5"/>
      <c r="BM171" s="40"/>
      <c r="BN171" s="5"/>
      <c r="BP171" s="40"/>
      <c r="BQ171" s="5"/>
      <c r="BS171" s="40"/>
      <c r="BT171" s="5"/>
      <c r="BV171" s="40"/>
      <c r="BW171" s="5"/>
      <c r="BY171" s="40"/>
      <c r="BZ171" s="5"/>
      <c r="CB171" s="40"/>
      <c r="CC171" s="5"/>
      <c r="CE171" s="40"/>
      <c r="CF171" s="5"/>
      <c r="CH171" s="40"/>
      <c r="CI171" s="5"/>
      <c r="CK171" s="40"/>
      <c r="CL171" s="5"/>
      <c r="CN171" s="40"/>
      <c r="CO171" s="5"/>
      <c r="CQ171" s="40"/>
      <c r="CR171" s="5"/>
    </row>
    <row r="172">
      <c r="AO172" s="40"/>
      <c r="AP172" s="5"/>
      <c r="AR172" s="40"/>
      <c r="AS172" s="5"/>
      <c r="AU172" s="40"/>
      <c r="AV172" s="5"/>
      <c r="AX172" s="40"/>
      <c r="AY172" s="5"/>
      <c r="BA172" s="40"/>
      <c r="BB172" s="5"/>
      <c r="BD172" s="40"/>
      <c r="BE172" s="5"/>
      <c r="BG172" s="40"/>
      <c r="BH172" s="5"/>
      <c r="BJ172" s="40"/>
      <c r="BK172" s="5"/>
      <c r="BM172" s="40"/>
      <c r="BN172" s="5"/>
      <c r="BP172" s="40"/>
      <c r="BQ172" s="5"/>
      <c r="BS172" s="40"/>
      <c r="BT172" s="5"/>
      <c r="BV172" s="40"/>
      <c r="BW172" s="5"/>
      <c r="BY172" s="40"/>
      <c r="BZ172" s="5"/>
      <c r="CB172" s="40"/>
      <c r="CC172" s="5"/>
      <c r="CE172" s="40"/>
      <c r="CF172" s="5"/>
      <c r="CH172" s="40"/>
      <c r="CI172" s="5"/>
      <c r="CK172" s="40"/>
      <c r="CL172" s="5"/>
      <c r="CN172" s="40"/>
      <c r="CO172" s="5"/>
      <c r="CQ172" s="40"/>
      <c r="CR172" s="5"/>
    </row>
    <row r="173">
      <c r="AO173" s="40"/>
      <c r="AP173" s="5"/>
      <c r="AR173" s="40"/>
      <c r="AS173" s="5"/>
      <c r="AU173" s="40"/>
      <c r="AV173" s="5"/>
      <c r="AX173" s="40"/>
      <c r="AY173" s="5"/>
      <c r="BA173" s="40"/>
      <c r="BB173" s="5"/>
      <c r="BD173" s="40"/>
      <c r="BE173" s="5"/>
      <c r="BG173" s="40"/>
      <c r="BH173" s="5"/>
      <c r="BJ173" s="40"/>
      <c r="BK173" s="5"/>
      <c r="BM173" s="40"/>
      <c r="BN173" s="5"/>
      <c r="BP173" s="40"/>
      <c r="BQ173" s="5"/>
      <c r="BS173" s="40"/>
      <c r="BT173" s="5"/>
      <c r="BV173" s="40"/>
      <c r="BW173" s="5"/>
      <c r="BY173" s="40"/>
      <c r="BZ173" s="5"/>
      <c r="CB173" s="40"/>
      <c r="CC173" s="5"/>
      <c r="CE173" s="40"/>
      <c r="CF173" s="5"/>
      <c r="CH173" s="40"/>
      <c r="CI173" s="5"/>
      <c r="CK173" s="40"/>
      <c r="CL173" s="5"/>
      <c r="CN173" s="40"/>
      <c r="CO173" s="5"/>
      <c r="CQ173" s="40"/>
      <c r="CR173" s="5"/>
    </row>
    <row r="174">
      <c r="AO174" s="40"/>
      <c r="AP174" s="5"/>
      <c r="AR174" s="40"/>
      <c r="AS174" s="5"/>
      <c r="AU174" s="40"/>
      <c r="AV174" s="5"/>
      <c r="AX174" s="40"/>
      <c r="AY174" s="5"/>
      <c r="BA174" s="40"/>
      <c r="BB174" s="5"/>
      <c r="BD174" s="40"/>
      <c r="BE174" s="5"/>
      <c r="BG174" s="40"/>
      <c r="BH174" s="5"/>
      <c r="BJ174" s="40"/>
      <c r="BK174" s="5"/>
      <c r="BM174" s="40"/>
      <c r="BN174" s="5"/>
      <c r="BP174" s="40"/>
      <c r="BQ174" s="5"/>
      <c r="BS174" s="40"/>
      <c r="BT174" s="5"/>
      <c r="BV174" s="40"/>
      <c r="BW174" s="5"/>
      <c r="BY174" s="40"/>
      <c r="BZ174" s="5"/>
      <c r="CB174" s="40"/>
      <c r="CC174" s="5"/>
      <c r="CE174" s="40"/>
      <c r="CF174" s="5"/>
      <c r="CH174" s="40"/>
      <c r="CI174" s="5"/>
      <c r="CK174" s="40"/>
      <c r="CL174" s="5"/>
      <c r="CN174" s="40"/>
      <c r="CO174" s="5"/>
      <c r="CQ174" s="40"/>
      <c r="CR174" s="5"/>
    </row>
    <row r="175">
      <c r="AO175" s="40"/>
      <c r="AP175" s="5"/>
      <c r="AR175" s="40"/>
      <c r="AS175" s="5"/>
      <c r="AU175" s="40"/>
      <c r="AV175" s="5"/>
      <c r="AX175" s="40"/>
      <c r="AY175" s="5"/>
      <c r="BA175" s="40"/>
      <c r="BB175" s="5"/>
      <c r="BD175" s="40"/>
      <c r="BE175" s="5"/>
      <c r="BG175" s="40"/>
      <c r="BH175" s="5"/>
      <c r="BJ175" s="40"/>
      <c r="BK175" s="5"/>
      <c r="BM175" s="40"/>
      <c r="BN175" s="5"/>
      <c r="BP175" s="40"/>
      <c r="BQ175" s="5"/>
      <c r="BS175" s="40"/>
      <c r="BT175" s="5"/>
      <c r="BV175" s="40"/>
      <c r="BW175" s="5"/>
      <c r="BY175" s="40"/>
      <c r="BZ175" s="5"/>
      <c r="CB175" s="40"/>
      <c r="CC175" s="5"/>
      <c r="CE175" s="40"/>
      <c r="CF175" s="5"/>
      <c r="CH175" s="40"/>
      <c r="CI175" s="5"/>
      <c r="CK175" s="40"/>
      <c r="CL175" s="5"/>
      <c r="CN175" s="40"/>
      <c r="CO175" s="5"/>
      <c r="CQ175" s="40"/>
      <c r="CR175" s="5"/>
    </row>
    <row r="176">
      <c r="AO176" s="40"/>
      <c r="AP176" s="5"/>
      <c r="AR176" s="40"/>
      <c r="AS176" s="5"/>
      <c r="AU176" s="40"/>
      <c r="AV176" s="5"/>
      <c r="AX176" s="40"/>
      <c r="AY176" s="5"/>
      <c r="BA176" s="40"/>
      <c r="BB176" s="5"/>
      <c r="BD176" s="40"/>
      <c r="BE176" s="5"/>
      <c r="BG176" s="40"/>
      <c r="BH176" s="5"/>
      <c r="BJ176" s="40"/>
      <c r="BK176" s="5"/>
      <c r="BM176" s="40"/>
      <c r="BN176" s="5"/>
      <c r="BP176" s="40"/>
      <c r="BQ176" s="5"/>
      <c r="BS176" s="40"/>
      <c r="BT176" s="5"/>
      <c r="BV176" s="40"/>
      <c r="BW176" s="5"/>
      <c r="BY176" s="40"/>
      <c r="BZ176" s="5"/>
      <c r="CB176" s="40"/>
      <c r="CC176" s="5"/>
      <c r="CE176" s="40"/>
      <c r="CF176" s="5"/>
      <c r="CH176" s="40"/>
      <c r="CI176" s="5"/>
      <c r="CK176" s="40"/>
      <c r="CL176" s="5"/>
      <c r="CN176" s="40"/>
      <c r="CO176" s="5"/>
      <c r="CQ176" s="40"/>
      <c r="CR176" s="5"/>
    </row>
    <row r="177">
      <c r="AO177" s="40"/>
      <c r="AP177" s="5"/>
      <c r="AR177" s="40"/>
      <c r="AS177" s="5"/>
      <c r="AU177" s="40"/>
      <c r="AV177" s="5"/>
      <c r="AX177" s="40"/>
      <c r="AY177" s="5"/>
      <c r="BA177" s="40"/>
      <c r="BB177" s="5"/>
      <c r="BD177" s="40"/>
      <c r="BE177" s="5"/>
      <c r="BG177" s="40"/>
      <c r="BH177" s="5"/>
      <c r="BJ177" s="40"/>
      <c r="BK177" s="5"/>
      <c r="BM177" s="40"/>
      <c r="BN177" s="5"/>
      <c r="BP177" s="40"/>
      <c r="BQ177" s="5"/>
      <c r="BS177" s="40"/>
      <c r="BT177" s="5"/>
      <c r="BV177" s="40"/>
      <c r="BW177" s="5"/>
      <c r="BY177" s="40"/>
      <c r="BZ177" s="5"/>
      <c r="CB177" s="40"/>
      <c r="CC177" s="5"/>
      <c r="CE177" s="40"/>
      <c r="CF177" s="5"/>
      <c r="CH177" s="40"/>
      <c r="CI177" s="5"/>
      <c r="CK177" s="40"/>
      <c r="CL177" s="5"/>
      <c r="CN177" s="40"/>
      <c r="CO177" s="5"/>
      <c r="CQ177" s="40"/>
      <c r="CR177" s="5"/>
    </row>
    <row r="178">
      <c r="AO178" s="40"/>
      <c r="AP178" s="5"/>
      <c r="AR178" s="40"/>
      <c r="AS178" s="5"/>
      <c r="AU178" s="40"/>
      <c r="AV178" s="5"/>
      <c r="AX178" s="40"/>
      <c r="AY178" s="5"/>
      <c r="BA178" s="40"/>
      <c r="BB178" s="5"/>
      <c r="BD178" s="40"/>
      <c r="BE178" s="5"/>
      <c r="BG178" s="40"/>
      <c r="BH178" s="5"/>
      <c r="BJ178" s="40"/>
      <c r="BK178" s="5"/>
      <c r="BM178" s="40"/>
      <c r="BN178" s="5"/>
      <c r="BP178" s="40"/>
      <c r="BQ178" s="5"/>
      <c r="BS178" s="40"/>
      <c r="BT178" s="5"/>
      <c r="BV178" s="40"/>
      <c r="BW178" s="5"/>
      <c r="BY178" s="40"/>
      <c r="BZ178" s="5"/>
      <c r="CB178" s="40"/>
      <c r="CC178" s="5"/>
      <c r="CE178" s="40"/>
      <c r="CF178" s="5"/>
      <c r="CH178" s="40"/>
      <c r="CI178" s="5"/>
      <c r="CK178" s="40"/>
      <c r="CL178" s="5"/>
      <c r="CN178" s="40"/>
      <c r="CO178" s="5"/>
      <c r="CQ178" s="40"/>
      <c r="CR178" s="5"/>
    </row>
    <row r="179">
      <c r="AO179" s="40"/>
      <c r="AP179" s="5"/>
      <c r="AR179" s="40"/>
      <c r="AS179" s="5"/>
      <c r="AU179" s="40"/>
      <c r="AV179" s="5"/>
      <c r="AX179" s="40"/>
      <c r="AY179" s="5"/>
      <c r="BA179" s="40"/>
      <c r="BB179" s="5"/>
      <c r="BD179" s="40"/>
      <c r="BE179" s="5"/>
      <c r="BG179" s="40"/>
      <c r="BH179" s="5"/>
      <c r="BJ179" s="40"/>
      <c r="BK179" s="5"/>
      <c r="BM179" s="40"/>
      <c r="BN179" s="5"/>
      <c r="BP179" s="40"/>
      <c r="BQ179" s="5"/>
      <c r="BS179" s="40"/>
      <c r="BT179" s="5"/>
      <c r="BV179" s="40"/>
      <c r="BW179" s="5"/>
      <c r="BY179" s="40"/>
      <c r="BZ179" s="5"/>
      <c r="CB179" s="40"/>
      <c r="CC179" s="5"/>
      <c r="CE179" s="40"/>
      <c r="CF179" s="5"/>
      <c r="CH179" s="40"/>
      <c r="CI179" s="5"/>
      <c r="CK179" s="40"/>
      <c r="CL179" s="5"/>
      <c r="CN179" s="40"/>
      <c r="CO179" s="5"/>
      <c r="CQ179" s="40"/>
      <c r="CR179" s="5"/>
    </row>
    <row r="180">
      <c r="AO180" s="40"/>
      <c r="AP180" s="5"/>
      <c r="AR180" s="40"/>
      <c r="AS180" s="5"/>
      <c r="AU180" s="40"/>
      <c r="AV180" s="5"/>
      <c r="AX180" s="40"/>
      <c r="AY180" s="5"/>
      <c r="BA180" s="40"/>
      <c r="BB180" s="5"/>
      <c r="BD180" s="40"/>
      <c r="BE180" s="5"/>
      <c r="BG180" s="40"/>
      <c r="BH180" s="5"/>
      <c r="BJ180" s="40"/>
      <c r="BK180" s="5"/>
      <c r="BM180" s="40"/>
      <c r="BN180" s="5"/>
      <c r="BP180" s="40"/>
      <c r="BQ180" s="5"/>
      <c r="BS180" s="40"/>
      <c r="BT180" s="5"/>
      <c r="BV180" s="40"/>
      <c r="BW180" s="5"/>
      <c r="BY180" s="40"/>
      <c r="BZ180" s="5"/>
      <c r="CB180" s="40"/>
      <c r="CC180" s="5"/>
      <c r="CE180" s="40"/>
      <c r="CF180" s="5"/>
      <c r="CH180" s="40"/>
      <c r="CI180" s="5"/>
      <c r="CK180" s="40"/>
      <c r="CL180" s="5"/>
      <c r="CN180" s="40"/>
      <c r="CO180" s="5"/>
      <c r="CQ180" s="40"/>
      <c r="CR180" s="5"/>
    </row>
    <row r="181">
      <c r="AO181" s="40"/>
      <c r="AP181" s="5"/>
      <c r="AR181" s="40"/>
      <c r="AS181" s="5"/>
      <c r="AU181" s="40"/>
      <c r="AV181" s="5"/>
      <c r="AX181" s="40"/>
      <c r="AY181" s="5"/>
      <c r="BA181" s="40"/>
      <c r="BB181" s="5"/>
      <c r="BD181" s="40"/>
      <c r="BE181" s="5"/>
      <c r="BG181" s="40"/>
      <c r="BH181" s="5"/>
      <c r="BJ181" s="40"/>
      <c r="BK181" s="5"/>
      <c r="BM181" s="40"/>
      <c r="BN181" s="5"/>
      <c r="BP181" s="40"/>
      <c r="BQ181" s="5"/>
      <c r="BS181" s="40"/>
      <c r="BT181" s="5"/>
      <c r="BV181" s="40"/>
      <c r="BW181" s="5"/>
      <c r="BY181" s="40"/>
      <c r="BZ181" s="5"/>
      <c r="CB181" s="40"/>
      <c r="CC181" s="5"/>
      <c r="CE181" s="40"/>
      <c r="CF181" s="5"/>
      <c r="CH181" s="40"/>
      <c r="CI181" s="5"/>
      <c r="CK181" s="40"/>
      <c r="CL181" s="5"/>
      <c r="CN181" s="40"/>
      <c r="CO181" s="5"/>
      <c r="CQ181" s="40"/>
      <c r="CR181" s="5"/>
    </row>
    <row r="182">
      <c r="AO182" s="40"/>
      <c r="AP182" s="5"/>
      <c r="AR182" s="40"/>
      <c r="AS182" s="5"/>
      <c r="AU182" s="40"/>
      <c r="AV182" s="5"/>
      <c r="AX182" s="40"/>
      <c r="AY182" s="5"/>
      <c r="BA182" s="40"/>
      <c r="BB182" s="5"/>
      <c r="BD182" s="40"/>
      <c r="BE182" s="5"/>
      <c r="BG182" s="40"/>
      <c r="BH182" s="5"/>
      <c r="BJ182" s="40"/>
      <c r="BK182" s="5"/>
      <c r="BM182" s="40"/>
      <c r="BN182" s="5"/>
      <c r="BP182" s="40"/>
      <c r="BQ182" s="5"/>
      <c r="BS182" s="40"/>
      <c r="BT182" s="5"/>
      <c r="BV182" s="40"/>
      <c r="BW182" s="5"/>
      <c r="BY182" s="40"/>
      <c r="BZ182" s="5"/>
      <c r="CB182" s="40"/>
      <c r="CC182" s="5"/>
      <c r="CE182" s="40"/>
      <c r="CF182" s="5"/>
      <c r="CH182" s="40"/>
      <c r="CI182" s="5"/>
      <c r="CK182" s="40"/>
      <c r="CL182" s="5"/>
      <c r="CN182" s="40"/>
      <c r="CO182" s="5"/>
      <c r="CQ182" s="40"/>
      <c r="CR182" s="5"/>
    </row>
    <row r="183">
      <c r="AO183" s="40"/>
      <c r="AP183" s="5"/>
      <c r="AR183" s="40"/>
      <c r="AS183" s="5"/>
      <c r="AU183" s="40"/>
      <c r="AV183" s="5"/>
      <c r="AX183" s="40"/>
      <c r="AY183" s="5"/>
      <c r="BA183" s="40"/>
      <c r="BB183" s="5"/>
      <c r="BD183" s="40"/>
      <c r="BE183" s="5"/>
      <c r="BG183" s="40"/>
      <c r="BH183" s="5"/>
      <c r="BJ183" s="40"/>
      <c r="BK183" s="5"/>
      <c r="BM183" s="40"/>
      <c r="BN183" s="5"/>
      <c r="BP183" s="40"/>
      <c r="BQ183" s="5"/>
      <c r="BS183" s="40"/>
      <c r="BT183" s="5"/>
      <c r="BV183" s="40"/>
      <c r="BW183" s="5"/>
      <c r="BY183" s="40"/>
      <c r="BZ183" s="5"/>
      <c r="CB183" s="40"/>
      <c r="CC183" s="5"/>
      <c r="CE183" s="40"/>
      <c r="CF183" s="5"/>
      <c r="CH183" s="40"/>
      <c r="CI183" s="5"/>
      <c r="CK183" s="40"/>
      <c r="CL183" s="5"/>
      <c r="CN183" s="40"/>
      <c r="CO183" s="5"/>
      <c r="CQ183" s="40"/>
      <c r="CR183" s="5"/>
    </row>
    <row r="184">
      <c r="AO184" s="40"/>
      <c r="AP184" s="5"/>
      <c r="AR184" s="40"/>
      <c r="AS184" s="5"/>
      <c r="AU184" s="40"/>
      <c r="AV184" s="5"/>
      <c r="AX184" s="40"/>
      <c r="AY184" s="5"/>
      <c r="BA184" s="40"/>
      <c r="BB184" s="5"/>
      <c r="BD184" s="40"/>
      <c r="BE184" s="5"/>
      <c r="BG184" s="40"/>
      <c r="BH184" s="5"/>
      <c r="BJ184" s="40"/>
      <c r="BK184" s="5"/>
      <c r="BM184" s="40"/>
      <c r="BN184" s="5"/>
      <c r="BP184" s="40"/>
      <c r="BQ184" s="5"/>
      <c r="BS184" s="40"/>
      <c r="BT184" s="5"/>
      <c r="BV184" s="40"/>
      <c r="BW184" s="5"/>
      <c r="BY184" s="40"/>
      <c r="BZ184" s="5"/>
      <c r="CB184" s="40"/>
      <c r="CC184" s="5"/>
      <c r="CE184" s="40"/>
      <c r="CF184" s="5"/>
      <c r="CH184" s="40"/>
      <c r="CI184" s="5"/>
      <c r="CK184" s="40"/>
      <c r="CL184" s="5"/>
      <c r="CN184" s="40"/>
      <c r="CO184" s="5"/>
      <c r="CQ184" s="40"/>
      <c r="CR184" s="5"/>
    </row>
    <row r="185">
      <c r="AO185" s="40"/>
      <c r="AP185" s="5"/>
      <c r="AR185" s="40"/>
      <c r="AS185" s="5"/>
      <c r="AU185" s="40"/>
      <c r="AV185" s="5"/>
      <c r="AX185" s="40"/>
      <c r="AY185" s="5"/>
      <c r="BA185" s="40"/>
      <c r="BB185" s="5"/>
      <c r="BD185" s="40"/>
      <c r="BE185" s="5"/>
      <c r="BG185" s="40"/>
      <c r="BH185" s="5"/>
      <c r="BJ185" s="40"/>
      <c r="BK185" s="5"/>
      <c r="BM185" s="40"/>
      <c r="BN185" s="5"/>
      <c r="BP185" s="40"/>
      <c r="BQ185" s="5"/>
      <c r="BS185" s="40"/>
      <c r="BT185" s="5"/>
      <c r="BV185" s="40"/>
      <c r="BW185" s="5"/>
      <c r="BY185" s="40"/>
      <c r="BZ185" s="5"/>
      <c r="CB185" s="40"/>
      <c r="CC185" s="5"/>
      <c r="CE185" s="40"/>
      <c r="CF185" s="5"/>
      <c r="CH185" s="40"/>
      <c r="CI185" s="5"/>
      <c r="CK185" s="40"/>
      <c r="CL185" s="5"/>
      <c r="CN185" s="40"/>
      <c r="CO185" s="5"/>
      <c r="CQ185" s="40"/>
      <c r="CR185" s="5"/>
    </row>
    <row r="186">
      <c r="AO186" s="40"/>
      <c r="AP186" s="5"/>
      <c r="AR186" s="40"/>
      <c r="AS186" s="5"/>
      <c r="AU186" s="40"/>
      <c r="AV186" s="5"/>
      <c r="AX186" s="40"/>
      <c r="AY186" s="5"/>
      <c r="BA186" s="40"/>
      <c r="BB186" s="5"/>
      <c r="BD186" s="40"/>
      <c r="BE186" s="5"/>
      <c r="BG186" s="40"/>
      <c r="BH186" s="5"/>
      <c r="BJ186" s="40"/>
      <c r="BK186" s="5"/>
      <c r="BM186" s="40"/>
      <c r="BN186" s="5"/>
      <c r="BP186" s="40"/>
      <c r="BQ186" s="5"/>
      <c r="BS186" s="40"/>
      <c r="BT186" s="5"/>
      <c r="BV186" s="40"/>
      <c r="BW186" s="5"/>
      <c r="BY186" s="40"/>
      <c r="BZ186" s="5"/>
      <c r="CB186" s="40"/>
      <c r="CC186" s="5"/>
      <c r="CE186" s="40"/>
      <c r="CF186" s="5"/>
      <c r="CH186" s="40"/>
      <c r="CI186" s="5"/>
      <c r="CK186" s="40"/>
      <c r="CL186" s="5"/>
      <c r="CN186" s="40"/>
      <c r="CO186" s="5"/>
      <c r="CQ186" s="40"/>
      <c r="CR186" s="5"/>
    </row>
    <row r="187">
      <c r="AO187" s="40"/>
      <c r="AP187" s="5"/>
      <c r="AR187" s="40"/>
      <c r="AS187" s="5"/>
      <c r="AU187" s="40"/>
      <c r="AV187" s="5"/>
      <c r="AX187" s="40"/>
      <c r="AY187" s="5"/>
      <c r="BA187" s="40"/>
      <c r="BB187" s="5"/>
      <c r="BD187" s="40"/>
      <c r="BE187" s="5"/>
      <c r="BG187" s="40"/>
      <c r="BH187" s="5"/>
      <c r="BJ187" s="40"/>
      <c r="BK187" s="5"/>
      <c r="BM187" s="40"/>
      <c r="BN187" s="5"/>
      <c r="BP187" s="40"/>
      <c r="BQ187" s="5"/>
      <c r="BS187" s="40"/>
      <c r="BT187" s="5"/>
      <c r="BV187" s="40"/>
      <c r="BW187" s="5"/>
      <c r="BY187" s="40"/>
      <c r="BZ187" s="5"/>
      <c r="CB187" s="40"/>
      <c r="CC187" s="5"/>
      <c r="CE187" s="40"/>
      <c r="CF187" s="5"/>
      <c r="CH187" s="40"/>
      <c r="CI187" s="5"/>
      <c r="CK187" s="40"/>
      <c r="CL187" s="5"/>
      <c r="CN187" s="40"/>
      <c r="CO187" s="5"/>
      <c r="CQ187" s="40"/>
      <c r="CR187" s="5"/>
    </row>
    <row r="188">
      <c r="AO188" s="40"/>
      <c r="AP188" s="5"/>
      <c r="AR188" s="40"/>
      <c r="AS188" s="5"/>
      <c r="AU188" s="40"/>
      <c r="AV188" s="5"/>
      <c r="AX188" s="40"/>
      <c r="AY188" s="5"/>
      <c r="BA188" s="40"/>
      <c r="BB188" s="5"/>
      <c r="BD188" s="40"/>
      <c r="BE188" s="5"/>
      <c r="BG188" s="40"/>
      <c r="BH188" s="5"/>
      <c r="BJ188" s="40"/>
      <c r="BK188" s="5"/>
      <c r="BM188" s="40"/>
      <c r="BN188" s="5"/>
      <c r="BP188" s="40"/>
      <c r="BQ188" s="5"/>
      <c r="BS188" s="40"/>
      <c r="BT188" s="5"/>
      <c r="BV188" s="40"/>
      <c r="BW188" s="5"/>
      <c r="BY188" s="40"/>
      <c r="BZ188" s="5"/>
      <c r="CB188" s="40"/>
      <c r="CC188" s="5"/>
      <c r="CE188" s="40"/>
      <c r="CF188" s="5"/>
      <c r="CH188" s="40"/>
      <c r="CI188" s="5"/>
      <c r="CK188" s="40"/>
      <c r="CL188" s="5"/>
      <c r="CN188" s="40"/>
      <c r="CO188" s="5"/>
      <c r="CQ188" s="40"/>
      <c r="CR188" s="5"/>
    </row>
    <row r="189">
      <c r="AO189" s="40"/>
      <c r="AP189" s="5"/>
      <c r="AR189" s="40"/>
      <c r="AS189" s="5"/>
      <c r="AU189" s="40"/>
      <c r="AV189" s="5"/>
      <c r="AX189" s="40"/>
      <c r="AY189" s="5"/>
      <c r="BA189" s="40"/>
      <c r="BB189" s="5"/>
      <c r="BD189" s="40"/>
      <c r="BE189" s="5"/>
      <c r="BG189" s="40"/>
      <c r="BH189" s="5"/>
      <c r="BJ189" s="40"/>
      <c r="BK189" s="5"/>
      <c r="BM189" s="40"/>
      <c r="BN189" s="5"/>
      <c r="BP189" s="40"/>
      <c r="BQ189" s="5"/>
      <c r="BS189" s="40"/>
      <c r="BT189" s="5"/>
      <c r="BV189" s="40"/>
      <c r="BW189" s="5"/>
      <c r="BY189" s="40"/>
      <c r="BZ189" s="5"/>
      <c r="CB189" s="40"/>
      <c r="CC189" s="5"/>
      <c r="CE189" s="40"/>
      <c r="CF189" s="5"/>
      <c r="CH189" s="40"/>
      <c r="CI189" s="5"/>
      <c r="CK189" s="40"/>
      <c r="CL189" s="5"/>
      <c r="CN189" s="40"/>
      <c r="CO189" s="5"/>
      <c r="CQ189" s="40"/>
      <c r="CR189" s="5"/>
    </row>
    <row r="190">
      <c r="AO190" s="40"/>
      <c r="AP190" s="5"/>
      <c r="AR190" s="40"/>
      <c r="AS190" s="5"/>
      <c r="AU190" s="40"/>
      <c r="AV190" s="5"/>
      <c r="AX190" s="40"/>
      <c r="AY190" s="5"/>
      <c r="BA190" s="40"/>
      <c r="BB190" s="5"/>
      <c r="BD190" s="40"/>
      <c r="BE190" s="5"/>
      <c r="BG190" s="40"/>
      <c r="BH190" s="5"/>
      <c r="BJ190" s="40"/>
      <c r="BK190" s="5"/>
      <c r="BM190" s="40"/>
      <c r="BN190" s="5"/>
      <c r="BP190" s="40"/>
      <c r="BQ190" s="5"/>
      <c r="BS190" s="40"/>
      <c r="BT190" s="5"/>
      <c r="BV190" s="40"/>
      <c r="BW190" s="5"/>
      <c r="BY190" s="40"/>
      <c r="BZ190" s="5"/>
      <c r="CB190" s="40"/>
      <c r="CC190" s="5"/>
      <c r="CE190" s="40"/>
      <c r="CF190" s="5"/>
      <c r="CH190" s="40"/>
      <c r="CI190" s="5"/>
      <c r="CK190" s="40"/>
      <c r="CL190" s="5"/>
      <c r="CN190" s="40"/>
      <c r="CO190" s="5"/>
      <c r="CQ190" s="40"/>
      <c r="CR190" s="5"/>
    </row>
    <row r="191">
      <c r="AO191" s="40"/>
      <c r="AP191" s="5"/>
      <c r="AR191" s="40"/>
      <c r="AS191" s="5"/>
      <c r="AU191" s="40"/>
      <c r="AV191" s="5"/>
      <c r="AX191" s="40"/>
      <c r="AY191" s="5"/>
      <c r="BA191" s="40"/>
      <c r="BB191" s="5"/>
      <c r="BD191" s="40"/>
      <c r="BE191" s="5"/>
      <c r="BG191" s="40"/>
      <c r="BH191" s="5"/>
      <c r="BJ191" s="40"/>
      <c r="BK191" s="5"/>
      <c r="BM191" s="40"/>
      <c r="BN191" s="5"/>
      <c r="BP191" s="40"/>
      <c r="BQ191" s="5"/>
      <c r="BS191" s="40"/>
      <c r="BT191" s="5"/>
      <c r="BV191" s="40"/>
      <c r="BW191" s="5"/>
      <c r="BY191" s="40"/>
      <c r="BZ191" s="5"/>
      <c r="CB191" s="40"/>
      <c r="CC191" s="5"/>
      <c r="CE191" s="40"/>
      <c r="CF191" s="5"/>
      <c r="CH191" s="40"/>
      <c r="CI191" s="5"/>
      <c r="CK191" s="40"/>
      <c r="CL191" s="5"/>
      <c r="CN191" s="40"/>
      <c r="CO191" s="5"/>
      <c r="CQ191" s="40"/>
      <c r="CR191" s="5"/>
    </row>
    <row r="192">
      <c r="AO192" s="40"/>
      <c r="AP192" s="5"/>
      <c r="AR192" s="40"/>
      <c r="AS192" s="5"/>
      <c r="AU192" s="40"/>
      <c r="AV192" s="5"/>
      <c r="AX192" s="40"/>
      <c r="AY192" s="5"/>
      <c r="BA192" s="40"/>
      <c r="BB192" s="5"/>
      <c r="BD192" s="40"/>
      <c r="BE192" s="5"/>
      <c r="BG192" s="40"/>
      <c r="BH192" s="5"/>
      <c r="BJ192" s="40"/>
      <c r="BK192" s="5"/>
      <c r="BM192" s="40"/>
      <c r="BN192" s="5"/>
      <c r="BP192" s="40"/>
      <c r="BQ192" s="5"/>
      <c r="BS192" s="40"/>
      <c r="BT192" s="5"/>
      <c r="BV192" s="40"/>
      <c r="BW192" s="5"/>
      <c r="BY192" s="40"/>
      <c r="BZ192" s="5"/>
      <c r="CB192" s="40"/>
      <c r="CC192" s="5"/>
      <c r="CE192" s="40"/>
      <c r="CF192" s="5"/>
      <c r="CH192" s="40"/>
      <c r="CI192" s="5"/>
      <c r="CK192" s="40"/>
      <c r="CL192" s="5"/>
      <c r="CN192" s="40"/>
      <c r="CO192" s="5"/>
      <c r="CQ192" s="40"/>
      <c r="CR192" s="5"/>
    </row>
    <row r="193">
      <c r="AO193" s="40"/>
      <c r="AP193" s="5"/>
      <c r="AR193" s="40"/>
      <c r="AS193" s="5"/>
      <c r="AU193" s="40"/>
      <c r="AV193" s="5"/>
      <c r="AX193" s="40"/>
      <c r="AY193" s="5"/>
      <c r="BA193" s="40"/>
      <c r="BB193" s="5"/>
      <c r="BD193" s="40"/>
      <c r="BE193" s="5"/>
      <c r="BG193" s="40"/>
      <c r="BH193" s="5"/>
      <c r="BJ193" s="40"/>
      <c r="BK193" s="5"/>
      <c r="BM193" s="40"/>
      <c r="BN193" s="5"/>
      <c r="BP193" s="40"/>
      <c r="BQ193" s="5"/>
      <c r="BS193" s="40"/>
      <c r="BT193" s="5"/>
      <c r="BV193" s="40"/>
      <c r="BW193" s="5"/>
      <c r="BY193" s="40"/>
      <c r="BZ193" s="5"/>
      <c r="CB193" s="40"/>
      <c r="CC193" s="5"/>
      <c r="CE193" s="40"/>
      <c r="CF193" s="5"/>
      <c r="CH193" s="40"/>
      <c r="CI193" s="5"/>
      <c r="CK193" s="40"/>
      <c r="CL193" s="5"/>
      <c r="CN193" s="40"/>
      <c r="CO193" s="5"/>
      <c r="CQ193" s="40"/>
      <c r="CR193" s="5"/>
    </row>
    <row r="194">
      <c r="AO194" s="40"/>
      <c r="AP194" s="5"/>
      <c r="AR194" s="40"/>
      <c r="AS194" s="5"/>
      <c r="AU194" s="40"/>
      <c r="AV194" s="5"/>
      <c r="AX194" s="40"/>
      <c r="AY194" s="5"/>
      <c r="BA194" s="40"/>
      <c r="BB194" s="5"/>
      <c r="BD194" s="40"/>
      <c r="BE194" s="5"/>
      <c r="BG194" s="40"/>
      <c r="BH194" s="5"/>
      <c r="BJ194" s="40"/>
      <c r="BK194" s="5"/>
      <c r="BM194" s="40"/>
      <c r="BN194" s="5"/>
      <c r="BP194" s="40"/>
      <c r="BQ194" s="5"/>
      <c r="BS194" s="40"/>
      <c r="BT194" s="5"/>
      <c r="BV194" s="40"/>
      <c r="BW194" s="5"/>
      <c r="BY194" s="40"/>
      <c r="BZ194" s="5"/>
      <c r="CB194" s="40"/>
      <c r="CC194" s="5"/>
      <c r="CE194" s="40"/>
      <c r="CF194" s="5"/>
      <c r="CH194" s="40"/>
      <c r="CI194" s="5"/>
      <c r="CK194" s="40"/>
      <c r="CL194" s="5"/>
      <c r="CN194" s="40"/>
      <c r="CO194" s="5"/>
      <c r="CQ194" s="40"/>
      <c r="CR194" s="5"/>
    </row>
    <row r="195">
      <c r="AO195" s="40"/>
      <c r="AP195" s="5"/>
      <c r="AR195" s="40"/>
      <c r="AS195" s="5"/>
      <c r="AU195" s="40"/>
      <c r="AV195" s="5"/>
      <c r="AX195" s="40"/>
      <c r="AY195" s="5"/>
      <c r="BA195" s="40"/>
      <c r="BB195" s="5"/>
      <c r="BD195" s="40"/>
      <c r="BE195" s="5"/>
      <c r="BG195" s="40"/>
      <c r="BH195" s="5"/>
      <c r="BJ195" s="40"/>
      <c r="BK195" s="5"/>
      <c r="BM195" s="40"/>
      <c r="BN195" s="5"/>
      <c r="BP195" s="40"/>
      <c r="BQ195" s="5"/>
      <c r="BS195" s="40"/>
      <c r="BT195" s="5"/>
      <c r="BV195" s="40"/>
      <c r="BW195" s="5"/>
      <c r="BY195" s="40"/>
      <c r="BZ195" s="5"/>
      <c r="CB195" s="40"/>
      <c r="CC195" s="5"/>
      <c r="CE195" s="40"/>
      <c r="CF195" s="5"/>
      <c r="CH195" s="40"/>
      <c r="CI195" s="5"/>
      <c r="CK195" s="40"/>
      <c r="CL195" s="5"/>
      <c r="CN195" s="40"/>
      <c r="CO195" s="5"/>
      <c r="CQ195" s="40"/>
      <c r="CR195" s="5"/>
    </row>
    <row r="196">
      <c r="AO196" s="40"/>
      <c r="AP196" s="5"/>
      <c r="AR196" s="40"/>
      <c r="AS196" s="5"/>
      <c r="AU196" s="40"/>
      <c r="AV196" s="5"/>
      <c r="AX196" s="40"/>
      <c r="AY196" s="5"/>
      <c r="BA196" s="40"/>
      <c r="BB196" s="5"/>
      <c r="BD196" s="40"/>
      <c r="BE196" s="5"/>
      <c r="BG196" s="40"/>
      <c r="BH196" s="5"/>
      <c r="BJ196" s="40"/>
      <c r="BK196" s="5"/>
      <c r="BM196" s="40"/>
      <c r="BN196" s="5"/>
      <c r="BP196" s="40"/>
      <c r="BQ196" s="5"/>
      <c r="BS196" s="40"/>
      <c r="BT196" s="5"/>
      <c r="BV196" s="40"/>
      <c r="BW196" s="5"/>
      <c r="BY196" s="40"/>
      <c r="BZ196" s="5"/>
      <c r="CB196" s="40"/>
      <c r="CC196" s="5"/>
      <c r="CE196" s="40"/>
      <c r="CF196" s="5"/>
      <c r="CH196" s="40"/>
      <c r="CI196" s="5"/>
      <c r="CK196" s="40"/>
      <c r="CL196" s="5"/>
      <c r="CN196" s="40"/>
      <c r="CO196" s="5"/>
      <c r="CQ196" s="40"/>
      <c r="CR196" s="5"/>
    </row>
    <row r="197">
      <c r="AO197" s="40"/>
      <c r="AP197" s="5"/>
      <c r="AR197" s="40"/>
      <c r="AS197" s="5"/>
      <c r="AU197" s="40"/>
      <c r="AV197" s="5"/>
      <c r="AX197" s="40"/>
      <c r="AY197" s="5"/>
      <c r="BA197" s="40"/>
      <c r="BB197" s="5"/>
      <c r="BD197" s="40"/>
      <c r="BE197" s="5"/>
      <c r="BG197" s="40"/>
      <c r="BH197" s="5"/>
      <c r="BJ197" s="40"/>
      <c r="BK197" s="5"/>
      <c r="BM197" s="40"/>
      <c r="BN197" s="5"/>
      <c r="BP197" s="40"/>
      <c r="BQ197" s="5"/>
      <c r="BS197" s="40"/>
      <c r="BT197" s="5"/>
      <c r="BV197" s="40"/>
      <c r="BW197" s="5"/>
      <c r="BY197" s="40"/>
      <c r="BZ197" s="5"/>
      <c r="CB197" s="40"/>
      <c r="CC197" s="5"/>
      <c r="CE197" s="40"/>
      <c r="CF197" s="5"/>
      <c r="CH197" s="40"/>
      <c r="CI197" s="5"/>
      <c r="CK197" s="40"/>
      <c r="CL197" s="5"/>
      <c r="CN197" s="40"/>
      <c r="CO197" s="5"/>
      <c r="CQ197" s="40"/>
      <c r="CR197" s="5"/>
    </row>
    <row r="198">
      <c r="AO198" s="40"/>
      <c r="AP198" s="5"/>
      <c r="AR198" s="40"/>
      <c r="AS198" s="5"/>
      <c r="AU198" s="40"/>
      <c r="AV198" s="5"/>
      <c r="AX198" s="40"/>
      <c r="AY198" s="5"/>
      <c r="BA198" s="40"/>
      <c r="BB198" s="5"/>
      <c r="BD198" s="40"/>
      <c r="BE198" s="5"/>
      <c r="BG198" s="40"/>
      <c r="BH198" s="5"/>
      <c r="BJ198" s="40"/>
      <c r="BK198" s="5"/>
      <c r="BM198" s="40"/>
      <c r="BN198" s="5"/>
      <c r="BP198" s="40"/>
      <c r="BQ198" s="5"/>
      <c r="BS198" s="40"/>
      <c r="BT198" s="5"/>
      <c r="BV198" s="40"/>
      <c r="BW198" s="5"/>
      <c r="BY198" s="40"/>
      <c r="BZ198" s="5"/>
      <c r="CB198" s="40"/>
      <c r="CC198" s="5"/>
      <c r="CE198" s="40"/>
      <c r="CF198" s="5"/>
      <c r="CH198" s="40"/>
      <c r="CI198" s="5"/>
      <c r="CK198" s="40"/>
      <c r="CL198" s="5"/>
      <c r="CN198" s="40"/>
      <c r="CO198" s="5"/>
      <c r="CQ198" s="40"/>
      <c r="CR198" s="5"/>
    </row>
    <row r="199">
      <c r="AO199" s="40"/>
      <c r="AP199" s="5"/>
      <c r="AR199" s="40"/>
      <c r="AS199" s="5"/>
      <c r="AU199" s="40"/>
      <c r="AV199" s="5"/>
      <c r="AX199" s="40"/>
      <c r="AY199" s="5"/>
      <c r="BA199" s="40"/>
      <c r="BB199" s="5"/>
      <c r="BD199" s="40"/>
      <c r="BE199" s="5"/>
      <c r="BG199" s="40"/>
      <c r="BH199" s="5"/>
      <c r="BJ199" s="40"/>
      <c r="BK199" s="5"/>
      <c r="BM199" s="40"/>
      <c r="BN199" s="5"/>
      <c r="BP199" s="40"/>
      <c r="BQ199" s="5"/>
      <c r="BS199" s="40"/>
      <c r="BT199" s="5"/>
      <c r="BV199" s="40"/>
      <c r="BW199" s="5"/>
      <c r="BY199" s="40"/>
      <c r="BZ199" s="5"/>
      <c r="CB199" s="40"/>
      <c r="CC199" s="5"/>
      <c r="CE199" s="40"/>
      <c r="CF199" s="5"/>
      <c r="CH199" s="40"/>
      <c r="CI199" s="5"/>
      <c r="CK199" s="40"/>
      <c r="CL199" s="5"/>
      <c r="CN199" s="40"/>
      <c r="CO199" s="5"/>
      <c r="CQ199" s="40"/>
      <c r="CR199" s="5"/>
    </row>
    <row r="200">
      <c r="AO200" s="40"/>
      <c r="AP200" s="5"/>
      <c r="AR200" s="40"/>
      <c r="AS200" s="5"/>
      <c r="AU200" s="40"/>
      <c r="AV200" s="5"/>
      <c r="AX200" s="40"/>
      <c r="AY200" s="5"/>
      <c r="BA200" s="40"/>
      <c r="BB200" s="5"/>
      <c r="BD200" s="40"/>
      <c r="BE200" s="5"/>
      <c r="BG200" s="40"/>
      <c r="BH200" s="5"/>
      <c r="BJ200" s="40"/>
      <c r="BK200" s="5"/>
      <c r="BM200" s="40"/>
      <c r="BN200" s="5"/>
      <c r="BP200" s="40"/>
      <c r="BQ200" s="5"/>
      <c r="BS200" s="40"/>
      <c r="BT200" s="5"/>
      <c r="BV200" s="40"/>
      <c r="BW200" s="5"/>
      <c r="BY200" s="40"/>
      <c r="BZ200" s="5"/>
      <c r="CB200" s="40"/>
      <c r="CC200" s="5"/>
      <c r="CE200" s="40"/>
      <c r="CF200" s="5"/>
      <c r="CH200" s="40"/>
      <c r="CI200" s="5"/>
      <c r="CK200" s="40"/>
      <c r="CL200" s="5"/>
      <c r="CN200" s="40"/>
      <c r="CO200" s="5"/>
      <c r="CQ200" s="40"/>
      <c r="CR200" s="5"/>
    </row>
    <row r="201">
      <c r="AO201" s="40"/>
      <c r="AP201" s="5"/>
      <c r="AR201" s="40"/>
      <c r="AS201" s="5"/>
      <c r="AU201" s="40"/>
      <c r="AV201" s="5"/>
      <c r="AX201" s="40"/>
      <c r="AY201" s="5"/>
      <c r="BA201" s="40"/>
      <c r="BB201" s="5"/>
      <c r="BD201" s="40"/>
      <c r="BE201" s="5"/>
      <c r="BG201" s="40"/>
      <c r="BH201" s="5"/>
      <c r="BJ201" s="40"/>
      <c r="BK201" s="5"/>
      <c r="BM201" s="40"/>
      <c r="BN201" s="5"/>
      <c r="BP201" s="40"/>
      <c r="BQ201" s="5"/>
      <c r="BS201" s="40"/>
      <c r="BT201" s="5"/>
      <c r="BV201" s="40"/>
      <c r="BW201" s="5"/>
      <c r="BY201" s="40"/>
      <c r="BZ201" s="5"/>
      <c r="CB201" s="40"/>
      <c r="CC201" s="5"/>
      <c r="CE201" s="40"/>
      <c r="CF201" s="5"/>
      <c r="CH201" s="40"/>
      <c r="CI201" s="5"/>
      <c r="CK201" s="40"/>
      <c r="CL201" s="5"/>
      <c r="CN201" s="40"/>
      <c r="CO201" s="5"/>
      <c r="CQ201" s="40"/>
      <c r="CR201" s="5"/>
    </row>
    <row r="202">
      <c r="AO202" s="40"/>
      <c r="AP202" s="5"/>
      <c r="AR202" s="40"/>
      <c r="AS202" s="5"/>
      <c r="AU202" s="40"/>
      <c r="AV202" s="5"/>
      <c r="AX202" s="40"/>
      <c r="AY202" s="5"/>
      <c r="BA202" s="40"/>
      <c r="BB202" s="5"/>
      <c r="BD202" s="40"/>
      <c r="BE202" s="5"/>
      <c r="BG202" s="40"/>
      <c r="BH202" s="5"/>
      <c r="BJ202" s="40"/>
      <c r="BK202" s="5"/>
      <c r="BM202" s="40"/>
      <c r="BN202" s="5"/>
      <c r="BP202" s="40"/>
      <c r="BQ202" s="5"/>
      <c r="BS202" s="40"/>
      <c r="BT202" s="5"/>
      <c r="BV202" s="40"/>
      <c r="BW202" s="5"/>
      <c r="BY202" s="40"/>
      <c r="BZ202" s="5"/>
      <c r="CB202" s="40"/>
      <c r="CC202" s="5"/>
      <c r="CE202" s="40"/>
      <c r="CF202" s="5"/>
      <c r="CH202" s="40"/>
      <c r="CI202" s="5"/>
      <c r="CK202" s="40"/>
      <c r="CL202" s="5"/>
      <c r="CN202" s="40"/>
      <c r="CO202" s="5"/>
      <c r="CQ202" s="40"/>
      <c r="CR202" s="5"/>
    </row>
    <row r="203">
      <c r="AO203" s="40"/>
      <c r="AP203" s="5"/>
      <c r="AR203" s="40"/>
      <c r="AS203" s="5"/>
      <c r="AU203" s="40"/>
      <c r="AV203" s="5"/>
      <c r="AX203" s="40"/>
      <c r="AY203" s="5"/>
      <c r="BA203" s="40"/>
      <c r="BB203" s="5"/>
      <c r="BD203" s="40"/>
      <c r="BE203" s="5"/>
      <c r="BG203" s="40"/>
      <c r="BH203" s="5"/>
      <c r="BJ203" s="40"/>
      <c r="BK203" s="5"/>
      <c r="BM203" s="40"/>
      <c r="BN203" s="5"/>
      <c r="BP203" s="40"/>
      <c r="BQ203" s="5"/>
      <c r="BS203" s="40"/>
      <c r="BT203" s="5"/>
      <c r="BV203" s="40"/>
      <c r="BW203" s="5"/>
      <c r="BY203" s="40"/>
      <c r="BZ203" s="5"/>
      <c r="CB203" s="40"/>
      <c r="CC203" s="5"/>
      <c r="CE203" s="40"/>
      <c r="CF203" s="5"/>
      <c r="CH203" s="40"/>
      <c r="CI203" s="5"/>
      <c r="CK203" s="40"/>
      <c r="CL203" s="5"/>
      <c r="CN203" s="40"/>
      <c r="CO203" s="5"/>
      <c r="CQ203" s="40"/>
      <c r="CR203" s="5"/>
    </row>
    <row r="204">
      <c r="AO204" s="40"/>
      <c r="AP204" s="5"/>
      <c r="AR204" s="40"/>
      <c r="AS204" s="5"/>
      <c r="AU204" s="40"/>
      <c r="AV204" s="5"/>
      <c r="AX204" s="40"/>
      <c r="AY204" s="5"/>
      <c r="BA204" s="40"/>
      <c r="BB204" s="5"/>
      <c r="BD204" s="40"/>
      <c r="BE204" s="5"/>
      <c r="BG204" s="40"/>
      <c r="BH204" s="5"/>
      <c r="BJ204" s="40"/>
      <c r="BK204" s="5"/>
      <c r="BM204" s="40"/>
      <c r="BN204" s="5"/>
      <c r="BP204" s="40"/>
      <c r="BQ204" s="5"/>
      <c r="BS204" s="40"/>
      <c r="BT204" s="5"/>
      <c r="BV204" s="40"/>
      <c r="BW204" s="5"/>
      <c r="BY204" s="40"/>
      <c r="BZ204" s="5"/>
      <c r="CB204" s="40"/>
      <c r="CC204" s="5"/>
      <c r="CE204" s="40"/>
      <c r="CF204" s="5"/>
      <c r="CH204" s="40"/>
      <c r="CI204" s="5"/>
      <c r="CK204" s="40"/>
      <c r="CL204" s="5"/>
      <c r="CN204" s="40"/>
      <c r="CO204" s="5"/>
      <c r="CQ204" s="40"/>
      <c r="CR204" s="5"/>
    </row>
    <row r="205">
      <c r="AO205" s="40"/>
      <c r="AP205" s="5"/>
      <c r="AR205" s="40"/>
      <c r="AS205" s="5"/>
      <c r="AU205" s="40"/>
      <c r="AV205" s="5"/>
      <c r="AX205" s="40"/>
      <c r="AY205" s="5"/>
      <c r="BA205" s="40"/>
      <c r="BB205" s="5"/>
      <c r="BD205" s="40"/>
      <c r="BE205" s="5"/>
      <c r="BG205" s="40"/>
      <c r="BH205" s="5"/>
      <c r="BJ205" s="40"/>
      <c r="BK205" s="5"/>
      <c r="BM205" s="40"/>
      <c r="BN205" s="5"/>
      <c r="BP205" s="40"/>
      <c r="BQ205" s="5"/>
      <c r="BS205" s="40"/>
      <c r="BT205" s="5"/>
      <c r="BV205" s="40"/>
      <c r="BW205" s="5"/>
      <c r="BY205" s="40"/>
      <c r="BZ205" s="5"/>
      <c r="CB205" s="40"/>
      <c r="CC205" s="5"/>
      <c r="CE205" s="40"/>
      <c r="CF205" s="5"/>
      <c r="CH205" s="40"/>
      <c r="CI205" s="5"/>
      <c r="CK205" s="40"/>
      <c r="CL205" s="5"/>
      <c r="CN205" s="40"/>
      <c r="CO205" s="5"/>
      <c r="CQ205" s="40"/>
      <c r="CR205" s="5"/>
    </row>
    <row r="206">
      <c r="AO206" s="40"/>
      <c r="AP206" s="5"/>
      <c r="AR206" s="40"/>
      <c r="AS206" s="5"/>
      <c r="AU206" s="40"/>
      <c r="AV206" s="5"/>
      <c r="AX206" s="40"/>
      <c r="AY206" s="5"/>
      <c r="BA206" s="40"/>
      <c r="BB206" s="5"/>
      <c r="BD206" s="40"/>
      <c r="BE206" s="5"/>
      <c r="BG206" s="40"/>
      <c r="BH206" s="5"/>
      <c r="BJ206" s="40"/>
      <c r="BK206" s="5"/>
      <c r="BM206" s="40"/>
      <c r="BN206" s="5"/>
      <c r="BP206" s="40"/>
      <c r="BQ206" s="5"/>
      <c r="BS206" s="40"/>
      <c r="BT206" s="5"/>
      <c r="BV206" s="40"/>
      <c r="BW206" s="5"/>
      <c r="BY206" s="40"/>
      <c r="BZ206" s="5"/>
      <c r="CB206" s="40"/>
      <c r="CC206" s="5"/>
      <c r="CE206" s="40"/>
      <c r="CF206" s="5"/>
      <c r="CH206" s="40"/>
      <c r="CI206" s="5"/>
      <c r="CK206" s="40"/>
      <c r="CL206" s="5"/>
      <c r="CN206" s="40"/>
      <c r="CO206" s="5"/>
      <c r="CQ206" s="40"/>
      <c r="CR206" s="5"/>
    </row>
    <row r="207">
      <c r="AO207" s="40"/>
      <c r="AP207" s="5"/>
      <c r="AR207" s="40"/>
      <c r="AS207" s="5"/>
      <c r="AU207" s="40"/>
      <c r="AV207" s="5"/>
      <c r="AX207" s="40"/>
      <c r="AY207" s="5"/>
      <c r="BA207" s="40"/>
      <c r="BB207" s="5"/>
      <c r="BD207" s="40"/>
      <c r="BE207" s="5"/>
      <c r="BG207" s="40"/>
      <c r="BH207" s="5"/>
      <c r="BJ207" s="40"/>
      <c r="BK207" s="5"/>
      <c r="BM207" s="40"/>
      <c r="BN207" s="5"/>
      <c r="BP207" s="40"/>
      <c r="BQ207" s="5"/>
      <c r="BS207" s="40"/>
      <c r="BT207" s="5"/>
      <c r="BV207" s="40"/>
      <c r="BW207" s="5"/>
      <c r="BY207" s="40"/>
      <c r="BZ207" s="5"/>
      <c r="CB207" s="40"/>
      <c r="CC207" s="5"/>
      <c r="CE207" s="40"/>
      <c r="CF207" s="5"/>
      <c r="CH207" s="40"/>
      <c r="CI207" s="5"/>
      <c r="CK207" s="40"/>
      <c r="CL207" s="5"/>
      <c r="CN207" s="40"/>
      <c r="CO207" s="5"/>
      <c r="CQ207" s="40"/>
      <c r="CR207" s="5"/>
    </row>
    <row r="208">
      <c r="AO208" s="40"/>
      <c r="AP208" s="5"/>
      <c r="AR208" s="40"/>
      <c r="AS208" s="5"/>
      <c r="AU208" s="40"/>
      <c r="AV208" s="5"/>
      <c r="AX208" s="40"/>
      <c r="AY208" s="5"/>
      <c r="BA208" s="40"/>
      <c r="BB208" s="5"/>
      <c r="BD208" s="40"/>
      <c r="BE208" s="5"/>
      <c r="BG208" s="40"/>
      <c r="BH208" s="5"/>
      <c r="BJ208" s="40"/>
      <c r="BK208" s="5"/>
      <c r="BM208" s="40"/>
      <c r="BN208" s="5"/>
      <c r="BP208" s="40"/>
      <c r="BQ208" s="5"/>
      <c r="BS208" s="40"/>
      <c r="BT208" s="5"/>
      <c r="BV208" s="40"/>
      <c r="BW208" s="5"/>
      <c r="BY208" s="40"/>
      <c r="BZ208" s="5"/>
      <c r="CB208" s="40"/>
      <c r="CC208" s="5"/>
      <c r="CE208" s="40"/>
      <c r="CF208" s="5"/>
      <c r="CH208" s="40"/>
      <c r="CI208" s="5"/>
      <c r="CK208" s="40"/>
      <c r="CL208" s="5"/>
      <c r="CN208" s="40"/>
      <c r="CO208" s="5"/>
      <c r="CQ208" s="40"/>
      <c r="CR208" s="5"/>
    </row>
    <row r="209">
      <c r="AO209" s="40"/>
      <c r="AP209" s="5"/>
      <c r="AR209" s="40"/>
      <c r="AS209" s="5"/>
      <c r="AU209" s="40"/>
      <c r="AV209" s="5"/>
      <c r="AX209" s="40"/>
      <c r="AY209" s="5"/>
      <c r="BA209" s="40"/>
      <c r="BB209" s="5"/>
      <c r="BD209" s="40"/>
      <c r="BE209" s="5"/>
      <c r="BG209" s="40"/>
      <c r="BH209" s="5"/>
      <c r="BJ209" s="40"/>
      <c r="BK209" s="5"/>
      <c r="BM209" s="40"/>
      <c r="BN209" s="5"/>
      <c r="BP209" s="40"/>
      <c r="BQ209" s="5"/>
      <c r="BS209" s="40"/>
      <c r="BT209" s="5"/>
      <c r="BV209" s="40"/>
      <c r="BW209" s="5"/>
      <c r="BY209" s="40"/>
      <c r="BZ209" s="5"/>
      <c r="CB209" s="40"/>
      <c r="CC209" s="5"/>
      <c r="CE209" s="40"/>
      <c r="CF209" s="5"/>
      <c r="CH209" s="40"/>
      <c r="CI209" s="5"/>
      <c r="CK209" s="40"/>
      <c r="CL209" s="5"/>
      <c r="CN209" s="40"/>
      <c r="CO209" s="5"/>
      <c r="CQ209" s="40"/>
      <c r="CR209" s="5"/>
    </row>
    <row r="210">
      <c r="AO210" s="40"/>
      <c r="AP210" s="5"/>
      <c r="AR210" s="40"/>
      <c r="AS210" s="5"/>
      <c r="AU210" s="40"/>
      <c r="AV210" s="5"/>
      <c r="AX210" s="40"/>
      <c r="AY210" s="5"/>
      <c r="BA210" s="40"/>
      <c r="BB210" s="5"/>
      <c r="BD210" s="40"/>
      <c r="BE210" s="5"/>
      <c r="BG210" s="40"/>
      <c r="BH210" s="5"/>
      <c r="BJ210" s="40"/>
      <c r="BK210" s="5"/>
      <c r="BM210" s="40"/>
      <c r="BN210" s="5"/>
      <c r="BP210" s="40"/>
      <c r="BQ210" s="5"/>
      <c r="BS210" s="40"/>
      <c r="BT210" s="5"/>
      <c r="BV210" s="40"/>
      <c r="BW210" s="5"/>
      <c r="BY210" s="40"/>
      <c r="BZ210" s="5"/>
      <c r="CB210" s="40"/>
      <c r="CC210" s="5"/>
      <c r="CE210" s="40"/>
      <c r="CF210" s="5"/>
      <c r="CH210" s="40"/>
      <c r="CI210" s="5"/>
      <c r="CK210" s="40"/>
      <c r="CL210" s="5"/>
      <c r="CN210" s="40"/>
      <c r="CO210" s="5"/>
      <c r="CQ210" s="40"/>
      <c r="CR210" s="5"/>
    </row>
    <row r="211">
      <c r="AO211" s="40"/>
      <c r="AP211" s="5"/>
      <c r="AR211" s="40"/>
      <c r="AS211" s="5"/>
      <c r="AU211" s="40"/>
      <c r="AV211" s="5"/>
      <c r="AX211" s="40"/>
      <c r="AY211" s="5"/>
      <c r="BA211" s="40"/>
      <c r="BB211" s="5"/>
      <c r="BD211" s="40"/>
      <c r="BE211" s="5"/>
      <c r="BG211" s="40"/>
      <c r="BH211" s="5"/>
      <c r="BJ211" s="40"/>
      <c r="BK211" s="5"/>
      <c r="BM211" s="40"/>
      <c r="BN211" s="5"/>
      <c r="BP211" s="40"/>
      <c r="BQ211" s="5"/>
      <c r="BS211" s="40"/>
      <c r="BT211" s="5"/>
      <c r="BV211" s="40"/>
      <c r="BW211" s="5"/>
      <c r="BY211" s="40"/>
      <c r="BZ211" s="5"/>
      <c r="CB211" s="40"/>
      <c r="CC211" s="5"/>
      <c r="CE211" s="40"/>
      <c r="CF211" s="5"/>
      <c r="CH211" s="40"/>
      <c r="CI211" s="5"/>
      <c r="CK211" s="40"/>
      <c r="CL211" s="5"/>
      <c r="CN211" s="40"/>
      <c r="CO211" s="5"/>
      <c r="CQ211" s="40"/>
      <c r="CR211" s="5"/>
    </row>
    <row r="212">
      <c r="AO212" s="40"/>
      <c r="AP212" s="5"/>
      <c r="AR212" s="40"/>
      <c r="AS212" s="5"/>
      <c r="AU212" s="40"/>
      <c r="AV212" s="5"/>
      <c r="AX212" s="40"/>
      <c r="AY212" s="5"/>
      <c r="BA212" s="40"/>
      <c r="BB212" s="5"/>
      <c r="BD212" s="40"/>
      <c r="BE212" s="5"/>
      <c r="BG212" s="40"/>
      <c r="BH212" s="5"/>
      <c r="BJ212" s="40"/>
      <c r="BK212" s="5"/>
      <c r="BM212" s="40"/>
      <c r="BN212" s="5"/>
      <c r="BP212" s="40"/>
      <c r="BQ212" s="5"/>
      <c r="BS212" s="40"/>
      <c r="BT212" s="5"/>
      <c r="BV212" s="40"/>
      <c r="BW212" s="5"/>
      <c r="BY212" s="40"/>
      <c r="BZ212" s="5"/>
      <c r="CB212" s="40"/>
      <c r="CC212" s="5"/>
      <c r="CE212" s="40"/>
      <c r="CF212" s="5"/>
      <c r="CH212" s="40"/>
      <c r="CI212" s="5"/>
      <c r="CK212" s="40"/>
      <c r="CL212" s="5"/>
      <c r="CN212" s="40"/>
      <c r="CO212" s="5"/>
      <c r="CQ212" s="40"/>
      <c r="CR212" s="5"/>
    </row>
    <row r="213">
      <c r="AO213" s="40"/>
      <c r="AP213" s="5"/>
      <c r="AR213" s="40"/>
      <c r="AS213" s="5"/>
      <c r="AU213" s="40"/>
      <c r="AV213" s="5"/>
      <c r="AX213" s="40"/>
      <c r="AY213" s="5"/>
      <c r="BA213" s="40"/>
      <c r="BB213" s="5"/>
      <c r="BD213" s="40"/>
      <c r="BE213" s="5"/>
      <c r="BG213" s="40"/>
      <c r="BH213" s="5"/>
      <c r="BJ213" s="40"/>
      <c r="BK213" s="5"/>
      <c r="BM213" s="40"/>
      <c r="BN213" s="5"/>
      <c r="BP213" s="40"/>
      <c r="BQ213" s="5"/>
      <c r="BS213" s="40"/>
      <c r="BT213" s="5"/>
      <c r="BV213" s="40"/>
      <c r="BW213" s="5"/>
      <c r="BY213" s="40"/>
      <c r="BZ213" s="5"/>
      <c r="CB213" s="40"/>
      <c r="CC213" s="5"/>
      <c r="CE213" s="40"/>
      <c r="CF213" s="5"/>
      <c r="CH213" s="40"/>
      <c r="CI213" s="5"/>
      <c r="CK213" s="40"/>
      <c r="CL213" s="5"/>
      <c r="CN213" s="40"/>
      <c r="CO213" s="5"/>
      <c r="CQ213" s="40"/>
      <c r="CR213" s="5"/>
    </row>
    <row r="214">
      <c r="AO214" s="40"/>
      <c r="AP214" s="5"/>
      <c r="AR214" s="40"/>
      <c r="AS214" s="5"/>
      <c r="AU214" s="40"/>
      <c r="AV214" s="5"/>
      <c r="AX214" s="40"/>
      <c r="AY214" s="5"/>
      <c r="BA214" s="40"/>
      <c r="BB214" s="5"/>
      <c r="BD214" s="40"/>
      <c r="BE214" s="5"/>
      <c r="BG214" s="40"/>
      <c r="BH214" s="5"/>
      <c r="BJ214" s="40"/>
      <c r="BK214" s="5"/>
      <c r="BM214" s="40"/>
      <c r="BN214" s="5"/>
      <c r="BP214" s="40"/>
      <c r="BQ214" s="5"/>
      <c r="BS214" s="40"/>
      <c r="BT214" s="5"/>
      <c r="BV214" s="40"/>
      <c r="BW214" s="5"/>
      <c r="BY214" s="40"/>
      <c r="BZ214" s="5"/>
      <c r="CB214" s="40"/>
      <c r="CC214" s="5"/>
      <c r="CE214" s="40"/>
      <c r="CF214" s="5"/>
      <c r="CH214" s="40"/>
      <c r="CI214" s="5"/>
      <c r="CK214" s="40"/>
      <c r="CL214" s="5"/>
      <c r="CN214" s="40"/>
      <c r="CO214" s="5"/>
      <c r="CQ214" s="40"/>
      <c r="CR214" s="5"/>
    </row>
    <row r="215">
      <c r="AO215" s="40"/>
      <c r="AP215" s="5"/>
      <c r="AR215" s="40"/>
      <c r="AS215" s="5"/>
      <c r="AU215" s="40"/>
      <c r="AV215" s="5"/>
      <c r="AX215" s="40"/>
      <c r="AY215" s="5"/>
      <c r="BA215" s="40"/>
      <c r="BB215" s="5"/>
      <c r="BD215" s="40"/>
      <c r="BE215" s="5"/>
      <c r="BG215" s="40"/>
      <c r="BH215" s="5"/>
      <c r="BJ215" s="40"/>
      <c r="BK215" s="5"/>
      <c r="BM215" s="40"/>
      <c r="BN215" s="5"/>
      <c r="BP215" s="40"/>
      <c r="BQ215" s="5"/>
      <c r="BS215" s="40"/>
      <c r="BT215" s="5"/>
      <c r="BV215" s="40"/>
      <c r="BW215" s="5"/>
      <c r="BY215" s="40"/>
      <c r="BZ215" s="5"/>
      <c r="CB215" s="40"/>
      <c r="CC215" s="5"/>
      <c r="CE215" s="40"/>
      <c r="CF215" s="5"/>
      <c r="CH215" s="40"/>
      <c r="CI215" s="5"/>
      <c r="CK215" s="40"/>
      <c r="CL215" s="5"/>
      <c r="CN215" s="40"/>
      <c r="CO215" s="5"/>
      <c r="CQ215" s="40"/>
      <c r="CR215" s="5"/>
    </row>
    <row r="216">
      <c r="AO216" s="40"/>
      <c r="AP216" s="5"/>
      <c r="AR216" s="40"/>
      <c r="AS216" s="5"/>
      <c r="AU216" s="40"/>
      <c r="AV216" s="5"/>
      <c r="AX216" s="40"/>
      <c r="AY216" s="5"/>
      <c r="BA216" s="40"/>
      <c r="BB216" s="5"/>
      <c r="BD216" s="40"/>
      <c r="BE216" s="5"/>
      <c r="BG216" s="40"/>
      <c r="BH216" s="5"/>
      <c r="BJ216" s="40"/>
      <c r="BK216" s="5"/>
      <c r="BM216" s="40"/>
      <c r="BN216" s="5"/>
      <c r="BP216" s="40"/>
      <c r="BQ216" s="5"/>
      <c r="BS216" s="40"/>
      <c r="BT216" s="5"/>
      <c r="BV216" s="40"/>
      <c r="BW216" s="5"/>
      <c r="BY216" s="40"/>
      <c r="BZ216" s="5"/>
      <c r="CB216" s="40"/>
      <c r="CC216" s="5"/>
      <c r="CE216" s="40"/>
      <c r="CF216" s="5"/>
      <c r="CH216" s="40"/>
      <c r="CI216" s="5"/>
      <c r="CK216" s="40"/>
      <c r="CL216" s="5"/>
      <c r="CN216" s="40"/>
      <c r="CO216" s="5"/>
      <c r="CQ216" s="40"/>
      <c r="CR216" s="5"/>
    </row>
    <row r="217">
      <c r="AO217" s="40"/>
      <c r="AP217" s="5"/>
      <c r="AR217" s="40"/>
      <c r="AS217" s="5"/>
      <c r="AU217" s="40"/>
      <c r="AV217" s="5"/>
      <c r="AX217" s="40"/>
      <c r="AY217" s="5"/>
      <c r="BA217" s="40"/>
      <c r="BB217" s="5"/>
      <c r="BD217" s="40"/>
      <c r="BE217" s="5"/>
      <c r="BG217" s="40"/>
      <c r="BH217" s="5"/>
      <c r="BJ217" s="40"/>
      <c r="BK217" s="5"/>
      <c r="BM217" s="40"/>
      <c r="BN217" s="5"/>
      <c r="BP217" s="40"/>
      <c r="BQ217" s="5"/>
      <c r="BS217" s="40"/>
      <c r="BT217" s="5"/>
      <c r="BV217" s="40"/>
      <c r="BW217" s="5"/>
      <c r="BY217" s="40"/>
      <c r="BZ217" s="5"/>
      <c r="CB217" s="40"/>
      <c r="CC217" s="5"/>
      <c r="CE217" s="40"/>
      <c r="CF217" s="5"/>
      <c r="CH217" s="40"/>
      <c r="CI217" s="5"/>
      <c r="CK217" s="40"/>
      <c r="CL217" s="5"/>
      <c r="CN217" s="40"/>
      <c r="CO217" s="5"/>
      <c r="CQ217" s="40"/>
      <c r="CR217" s="5"/>
    </row>
    <row r="218">
      <c r="AO218" s="40"/>
      <c r="AP218" s="5"/>
      <c r="AR218" s="40"/>
      <c r="AS218" s="5"/>
      <c r="AU218" s="40"/>
      <c r="AV218" s="5"/>
      <c r="AX218" s="40"/>
      <c r="AY218" s="5"/>
      <c r="BA218" s="40"/>
      <c r="BB218" s="5"/>
      <c r="BD218" s="40"/>
      <c r="BE218" s="5"/>
      <c r="BG218" s="40"/>
      <c r="BH218" s="5"/>
      <c r="BJ218" s="40"/>
      <c r="BK218" s="5"/>
      <c r="BM218" s="40"/>
      <c r="BN218" s="5"/>
      <c r="BP218" s="40"/>
      <c r="BQ218" s="5"/>
      <c r="BS218" s="40"/>
      <c r="BT218" s="5"/>
      <c r="BV218" s="40"/>
      <c r="BW218" s="5"/>
      <c r="BY218" s="40"/>
      <c r="BZ218" s="5"/>
      <c r="CB218" s="40"/>
      <c r="CC218" s="5"/>
      <c r="CE218" s="40"/>
      <c r="CF218" s="5"/>
      <c r="CH218" s="40"/>
      <c r="CI218" s="5"/>
      <c r="CK218" s="40"/>
      <c r="CL218" s="5"/>
      <c r="CN218" s="40"/>
      <c r="CO218" s="5"/>
      <c r="CQ218" s="40"/>
      <c r="CR218" s="5"/>
    </row>
    <row r="219">
      <c r="AO219" s="40"/>
      <c r="AP219" s="5"/>
      <c r="AR219" s="40"/>
      <c r="AS219" s="5"/>
      <c r="AU219" s="40"/>
      <c r="AV219" s="5"/>
      <c r="AX219" s="40"/>
      <c r="AY219" s="5"/>
      <c r="BA219" s="40"/>
      <c r="BB219" s="5"/>
      <c r="BD219" s="40"/>
      <c r="BE219" s="5"/>
      <c r="BG219" s="40"/>
      <c r="BH219" s="5"/>
      <c r="BJ219" s="40"/>
      <c r="BK219" s="5"/>
      <c r="BM219" s="40"/>
      <c r="BN219" s="5"/>
      <c r="BP219" s="40"/>
      <c r="BQ219" s="5"/>
      <c r="BS219" s="40"/>
      <c r="BT219" s="5"/>
      <c r="BV219" s="40"/>
      <c r="BW219" s="5"/>
      <c r="BY219" s="40"/>
      <c r="BZ219" s="5"/>
      <c r="CB219" s="40"/>
      <c r="CC219" s="5"/>
      <c r="CE219" s="40"/>
      <c r="CF219" s="5"/>
      <c r="CH219" s="40"/>
      <c r="CI219" s="5"/>
      <c r="CK219" s="40"/>
      <c r="CL219" s="5"/>
      <c r="CN219" s="40"/>
      <c r="CO219" s="5"/>
      <c r="CQ219" s="40"/>
      <c r="CR219" s="5"/>
    </row>
    <row r="220">
      <c r="AO220" s="40"/>
      <c r="AP220" s="5"/>
      <c r="AR220" s="40"/>
      <c r="AS220" s="5"/>
      <c r="AU220" s="40"/>
      <c r="AV220" s="5"/>
      <c r="AX220" s="40"/>
      <c r="AY220" s="5"/>
      <c r="BA220" s="40"/>
      <c r="BB220" s="5"/>
      <c r="BD220" s="40"/>
      <c r="BE220" s="5"/>
      <c r="BG220" s="40"/>
      <c r="BH220" s="5"/>
      <c r="BJ220" s="40"/>
      <c r="BK220" s="5"/>
      <c r="BM220" s="40"/>
      <c r="BN220" s="5"/>
      <c r="BP220" s="40"/>
      <c r="BQ220" s="5"/>
      <c r="BS220" s="40"/>
      <c r="BT220" s="5"/>
      <c r="BV220" s="40"/>
      <c r="BW220" s="5"/>
      <c r="BY220" s="40"/>
      <c r="BZ220" s="5"/>
      <c r="CB220" s="40"/>
      <c r="CC220" s="5"/>
      <c r="CE220" s="40"/>
      <c r="CF220" s="5"/>
      <c r="CH220" s="40"/>
      <c r="CI220" s="5"/>
      <c r="CK220" s="40"/>
      <c r="CL220" s="5"/>
      <c r="CN220" s="40"/>
      <c r="CO220" s="5"/>
      <c r="CQ220" s="40"/>
      <c r="CR220" s="5"/>
    </row>
    <row r="221">
      <c r="AO221" s="40"/>
      <c r="AP221" s="5"/>
      <c r="AR221" s="40"/>
      <c r="AS221" s="5"/>
      <c r="AU221" s="40"/>
      <c r="AV221" s="5"/>
      <c r="AX221" s="40"/>
      <c r="AY221" s="5"/>
      <c r="BA221" s="40"/>
      <c r="BB221" s="5"/>
      <c r="BD221" s="40"/>
      <c r="BE221" s="5"/>
      <c r="BG221" s="40"/>
      <c r="BH221" s="5"/>
      <c r="BJ221" s="40"/>
      <c r="BK221" s="5"/>
      <c r="BM221" s="40"/>
      <c r="BN221" s="5"/>
      <c r="BP221" s="40"/>
      <c r="BQ221" s="5"/>
      <c r="BS221" s="40"/>
      <c r="BT221" s="5"/>
      <c r="BV221" s="40"/>
      <c r="BW221" s="5"/>
      <c r="BY221" s="40"/>
      <c r="BZ221" s="5"/>
      <c r="CB221" s="40"/>
      <c r="CC221" s="5"/>
      <c r="CE221" s="40"/>
      <c r="CF221" s="5"/>
      <c r="CH221" s="40"/>
      <c r="CI221" s="5"/>
      <c r="CK221" s="40"/>
      <c r="CL221" s="5"/>
      <c r="CN221" s="40"/>
      <c r="CO221" s="5"/>
      <c r="CQ221" s="40"/>
      <c r="CR221" s="5"/>
    </row>
    <row r="222">
      <c r="AO222" s="40"/>
      <c r="AP222" s="5"/>
      <c r="AR222" s="40"/>
      <c r="AS222" s="5"/>
      <c r="AU222" s="40"/>
      <c r="AV222" s="5"/>
      <c r="AX222" s="40"/>
      <c r="AY222" s="5"/>
      <c r="BA222" s="40"/>
      <c r="BB222" s="5"/>
      <c r="BD222" s="40"/>
      <c r="BE222" s="5"/>
      <c r="BG222" s="40"/>
      <c r="BH222" s="5"/>
      <c r="BJ222" s="40"/>
      <c r="BK222" s="5"/>
      <c r="BM222" s="40"/>
      <c r="BN222" s="5"/>
      <c r="BP222" s="40"/>
      <c r="BQ222" s="5"/>
      <c r="BS222" s="40"/>
      <c r="BT222" s="5"/>
      <c r="BV222" s="40"/>
      <c r="BW222" s="5"/>
      <c r="BY222" s="40"/>
      <c r="BZ222" s="5"/>
      <c r="CB222" s="40"/>
      <c r="CC222" s="5"/>
      <c r="CE222" s="40"/>
      <c r="CF222" s="5"/>
      <c r="CH222" s="40"/>
      <c r="CI222" s="5"/>
      <c r="CK222" s="40"/>
      <c r="CL222" s="5"/>
      <c r="CN222" s="40"/>
      <c r="CO222" s="5"/>
      <c r="CQ222" s="40"/>
      <c r="CR222" s="5"/>
    </row>
    <row r="223">
      <c r="AO223" s="40"/>
      <c r="AP223" s="5"/>
      <c r="AR223" s="40"/>
      <c r="AS223" s="5"/>
      <c r="AU223" s="40"/>
      <c r="AV223" s="5"/>
      <c r="AX223" s="40"/>
      <c r="AY223" s="5"/>
      <c r="BA223" s="40"/>
      <c r="BB223" s="5"/>
      <c r="BD223" s="40"/>
      <c r="BE223" s="5"/>
      <c r="BG223" s="40"/>
      <c r="BH223" s="5"/>
      <c r="BJ223" s="40"/>
      <c r="BK223" s="5"/>
      <c r="BM223" s="40"/>
      <c r="BN223" s="5"/>
      <c r="BP223" s="40"/>
      <c r="BQ223" s="5"/>
      <c r="BS223" s="40"/>
      <c r="BT223" s="5"/>
      <c r="BV223" s="40"/>
      <c r="BW223" s="5"/>
      <c r="BY223" s="40"/>
      <c r="BZ223" s="5"/>
      <c r="CB223" s="40"/>
      <c r="CC223" s="5"/>
      <c r="CE223" s="40"/>
      <c r="CF223" s="5"/>
      <c r="CH223" s="40"/>
      <c r="CI223" s="5"/>
      <c r="CK223" s="40"/>
      <c r="CL223" s="5"/>
      <c r="CN223" s="40"/>
      <c r="CO223" s="5"/>
      <c r="CQ223" s="40"/>
      <c r="CR223" s="5"/>
    </row>
    <row r="224">
      <c r="AO224" s="40"/>
      <c r="AP224" s="5"/>
      <c r="AR224" s="40"/>
      <c r="AS224" s="5"/>
      <c r="AU224" s="40"/>
      <c r="AV224" s="5"/>
      <c r="AX224" s="40"/>
      <c r="AY224" s="5"/>
      <c r="BA224" s="40"/>
      <c r="BB224" s="5"/>
      <c r="BD224" s="40"/>
      <c r="BE224" s="5"/>
      <c r="BG224" s="40"/>
      <c r="BH224" s="5"/>
      <c r="BJ224" s="40"/>
      <c r="BK224" s="5"/>
      <c r="BM224" s="40"/>
      <c r="BN224" s="5"/>
      <c r="BP224" s="40"/>
      <c r="BQ224" s="5"/>
      <c r="BS224" s="40"/>
      <c r="BT224" s="5"/>
      <c r="BV224" s="40"/>
      <c r="BW224" s="5"/>
      <c r="BY224" s="40"/>
      <c r="BZ224" s="5"/>
      <c r="CB224" s="40"/>
      <c r="CC224" s="5"/>
      <c r="CE224" s="40"/>
      <c r="CF224" s="5"/>
      <c r="CH224" s="40"/>
      <c r="CI224" s="5"/>
      <c r="CK224" s="40"/>
      <c r="CL224" s="5"/>
      <c r="CN224" s="40"/>
      <c r="CO224" s="5"/>
      <c r="CQ224" s="40"/>
      <c r="CR224" s="5"/>
    </row>
    <row r="225">
      <c r="AO225" s="40"/>
      <c r="AP225" s="5"/>
      <c r="AR225" s="40"/>
      <c r="AS225" s="5"/>
      <c r="AU225" s="40"/>
      <c r="AV225" s="5"/>
      <c r="AX225" s="40"/>
      <c r="AY225" s="5"/>
      <c r="BA225" s="40"/>
      <c r="BB225" s="5"/>
      <c r="BD225" s="40"/>
      <c r="BE225" s="5"/>
      <c r="BG225" s="40"/>
      <c r="BH225" s="5"/>
      <c r="BJ225" s="40"/>
      <c r="BK225" s="5"/>
      <c r="BM225" s="40"/>
      <c r="BN225" s="5"/>
      <c r="BP225" s="40"/>
      <c r="BQ225" s="5"/>
      <c r="BS225" s="40"/>
      <c r="BT225" s="5"/>
      <c r="BV225" s="40"/>
      <c r="BW225" s="5"/>
      <c r="BY225" s="40"/>
      <c r="BZ225" s="5"/>
      <c r="CB225" s="40"/>
      <c r="CC225" s="5"/>
      <c r="CE225" s="40"/>
      <c r="CF225" s="5"/>
      <c r="CH225" s="40"/>
      <c r="CI225" s="5"/>
      <c r="CK225" s="40"/>
      <c r="CL225" s="5"/>
      <c r="CN225" s="40"/>
      <c r="CO225" s="5"/>
      <c r="CQ225" s="40"/>
      <c r="CR225" s="5"/>
    </row>
    <row r="226">
      <c r="AO226" s="40"/>
      <c r="AP226" s="5"/>
      <c r="AR226" s="40"/>
      <c r="AS226" s="5"/>
      <c r="AU226" s="40"/>
      <c r="AV226" s="5"/>
      <c r="AX226" s="40"/>
      <c r="AY226" s="5"/>
      <c r="BA226" s="40"/>
      <c r="BB226" s="5"/>
      <c r="BD226" s="40"/>
      <c r="BE226" s="5"/>
      <c r="BG226" s="40"/>
      <c r="BH226" s="5"/>
      <c r="BJ226" s="40"/>
      <c r="BK226" s="5"/>
      <c r="BM226" s="40"/>
      <c r="BN226" s="5"/>
      <c r="BP226" s="40"/>
      <c r="BQ226" s="5"/>
      <c r="BS226" s="40"/>
      <c r="BT226" s="5"/>
      <c r="BV226" s="40"/>
      <c r="BW226" s="5"/>
      <c r="BY226" s="40"/>
      <c r="BZ226" s="5"/>
      <c r="CB226" s="40"/>
      <c r="CC226" s="5"/>
      <c r="CE226" s="40"/>
      <c r="CF226" s="5"/>
      <c r="CH226" s="40"/>
      <c r="CI226" s="5"/>
      <c r="CK226" s="40"/>
      <c r="CL226" s="5"/>
      <c r="CN226" s="40"/>
      <c r="CO226" s="5"/>
      <c r="CQ226" s="40"/>
      <c r="CR226" s="5"/>
    </row>
    <row r="227">
      <c r="AO227" s="40"/>
      <c r="AP227" s="5"/>
      <c r="AR227" s="40"/>
      <c r="AS227" s="5"/>
      <c r="AU227" s="40"/>
      <c r="AV227" s="5"/>
      <c r="AX227" s="40"/>
      <c r="AY227" s="5"/>
      <c r="BA227" s="40"/>
      <c r="BB227" s="5"/>
      <c r="BD227" s="40"/>
      <c r="BE227" s="5"/>
      <c r="BG227" s="40"/>
      <c r="BH227" s="5"/>
      <c r="BJ227" s="40"/>
      <c r="BK227" s="5"/>
      <c r="BM227" s="40"/>
      <c r="BN227" s="5"/>
      <c r="BP227" s="40"/>
      <c r="BQ227" s="5"/>
      <c r="BS227" s="40"/>
      <c r="BT227" s="5"/>
      <c r="BV227" s="40"/>
      <c r="BW227" s="5"/>
      <c r="BY227" s="40"/>
      <c r="BZ227" s="5"/>
      <c r="CB227" s="40"/>
      <c r="CC227" s="5"/>
      <c r="CE227" s="40"/>
      <c r="CF227" s="5"/>
      <c r="CH227" s="40"/>
      <c r="CI227" s="5"/>
      <c r="CK227" s="40"/>
      <c r="CL227" s="5"/>
      <c r="CN227" s="40"/>
      <c r="CO227" s="5"/>
      <c r="CQ227" s="40"/>
      <c r="CR227" s="5"/>
    </row>
    <row r="228">
      <c r="AO228" s="40"/>
      <c r="AP228" s="5"/>
      <c r="AR228" s="40"/>
      <c r="AS228" s="5"/>
      <c r="AU228" s="40"/>
      <c r="AV228" s="5"/>
      <c r="AX228" s="40"/>
      <c r="AY228" s="5"/>
      <c r="BA228" s="40"/>
      <c r="BB228" s="5"/>
      <c r="BD228" s="40"/>
      <c r="BE228" s="5"/>
      <c r="BG228" s="40"/>
      <c r="BH228" s="5"/>
      <c r="BJ228" s="40"/>
      <c r="BK228" s="5"/>
      <c r="BM228" s="40"/>
      <c r="BN228" s="5"/>
      <c r="BP228" s="40"/>
      <c r="BQ228" s="5"/>
      <c r="BS228" s="40"/>
      <c r="BT228" s="5"/>
      <c r="BV228" s="40"/>
      <c r="BW228" s="5"/>
      <c r="BY228" s="40"/>
      <c r="BZ228" s="5"/>
      <c r="CB228" s="40"/>
      <c r="CC228" s="5"/>
      <c r="CE228" s="40"/>
      <c r="CF228" s="5"/>
      <c r="CH228" s="40"/>
      <c r="CI228" s="5"/>
      <c r="CK228" s="40"/>
      <c r="CL228" s="5"/>
      <c r="CN228" s="40"/>
      <c r="CO228" s="5"/>
      <c r="CQ228" s="40"/>
      <c r="CR228" s="5"/>
    </row>
    <row r="229">
      <c r="AO229" s="40"/>
      <c r="AP229" s="5"/>
      <c r="AR229" s="40"/>
      <c r="AS229" s="5"/>
      <c r="AU229" s="40"/>
      <c r="AV229" s="5"/>
      <c r="AX229" s="40"/>
      <c r="AY229" s="5"/>
      <c r="BA229" s="40"/>
      <c r="BB229" s="5"/>
      <c r="BD229" s="40"/>
      <c r="BE229" s="5"/>
      <c r="BG229" s="40"/>
      <c r="BH229" s="5"/>
      <c r="BJ229" s="40"/>
      <c r="BK229" s="5"/>
      <c r="BM229" s="40"/>
      <c r="BN229" s="5"/>
      <c r="BP229" s="40"/>
      <c r="BQ229" s="5"/>
      <c r="BS229" s="40"/>
      <c r="BT229" s="5"/>
      <c r="BV229" s="40"/>
      <c r="BW229" s="5"/>
      <c r="BY229" s="40"/>
      <c r="BZ229" s="5"/>
      <c r="CB229" s="40"/>
      <c r="CC229" s="5"/>
      <c r="CE229" s="40"/>
      <c r="CF229" s="5"/>
      <c r="CH229" s="40"/>
      <c r="CI229" s="5"/>
      <c r="CK229" s="40"/>
      <c r="CL229" s="5"/>
      <c r="CN229" s="40"/>
      <c r="CO229" s="5"/>
      <c r="CQ229" s="40"/>
      <c r="CR229" s="5"/>
    </row>
    <row r="230">
      <c r="AO230" s="40"/>
      <c r="AP230" s="5"/>
      <c r="AR230" s="40"/>
      <c r="AS230" s="5"/>
      <c r="AU230" s="40"/>
      <c r="AV230" s="5"/>
      <c r="AX230" s="40"/>
      <c r="AY230" s="5"/>
      <c r="BA230" s="40"/>
      <c r="BB230" s="5"/>
      <c r="BD230" s="40"/>
      <c r="BE230" s="5"/>
      <c r="BG230" s="40"/>
      <c r="BH230" s="5"/>
      <c r="BJ230" s="40"/>
      <c r="BK230" s="5"/>
      <c r="BM230" s="40"/>
      <c r="BN230" s="5"/>
      <c r="BP230" s="40"/>
      <c r="BQ230" s="5"/>
      <c r="BS230" s="40"/>
      <c r="BT230" s="5"/>
      <c r="BV230" s="40"/>
      <c r="BW230" s="5"/>
      <c r="BY230" s="40"/>
      <c r="BZ230" s="5"/>
      <c r="CB230" s="40"/>
      <c r="CC230" s="5"/>
      <c r="CE230" s="40"/>
      <c r="CF230" s="5"/>
      <c r="CH230" s="40"/>
      <c r="CI230" s="5"/>
      <c r="CK230" s="40"/>
      <c r="CL230" s="5"/>
      <c r="CN230" s="40"/>
      <c r="CO230" s="5"/>
      <c r="CQ230" s="40"/>
      <c r="CR230" s="5"/>
    </row>
    <row r="231">
      <c r="AO231" s="40"/>
      <c r="AP231" s="5"/>
      <c r="AR231" s="40"/>
      <c r="AS231" s="5"/>
      <c r="AU231" s="40"/>
      <c r="AV231" s="5"/>
      <c r="AX231" s="40"/>
      <c r="AY231" s="5"/>
      <c r="BA231" s="40"/>
      <c r="BB231" s="5"/>
      <c r="BD231" s="40"/>
      <c r="BE231" s="5"/>
      <c r="BG231" s="40"/>
      <c r="BH231" s="5"/>
      <c r="BJ231" s="40"/>
      <c r="BK231" s="5"/>
      <c r="BM231" s="40"/>
      <c r="BN231" s="5"/>
      <c r="BP231" s="40"/>
      <c r="BQ231" s="5"/>
      <c r="BS231" s="40"/>
      <c r="BT231" s="5"/>
      <c r="BV231" s="40"/>
      <c r="BW231" s="5"/>
      <c r="BY231" s="40"/>
      <c r="BZ231" s="5"/>
      <c r="CB231" s="40"/>
      <c r="CC231" s="5"/>
      <c r="CE231" s="40"/>
      <c r="CF231" s="5"/>
      <c r="CH231" s="40"/>
      <c r="CI231" s="5"/>
      <c r="CK231" s="40"/>
      <c r="CL231" s="5"/>
      <c r="CN231" s="40"/>
      <c r="CO231" s="5"/>
      <c r="CQ231" s="40"/>
      <c r="CR231" s="5"/>
    </row>
    <row r="232">
      <c r="AO232" s="40"/>
      <c r="AP232" s="5"/>
      <c r="AR232" s="40"/>
      <c r="AS232" s="5"/>
      <c r="AU232" s="40"/>
      <c r="AV232" s="5"/>
      <c r="AX232" s="40"/>
      <c r="AY232" s="5"/>
      <c r="BA232" s="40"/>
      <c r="BB232" s="5"/>
      <c r="BD232" s="40"/>
      <c r="BE232" s="5"/>
      <c r="BG232" s="40"/>
      <c r="BH232" s="5"/>
      <c r="BJ232" s="40"/>
      <c r="BK232" s="5"/>
      <c r="BM232" s="40"/>
      <c r="BN232" s="5"/>
      <c r="BP232" s="40"/>
      <c r="BQ232" s="5"/>
      <c r="BS232" s="40"/>
      <c r="BT232" s="5"/>
      <c r="BV232" s="40"/>
      <c r="BW232" s="5"/>
      <c r="BY232" s="40"/>
      <c r="BZ232" s="5"/>
      <c r="CB232" s="40"/>
      <c r="CC232" s="5"/>
      <c r="CE232" s="40"/>
      <c r="CF232" s="5"/>
      <c r="CH232" s="40"/>
      <c r="CI232" s="5"/>
      <c r="CK232" s="40"/>
      <c r="CL232" s="5"/>
      <c r="CN232" s="40"/>
      <c r="CO232" s="5"/>
      <c r="CQ232" s="40"/>
      <c r="CR232" s="5"/>
    </row>
    <row r="233">
      <c r="AO233" s="40"/>
      <c r="AP233" s="5"/>
      <c r="AR233" s="40"/>
      <c r="AS233" s="5"/>
      <c r="AU233" s="40"/>
      <c r="AV233" s="5"/>
      <c r="AX233" s="40"/>
      <c r="AY233" s="5"/>
      <c r="BA233" s="40"/>
      <c r="BB233" s="5"/>
      <c r="BD233" s="40"/>
      <c r="BE233" s="5"/>
      <c r="BG233" s="40"/>
      <c r="BH233" s="5"/>
      <c r="BJ233" s="40"/>
      <c r="BK233" s="5"/>
      <c r="BM233" s="40"/>
      <c r="BN233" s="5"/>
      <c r="BP233" s="40"/>
      <c r="BQ233" s="5"/>
      <c r="BS233" s="40"/>
      <c r="BT233" s="5"/>
      <c r="BV233" s="40"/>
      <c r="BW233" s="5"/>
      <c r="BY233" s="40"/>
      <c r="BZ233" s="5"/>
      <c r="CB233" s="40"/>
      <c r="CC233" s="5"/>
      <c r="CE233" s="40"/>
      <c r="CF233" s="5"/>
      <c r="CH233" s="40"/>
      <c r="CI233" s="5"/>
      <c r="CK233" s="40"/>
      <c r="CL233" s="5"/>
      <c r="CN233" s="40"/>
      <c r="CO233" s="5"/>
      <c r="CQ233" s="40"/>
      <c r="CR233" s="5"/>
    </row>
    <row r="234">
      <c r="AO234" s="40"/>
      <c r="AP234" s="5"/>
      <c r="AR234" s="40"/>
      <c r="AS234" s="5"/>
      <c r="AU234" s="40"/>
      <c r="AV234" s="5"/>
      <c r="AX234" s="40"/>
      <c r="AY234" s="5"/>
      <c r="BA234" s="40"/>
      <c r="BB234" s="5"/>
      <c r="BD234" s="40"/>
      <c r="BE234" s="5"/>
      <c r="BG234" s="40"/>
      <c r="BH234" s="5"/>
      <c r="BJ234" s="40"/>
      <c r="BK234" s="5"/>
      <c r="BM234" s="40"/>
      <c r="BN234" s="5"/>
      <c r="BP234" s="40"/>
      <c r="BQ234" s="5"/>
      <c r="BS234" s="40"/>
      <c r="BT234" s="5"/>
      <c r="BV234" s="40"/>
      <c r="BW234" s="5"/>
      <c r="BY234" s="40"/>
      <c r="BZ234" s="5"/>
      <c r="CB234" s="40"/>
      <c r="CC234" s="5"/>
      <c r="CE234" s="40"/>
      <c r="CF234" s="5"/>
      <c r="CH234" s="40"/>
      <c r="CI234" s="5"/>
      <c r="CK234" s="40"/>
      <c r="CL234" s="5"/>
      <c r="CN234" s="40"/>
      <c r="CO234" s="5"/>
      <c r="CQ234" s="40"/>
      <c r="CR234" s="5"/>
    </row>
    <row r="235">
      <c r="AO235" s="40"/>
      <c r="AP235" s="5"/>
      <c r="AR235" s="40"/>
      <c r="AS235" s="5"/>
      <c r="AU235" s="40"/>
      <c r="AV235" s="5"/>
      <c r="AX235" s="40"/>
      <c r="AY235" s="5"/>
      <c r="BA235" s="40"/>
      <c r="BB235" s="5"/>
      <c r="BD235" s="40"/>
      <c r="BE235" s="5"/>
      <c r="BG235" s="40"/>
      <c r="BH235" s="5"/>
      <c r="BJ235" s="40"/>
      <c r="BK235" s="5"/>
      <c r="BM235" s="40"/>
      <c r="BN235" s="5"/>
      <c r="BP235" s="40"/>
      <c r="BQ235" s="5"/>
      <c r="BS235" s="40"/>
      <c r="BT235" s="5"/>
      <c r="BV235" s="40"/>
      <c r="BW235" s="5"/>
      <c r="BY235" s="40"/>
      <c r="BZ235" s="5"/>
      <c r="CB235" s="40"/>
      <c r="CC235" s="5"/>
      <c r="CE235" s="40"/>
      <c r="CF235" s="5"/>
      <c r="CH235" s="40"/>
      <c r="CI235" s="5"/>
      <c r="CK235" s="40"/>
      <c r="CL235" s="5"/>
      <c r="CN235" s="40"/>
      <c r="CO235" s="5"/>
      <c r="CQ235" s="40"/>
      <c r="CR235" s="5"/>
    </row>
    <row r="236">
      <c r="AO236" s="40"/>
      <c r="AP236" s="5"/>
      <c r="AR236" s="40"/>
      <c r="AS236" s="5"/>
      <c r="AU236" s="40"/>
      <c r="AV236" s="5"/>
      <c r="AX236" s="40"/>
      <c r="AY236" s="5"/>
      <c r="BA236" s="40"/>
      <c r="BB236" s="5"/>
      <c r="BD236" s="40"/>
      <c r="BE236" s="5"/>
      <c r="BG236" s="40"/>
      <c r="BH236" s="5"/>
      <c r="BJ236" s="40"/>
      <c r="BK236" s="5"/>
      <c r="BM236" s="40"/>
      <c r="BN236" s="5"/>
      <c r="BP236" s="40"/>
      <c r="BQ236" s="5"/>
      <c r="BS236" s="40"/>
      <c r="BT236" s="5"/>
      <c r="BV236" s="40"/>
      <c r="BW236" s="5"/>
      <c r="BY236" s="40"/>
      <c r="BZ236" s="5"/>
      <c r="CB236" s="40"/>
      <c r="CC236" s="5"/>
      <c r="CE236" s="40"/>
      <c r="CF236" s="5"/>
      <c r="CH236" s="40"/>
      <c r="CI236" s="5"/>
      <c r="CK236" s="40"/>
      <c r="CL236" s="5"/>
      <c r="CN236" s="40"/>
      <c r="CO236" s="5"/>
      <c r="CQ236" s="40"/>
      <c r="CR236" s="5"/>
    </row>
    <row r="237">
      <c r="AO237" s="40"/>
      <c r="AP237" s="5"/>
      <c r="AR237" s="40"/>
      <c r="AS237" s="5"/>
      <c r="AU237" s="40"/>
      <c r="AV237" s="5"/>
      <c r="AX237" s="40"/>
      <c r="AY237" s="5"/>
      <c r="BA237" s="40"/>
      <c r="BB237" s="5"/>
      <c r="BD237" s="40"/>
      <c r="BE237" s="5"/>
      <c r="BG237" s="40"/>
      <c r="BH237" s="5"/>
      <c r="BJ237" s="40"/>
      <c r="BK237" s="5"/>
      <c r="BM237" s="40"/>
      <c r="BN237" s="5"/>
      <c r="BP237" s="40"/>
      <c r="BQ237" s="5"/>
      <c r="BS237" s="40"/>
      <c r="BT237" s="5"/>
      <c r="BV237" s="40"/>
      <c r="BW237" s="5"/>
      <c r="BY237" s="40"/>
      <c r="BZ237" s="5"/>
      <c r="CB237" s="40"/>
      <c r="CC237" s="5"/>
      <c r="CE237" s="40"/>
      <c r="CF237" s="5"/>
      <c r="CH237" s="40"/>
      <c r="CI237" s="5"/>
      <c r="CK237" s="40"/>
      <c r="CL237" s="5"/>
      <c r="CN237" s="40"/>
      <c r="CO237" s="5"/>
      <c r="CQ237" s="40"/>
      <c r="CR237" s="5"/>
    </row>
    <row r="238">
      <c r="AO238" s="40"/>
      <c r="AP238" s="5"/>
      <c r="AR238" s="40"/>
      <c r="AS238" s="5"/>
      <c r="AU238" s="40"/>
      <c r="AV238" s="5"/>
      <c r="AX238" s="40"/>
      <c r="AY238" s="5"/>
      <c r="BA238" s="40"/>
      <c r="BB238" s="5"/>
      <c r="BD238" s="40"/>
      <c r="BE238" s="5"/>
      <c r="BG238" s="40"/>
      <c r="BH238" s="5"/>
      <c r="BJ238" s="40"/>
      <c r="BK238" s="5"/>
      <c r="BM238" s="40"/>
      <c r="BN238" s="5"/>
      <c r="BP238" s="40"/>
      <c r="BQ238" s="5"/>
      <c r="BS238" s="40"/>
      <c r="BT238" s="5"/>
      <c r="BV238" s="40"/>
      <c r="BW238" s="5"/>
      <c r="BY238" s="40"/>
      <c r="BZ238" s="5"/>
      <c r="CB238" s="40"/>
      <c r="CC238" s="5"/>
      <c r="CE238" s="40"/>
      <c r="CF238" s="5"/>
      <c r="CH238" s="40"/>
      <c r="CI238" s="5"/>
      <c r="CK238" s="40"/>
      <c r="CL238" s="5"/>
      <c r="CN238" s="40"/>
      <c r="CO238" s="5"/>
      <c r="CQ238" s="40"/>
      <c r="CR238" s="5"/>
    </row>
    <row r="239">
      <c r="AO239" s="40"/>
      <c r="AP239" s="5"/>
      <c r="AR239" s="40"/>
      <c r="AS239" s="5"/>
      <c r="AU239" s="40"/>
      <c r="AV239" s="5"/>
      <c r="AX239" s="40"/>
      <c r="AY239" s="5"/>
      <c r="BA239" s="40"/>
      <c r="BB239" s="5"/>
      <c r="BD239" s="40"/>
      <c r="BE239" s="5"/>
      <c r="BG239" s="40"/>
      <c r="BH239" s="5"/>
      <c r="BJ239" s="40"/>
      <c r="BK239" s="5"/>
      <c r="BM239" s="40"/>
      <c r="BN239" s="5"/>
      <c r="BP239" s="40"/>
      <c r="BQ239" s="5"/>
      <c r="BS239" s="40"/>
      <c r="BT239" s="5"/>
      <c r="BV239" s="40"/>
      <c r="BW239" s="5"/>
      <c r="BY239" s="40"/>
      <c r="BZ239" s="5"/>
      <c r="CB239" s="40"/>
      <c r="CC239" s="5"/>
      <c r="CE239" s="40"/>
      <c r="CF239" s="5"/>
      <c r="CH239" s="40"/>
      <c r="CI239" s="5"/>
      <c r="CK239" s="40"/>
      <c r="CL239" s="5"/>
      <c r="CN239" s="40"/>
      <c r="CO239" s="5"/>
      <c r="CQ239" s="40"/>
      <c r="CR239" s="5"/>
    </row>
    <row r="240">
      <c r="AO240" s="40"/>
      <c r="AP240" s="5"/>
      <c r="AR240" s="40"/>
      <c r="AS240" s="5"/>
      <c r="AU240" s="40"/>
      <c r="AV240" s="5"/>
      <c r="AX240" s="40"/>
      <c r="AY240" s="5"/>
      <c r="BA240" s="40"/>
      <c r="BB240" s="5"/>
      <c r="BD240" s="40"/>
      <c r="BE240" s="5"/>
      <c r="BG240" s="40"/>
      <c r="BH240" s="5"/>
      <c r="BJ240" s="40"/>
      <c r="BK240" s="5"/>
      <c r="BM240" s="40"/>
      <c r="BN240" s="5"/>
      <c r="BP240" s="40"/>
      <c r="BQ240" s="5"/>
      <c r="BS240" s="40"/>
      <c r="BT240" s="5"/>
      <c r="BV240" s="40"/>
      <c r="BW240" s="5"/>
      <c r="BY240" s="40"/>
      <c r="BZ240" s="5"/>
      <c r="CB240" s="40"/>
      <c r="CC240" s="5"/>
      <c r="CE240" s="40"/>
      <c r="CF240" s="5"/>
      <c r="CH240" s="40"/>
      <c r="CI240" s="5"/>
      <c r="CK240" s="40"/>
      <c r="CL240" s="5"/>
      <c r="CN240" s="40"/>
      <c r="CO240" s="5"/>
      <c r="CQ240" s="40"/>
      <c r="CR240" s="5"/>
    </row>
    <row r="241">
      <c r="AO241" s="40"/>
      <c r="AP241" s="5"/>
      <c r="AR241" s="40"/>
      <c r="AS241" s="5"/>
      <c r="AU241" s="40"/>
      <c r="AV241" s="5"/>
      <c r="AX241" s="40"/>
      <c r="AY241" s="5"/>
      <c r="BA241" s="40"/>
      <c r="BB241" s="5"/>
      <c r="BD241" s="40"/>
      <c r="BE241" s="5"/>
      <c r="BG241" s="40"/>
      <c r="BH241" s="5"/>
      <c r="BJ241" s="40"/>
      <c r="BK241" s="5"/>
      <c r="BM241" s="40"/>
      <c r="BN241" s="5"/>
      <c r="BP241" s="40"/>
      <c r="BQ241" s="5"/>
      <c r="BS241" s="40"/>
      <c r="BT241" s="5"/>
      <c r="BV241" s="40"/>
      <c r="BW241" s="5"/>
      <c r="BY241" s="40"/>
      <c r="BZ241" s="5"/>
      <c r="CB241" s="40"/>
      <c r="CC241" s="5"/>
      <c r="CE241" s="40"/>
      <c r="CF241" s="5"/>
      <c r="CH241" s="40"/>
      <c r="CI241" s="5"/>
      <c r="CK241" s="40"/>
      <c r="CL241" s="5"/>
      <c r="CN241" s="40"/>
      <c r="CO241" s="5"/>
      <c r="CQ241" s="40"/>
      <c r="CR241" s="5"/>
    </row>
    <row r="242">
      <c r="AO242" s="40"/>
      <c r="AP242" s="5"/>
      <c r="AR242" s="40"/>
      <c r="AS242" s="5"/>
      <c r="AU242" s="40"/>
      <c r="AV242" s="5"/>
      <c r="AX242" s="40"/>
      <c r="AY242" s="5"/>
      <c r="BA242" s="40"/>
      <c r="BB242" s="5"/>
      <c r="BD242" s="40"/>
      <c r="BE242" s="5"/>
      <c r="BG242" s="40"/>
      <c r="BH242" s="5"/>
      <c r="BJ242" s="40"/>
      <c r="BK242" s="5"/>
      <c r="BM242" s="40"/>
      <c r="BN242" s="5"/>
      <c r="BP242" s="40"/>
      <c r="BQ242" s="5"/>
      <c r="BS242" s="40"/>
      <c r="BT242" s="5"/>
      <c r="BV242" s="40"/>
      <c r="BW242" s="5"/>
      <c r="BY242" s="40"/>
      <c r="BZ242" s="5"/>
      <c r="CB242" s="40"/>
      <c r="CC242" s="5"/>
      <c r="CE242" s="40"/>
      <c r="CF242" s="5"/>
      <c r="CH242" s="40"/>
      <c r="CI242" s="5"/>
      <c r="CK242" s="40"/>
      <c r="CL242" s="5"/>
      <c r="CN242" s="40"/>
      <c r="CO242" s="5"/>
      <c r="CQ242" s="40"/>
      <c r="CR242" s="5"/>
    </row>
    <row r="243">
      <c r="AO243" s="40"/>
      <c r="AP243" s="5"/>
      <c r="AR243" s="40"/>
      <c r="AS243" s="5"/>
      <c r="AU243" s="40"/>
      <c r="AV243" s="5"/>
      <c r="AX243" s="40"/>
      <c r="AY243" s="5"/>
      <c r="BA243" s="40"/>
      <c r="BB243" s="5"/>
      <c r="BD243" s="40"/>
      <c r="BE243" s="5"/>
      <c r="BG243" s="40"/>
      <c r="BH243" s="5"/>
      <c r="BJ243" s="40"/>
      <c r="BK243" s="5"/>
      <c r="BM243" s="40"/>
      <c r="BN243" s="5"/>
      <c r="BP243" s="40"/>
      <c r="BQ243" s="5"/>
      <c r="BS243" s="40"/>
      <c r="BT243" s="5"/>
      <c r="BV243" s="40"/>
      <c r="BW243" s="5"/>
      <c r="BY243" s="40"/>
      <c r="BZ243" s="5"/>
      <c r="CB243" s="40"/>
      <c r="CC243" s="5"/>
      <c r="CE243" s="40"/>
      <c r="CF243" s="5"/>
      <c r="CH243" s="40"/>
      <c r="CI243" s="5"/>
      <c r="CK243" s="40"/>
      <c r="CL243" s="5"/>
      <c r="CN243" s="40"/>
      <c r="CO243" s="5"/>
      <c r="CQ243" s="40"/>
      <c r="CR243" s="5"/>
    </row>
    <row r="244">
      <c r="AO244" s="40"/>
      <c r="AP244" s="5"/>
      <c r="AR244" s="40"/>
      <c r="AS244" s="5"/>
      <c r="AU244" s="40"/>
      <c r="AV244" s="5"/>
      <c r="AX244" s="40"/>
      <c r="AY244" s="5"/>
      <c r="BA244" s="40"/>
      <c r="BB244" s="5"/>
      <c r="BD244" s="40"/>
      <c r="BE244" s="5"/>
      <c r="BG244" s="40"/>
      <c r="BH244" s="5"/>
      <c r="BJ244" s="40"/>
      <c r="BK244" s="5"/>
      <c r="BM244" s="40"/>
      <c r="BN244" s="5"/>
      <c r="BP244" s="40"/>
      <c r="BQ244" s="5"/>
      <c r="BS244" s="40"/>
      <c r="BT244" s="5"/>
      <c r="BV244" s="40"/>
      <c r="BW244" s="5"/>
      <c r="BY244" s="40"/>
      <c r="BZ244" s="5"/>
      <c r="CB244" s="40"/>
      <c r="CC244" s="5"/>
      <c r="CE244" s="40"/>
      <c r="CF244" s="5"/>
      <c r="CH244" s="40"/>
      <c r="CI244" s="5"/>
      <c r="CK244" s="40"/>
      <c r="CL244" s="5"/>
      <c r="CN244" s="40"/>
      <c r="CO244" s="5"/>
      <c r="CQ244" s="40"/>
      <c r="CR244" s="5"/>
    </row>
    <row r="245">
      <c r="AO245" s="40"/>
      <c r="AP245" s="5"/>
      <c r="AR245" s="40"/>
      <c r="AS245" s="5"/>
      <c r="AU245" s="40"/>
      <c r="AV245" s="5"/>
      <c r="AX245" s="40"/>
      <c r="AY245" s="5"/>
      <c r="BA245" s="40"/>
      <c r="BB245" s="5"/>
      <c r="BD245" s="40"/>
      <c r="BE245" s="5"/>
      <c r="BG245" s="40"/>
      <c r="BH245" s="5"/>
      <c r="BJ245" s="40"/>
      <c r="BK245" s="5"/>
      <c r="BM245" s="40"/>
      <c r="BN245" s="5"/>
      <c r="BP245" s="40"/>
      <c r="BQ245" s="5"/>
      <c r="BS245" s="40"/>
      <c r="BT245" s="5"/>
      <c r="BV245" s="40"/>
      <c r="BW245" s="5"/>
      <c r="BY245" s="40"/>
      <c r="BZ245" s="5"/>
      <c r="CB245" s="40"/>
      <c r="CC245" s="5"/>
      <c r="CE245" s="40"/>
      <c r="CF245" s="5"/>
      <c r="CH245" s="40"/>
      <c r="CI245" s="5"/>
      <c r="CK245" s="40"/>
      <c r="CL245" s="5"/>
      <c r="CN245" s="40"/>
      <c r="CO245" s="5"/>
      <c r="CQ245" s="40"/>
      <c r="CR245" s="5"/>
    </row>
    <row r="246">
      <c r="AO246" s="40"/>
      <c r="AP246" s="5"/>
      <c r="AR246" s="40"/>
      <c r="AS246" s="5"/>
      <c r="AU246" s="40"/>
      <c r="AV246" s="5"/>
      <c r="AX246" s="40"/>
      <c r="AY246" s="5"/>
      <c r="BA246" s="40"/>
      <c r="BB246" s="5"/>
      <c r="BD246" s="40"/>
      <c r="BE246" s="5"/>
      <c r="BG246" s="40"/>
      <c r="BH246" s="5"/>
      <c r="BJ246" s="40"/>
      <c r="BK246" s="5"/>
      <c r="BM246" s="40"/>
      <c r="BN246" s="5"/>
      <c r="BP246" s="40"/>
      <c r="BQ246" s="5"/>
      <c r="BS246" s="40"/>
      <c r="BT246" s="5"/>
      <c r="BV246" s="40"/>
      <c r="BW246" s="5"/>
      <c r="BY246" s="40"/>
      <c r="BZ246" s="5"/>
      <c r="CB246" s="40"/>
      <c r="CC246" s="5"/>
      <c r="CE246" s="40"/>
      <c r="CF246" s="5"/>
      <c r="CH246" s="40"/>
      <c r="CI246" s="5"/>
      <c r="CK246" s="40"/>
      <c r="CL246" s="5"/>
      <c r="CN246" s="40"/>
      <c r="CO246" s="5"/>
      <c r="CQ246" s="40"/>
      <c r="CR246" s="5"/>
    </row>
    <row r="247">
      <c r="AO247" s="40"/>
      <c r="AP247" s="5"/>
      <c r="AR247" s="40"/>
      <c r="AS247" s="5"/>
      <c r="AU247" s="40"/>
      <c r="AV247" s="5"/>
      <c r="AX247" s="40"/>
      <c r="AY247" s="5"/>
      <c r="BA247" s="40"/>
      <c r="BB247" s="5"/>
      <c r="BD247" s="40"/>
      <c r="BE247" s="5"/>
      <c r="BG247" s="40"/>
      <c r="BH247" s="5"/>
      <c r="BJ247" s="40"/>
      <c r="BK247" s="5"/>
      <c r="BM247" s="40"/>
      <c r="BN247" s="5"/>
      <c r="BP247" s="40"/>
      <c r="BQ247" s="5"/>
      <c r="BS247" s="40"/>
      <c r="BT247" s="5"/>
      <c r="BV247" s="40"/>
      <c r="BW247" s="5"/>
      <c r="BY247" s="40"/>
      <c r="BZ247" s="5"/>
      <c r="CB247" s="40"/>
      <c r="CC247" s="5"/>
      <c r="CE247" s="40"/>
      <c r="CF247" s="5"/>
      <c r="CH247" s="40"/>
      <c r="CI247" s="5"/>
      <c r="CK247" s="40"/>
      <c r="CL247" s="5"/>
      <c r="CN247" s="40"/>
      <c r="CO247" s="5"/>
      <c r="CQ247" s="40"/>
      <c r="CR247" s="5"/>
    </row>
    <row r="248">
      <c r="AO248" s="40"/>
      <c r="AP248" s="5"/>
      <c r="AR248" s="40"/>
      <c r="AS248" s="5"/>
      <c r="AU248" s="40"/>
      <c r="AV248" s="5"/>
      <c r="AX248" s="40"/>
      <c r="AY248" s="5"/>
      <c r="BA248" s="40"/>
      <c r="BB248" s="5"/>
      <c r="BD248" s="40"/>
      <c r="BE248" s="5"/>
      <c r="BG248" s="40"/>
      <c r="BH248" s="5"/>
      <c r="BJ248" s="40"/>
      <c r="BK248" s="5"/>
      <c r="BM248" s="40"/>
      <c r="BN248" s="5"/>
      <c r="BP248" s="40"/>
      <c r="BQ248" s="5"/>
      <c r="BS248" s="40"/>
      <c r="BT248" s="5"/>
      <c r="BV248" s="40"/>
      <c r="BW248" s="5"/>
      <c r="BY248" s="40"/>
      <c r="BZ248" s="5"/>
      <c r="CB248" s="40"/>
      <c r="CC248" s="5"/>
      <c r="CE248" s="40"/>
      <c r="CF248" s="5"/>
      <c r="CH248" s="40"/>
      <c r="CI248" s="5"/>
      <c r="CK248" s="40"/>
      <c r="CL248" s="5"/>
      <c r="CN248" s="40"/>
      <c r="CO248" s="5"/>
      <c r="CQ248" s="40"/>
      <c r="CR248" s="5"/>
    </row>
    <row r="249">
      <c r="AO249" s="40"/>
      <c r="AP249" s="5"/>
      <c r="AR249" s="40"/>
      <c r="AS249" s="5"/>
      <c r="AU249" s="40"/>
      <c r="AV249" s="5"/>
      <c r="AX249" s="40"/>
      <c r="AY249" s="5"/>
      <c r="BA249" s="40"/>
      <c r="BB249" s="5"/>
      <c r="BD249" s="40"/>
      <c r="BE249" s="5"/>
      <c r="BG249" s="40"/>
      <c r="BH249" s="5"/>
      <c r="BJ249" s="40"/>
      <c r="BK249" s="5"/>
      <c r="BM249" s="40"/>
      <c r="BN249" s="5"/>
      <c r="BP249" s="40"/>
      <c r="BQ249" s="5"/>
      <c r="BS249" s="40"/>
      <c r="BT249" s="5"/>
      <c r="BV249" s="40"/>
      <c r="BW249" s="5"/>
      <c r="BY249" s="40"/>
      <c r="BZ249" s="5"/>
      <c r="CB249" s="40"/>
      <c r="CC249" s="5"/>
      <c r="CE249" s="40"/>
      <c r="CF249" s="5"/>
      <c r="CH249" s="40"/>
      <c r="CI249" s="5"/>
      <c r="CK249" s="40"/>
      <c r="CL249" s="5"/>
      <c r="CN249" s="40"/>
      <c r="CO249" s="5"/>
      <c r="CQ249" s="40"/>
      <c r="CR249" s="5"/>
    </row>
    <row r="250">
      <c r="AO250" s="40"/>
      <c r="AP250" s="5"/>
      <c r="AR250" s="40"/>
      <c r="AS250" s="5"/>
      <c r="AU250" s="40"/>
      <c r="AV250" s="5"/>
      <c r="AX250" s="40"/>
      <c r="AY250" s="5"/>
      <c r="BA250" s="40"/>
      <c r="BB250" s="5"/>
      <c r="BD250" s="40"/>
      <c r="BE250" s="5"/>
      <c r="BG250" s="40"/>
      <c r="BH250" s="5"/>
      <c r="BJ250" s="40"/>
      <c r="BK250" s="5"/>
      <c r="BM250" s="40"/>
      <c r="BN250" s="5"/>
      <c r="BP250" s="40"/>
      <c r="BQ250" s="5"/>
      <c r="BS250" s="40"/>
      <c r="BT250" s="5"/>
      <c r="BV250" s="40"/>
      <c r="BW250" s="5"/>
      <c r="BY250" s="40"/>
      <c r="BZ250" s="5"/>
      <c r="CB250" s="40"/>
      <c r="CC250" s="5"/>
      <c r="CE250" s="40"/>
      <c r="CF250" s="5"/>
      <c r="CH250" s="40"/>
      <c r="CI250" s="5"/>
      <c r="CK250" s="40"/>
      <c r="CL250" s="5"/>
      <c r="CN250" s="40"/>
      <c r="CO250" s="5"/>
      <c r="CQ250" s="40"/>
      <c r="CR250" s="5"/>
    </row>
    <row r="251">
      <c r="AO251" s="40"/>
      <c r="AP251" s="5"/>
      <c r="AR251" s="40"/>
      <c r="AS251" s="5"/>
      <c r="AU251" s="40"/>
      <c r="AV251" s="5"/>
      <c r="AX251" s="40"/>
      <c r="AY251" s="5"/>
      <c r="BA251" s="40"/>
      <c r="BB251" s="5"/>
      <c r="BD251" s="40"/>
      <c r="BE251" s="5"/>
      <c r="BG251" s="40"/>
      <c r="BH251" s="5"/>
      <c r="BJ251" s="40"/>
      <c r="BK251" s="5"/>
      <c r="BM251" s="40"/>
      <c r="BN251" s="5"/>
      <c r="BP251" s="40"/>
      <c r="BQ251" s="5"/>
      <c r="BS251" s="40"/>
      <c r="BT251" s="5"/>
      <c r="BV251" s="40"/>
      <c r="BW251" s="5"/>
      <c r="BY251" s="40"/>
      <c r="BZ251" s="5"/>
      <c r="CB251" s="40"/>
      <c r="CC251" s="5"/>
      <c r="CE251" s="40"/>
      <c r="CF251" s="5"/>
      <c r="CH251" s="40"/>
      <c r="CI251" s="5"/>
      <c r="CK251" s="40"/>
      <c r="CL251" s="5"/>
      <c r="CN251" s="40"/>
      <c r="CO251" s="5"/>
      <c r="CQ251" s="40"/>
      <c r="CR251" s="5"/>
    </row>
    <row r="252">
      <c r="AO252" s="40"/>
      <c r="AP252" s="5"/>
      <c r="AR252" s="40"/>
      <c r="AS252" s="5"/>
      <c r="AU252" s="40"/>
      <c r="AV252" s="5"/>
      <c r="AX252" s="40"/>
      <c r="AY252" s="5"/>
      <c r="BA252" s="40"/>
      <c r="BB252" s="5"/>
      <c r="BD252" s="40"/>
      <c r="BE252" s="5"/>
      <c r="BG252" s="40"/>
      <c r="BH252" s="5"/>
      <c r="BJ252" s="40"/>
      <c r="BK252" s="5"/>
      <c r="BM252" s="40"/>
      <c r="BN252" s="5"/>
      <c r="BP252" s="40"/>
      <c r="BQ252" s="5"/>
      <c r="BS252" s="40"/>
      <c r="BT252" s="5"/>
      <c r="BV252" s="40"/>
      <c r="BW252" s="5"/>
      <c r="BY252" s="40"/>
      <c r="BZ252" s="5"/>
      <c r="CB252" s="40"/>
      <c r="CC252" s="5"/>
      <c r="CE252" s="40"/>
      <c r="CF252" s="5"/>
      <c r="CH252" s="40"/>
      <c r="CI252" s="5"/>
      <c r="CK252" s="40"/>
      <c r="CL252" s="5"/>
      <c r="CN252" s="40"/>
      <c r="CO252" s="5"/>
      <c r="CQ252" s="40"/>
      <c r="CR252" s="5"/>
    </row>
    <row r="253">
      <c r="AO253" s="40"/>
      <c r="AP253" s="5"/>
      <c r="AR253" s="40"/>
      <c r="AS253" s="5"/>
      <c r="AU253" s="40"/>
      <c r="AV253" s="5"/>
      <c r="AX253" s="40"/>
      <c r="AY253" s="5"/>
      <c r="BA253" s="40"/>
      <c r="BB253" s="5"/>
      <c r="BD253" s="40"/>
      <c r="BE253" s="5"/>
      <c r="BG253" s="40"/>
      <c r="BH253" s="5"/>
      <c r="BJ253" s="40"/>
      <c r="BK253" s="5"/>
      <c r="BM253" s="40"/>
      <c r="BN253" s="5"/>
      <c r="BP253" s="40"/>
      <c r="BQ253" s="5"/>
      <c r="BS253" s="40"/>
      <c r="BT253" s="5"/>
      <c r="BV253" s="40"/>
      <c r="BW253" s="5"/>
      <c r="BY253" s="40"/>
      <c r="BZ253" s="5"/>
      <c r="CB253" s="40"/>
      <c r="CC253" s="5"/>
      <c r="CE253" s="40"/>
      <c r="CF253" s="5"/>
      <c r="CH253" s="40"/>
      <c r="CI253" s="5"/>
      <c r="CK253" s="40"/>
      <c r="CL253" s="5"/>
      <c r="CN253" s="40"/>
      <c r="CO253" s="5"/>
      <c r="CQ253" s="40"/>
      <c r="CR253" s="5"/>
    </row>
    <row r="254">
      <c r="AO254" s="40"/>
      <c r="AP254" s="5"/>
      <c r="AR254" s="40"/>
      <c r="AS254" s="5"/>
      <c r="AU254" s="40"/>
      <c r="AV254" s="5"/>
      <c r="AX254" s="40"/>
      <c r="AY254" s="5"/>
      <c r="BA254" s="40"/>
      <c r="BB254" s="5"/>
      <c r="BD254" s="40"/>
      <c r="BE254" s="5"/>
      <c r="BG254" s="40"/>
      <c r="BH254" s="5"/>
      <c r="BJ254" s="40"/>
      <c r="BK254" s="5"/>
      <c r="BM254" s="40"/>
      <c r="BN254" s="5"/>
      <c r="BP254" s="40"/>
      <c r="BQ254" s="5"/>
      <c r="BS254" s="40"/>
      <c r="BT254" s="5"/>
      <c r="BV254" s="40"/>
      <c r="BW254" s="5"/>
      <c r="BY254" s="40"/>
      <c r="BZ254" s="5"/>
      <c r="CB254" s="40"/>
      <c r="CC254" s="5"/>
      <c r="CE254" s="40"/>
      <c r="CF254" s="5"/>
      <c r="CH254" s="40"/>
      <c r="CI254" s="5"/>
      <c r="CK254" s="40"/>
      <c r="CL254" s="5"/>
      <c r="CN254" s="40"/>
      <c r="CO254" s="5"/>
      <c r="CQ254" s="40"/>
      <c r="CR254" s="5"/>
    </row>
    <row r="255">
      <c r="AO255" s="40"/>
      <c r="AP255" s="5"/>
      <c r="AR255" s="40"/>
      <c r="AS255" s="5"/>
      <c r="AU255" s="40"/>
      <c r="AV255" s="5"/>
      <c r="AX255" s="40"/>
      <c r="AY255" s="5"/>
      <c r="BA255" s="40"/>
      <c r="BB255" s="5"/>
      <c r="BD255" s="40"/>
      <c r="BE255" s="5"/>
      <c r="BG255" s="40"/>
      <c r="BH255" s="5"/>
      <c r="BJ255" s="40"/>
      <c r="BK255" s="5"/>
      <c r="BM255" s="40"/>
      <c r="BN255" s="5"/>
      <c r="BP255" s="40"/>
      <c r="BQ255" s="5"/>
      <c r="BS255" s="40"/>
      <c r="BT255" s="5"/>
      <c r="BV255" s="40"/>
      <c r="BW255" s="5"/>
      <c r="BY255" s="40"/>
      <c r="BZ255" s="5"/>
      <c r="CB255" s="40"/>
      <c r="CC255" s="5"/>
      <c r="CE255" s="40"/>
      <c r="CF255" s="5"/>
      <c r="CH255" s="40"/>
      <c r="CI255" s="5"/>
      <c r="CK255" s="40"/>
      <c r="CL255" s="5"/>
      <c r="CN255" s="40"/>
      <c r="CO255" s="5"/>
      <c r="CQ255" s="40"/>
      <c r="CR255" s="5"/>
    </row>
    <row r="256">
      <c r="AO256" s="40"/>
      <c r="AP256" s="5"/>
      <c r="AR256" s="40"/>
      <c r="AS256" s="5"/>
      <c r="AU256" s="40"/>
      <c r="AV256" s="5"/>
      <c r="AX256" s="40"/>
      <c r="AY256" s="5"/>
      <c r="BA256" s="40"/>
      <c r="BB256" s="5"/>
      <c r="BD256" s="40"/>
      <c r="BE256" s="5"/>
      <c r="BG256" s="40"/>
      <c r="BH256" s="5"/>
      <c r="BJ256" s="40"/>
      <c r="BK256" s="5"/>
      <c r="BM256" s="40"/>
      <c r="BN256" s="5"/>
      <c r="BP256" s="40"/>
      <c r="BQ256" s="5"/>
      <c r="BS256" s="40"/>
      <c r="BT256" s="5"/>
      <c r="BV256" s="40"/>
      <c r="BW256" s="5"/>
      <c r="BY256" s="40"/>
      <c r="BZ256" s="5"/>
      <c r="CB256" s="40"/>
      <c r="CC256" s="5"/>
      <c r="CE256" s="40"/>
      <c r="CF256" s="5"/>
      <c r="CH256" s="40"/>
      <c r="CI256" s="5"/>
      <c r="CK256" s="40"/>
      <c r="CL256" s="5"/>
      <c r="CN256" s="40"/>
      <c r="CO256" s="5"/>
      <c r="CQ256" s="40"/>
      <c r="CR256" s="5"/>
    </row>
    <row r="257">
      <c r="AO257" s="40"/>
      <c r="AP257" s="5"/>
      <c r="AR257" s="40"/>
      <c r="AS257" s="5"/>
      <c r="AU257" s="40"/>
      <c r="AV257" s="5"/>
      <c r="AX257" s="40"/>
      <c r="AY257" s="5"/>
      <c r="BA257" s="40"/>
      <c r="BB257" s="5"/>
      <c r="BD257" s="40"/>
      <c r="BE257" s="5"/>
      <c r="BG257" s="40"/>
      <c r="BH257" s="5"/>
      <c r="BJ257" s="40"/>
      <c r="BK257" s="5"/>
      <c r="BM257" s="40"/>
      <c r="BN257" s="5"/>
      <c r="BP257" s="40"/>
      <c r="BQ257" s="5"/>
      <c r="BS257" s="40"/>
      <c r="BT257" s="5"/>
      <c r="BV257" s="40"/>
      <c r="BW257" s="5"/>
      <c r="BY257" s="40"/>
      <c r="BZ257" s="5"/>
      <c r="CB257" s="40"/>
      <c r="CC257" s="5"/>
      <c r="CE257" s="40"/>
      <c r="CF257" s="5"/>
      <c r="CH257" s="40"/>
      <c r="CI257" s="5"/>
      <c r="CK257" s="40"/>
      <c r="CL257" s="5"/>
      <c r="CN257" s="40"/>
      <c r="CO257" s="5"/>
      <c r="CQ257" s="40"/>
      <c r="CR257" s="5"/>
    </row>
    <row r="258">
      <c r="AO258" s="40"/>
      <c r="AP258" s="5"/>
      <c r="AR258" s="40"/>
      <c r="AS258" s="5"/>
      <c r="AU258" s="40"/>
      <c r="AV258" s="5"/>
      <c r="AX258" s="40"/>
      <c r="AY258" s="5"/>
      <c r="BA258" s="40"/>
      <c r="BB258" s="5"/>
      <c r="BD258" s="40"/>
      <c r="BE258" s="5"/>
      <c r="BG258" s="40"/>
      <c r="BH258" s="5"/>
      <c r="BJ258" s="40"/>
      <c r="BK258" s="5"/>
      <c r="BM258" s="40"/>
      <c r="BN258" s="5"/>
      <c r="BP258" s="40"/>
      <c r="BQ258" s="5"/>
      <c r="BS258" s="40"/>
      <c r="BT258" s="5"/>
      <c r="BV258" s="40"/>
      <c r="BW258" s="5"/>
      <c r="BY258" s="40"/>
      <c r="BZ258" s="5"/>
      <c r="CB258" s="40"/>
      <c r="CC258" s="5"/>
      <c r="CE258" s="40"/>
      <c r="CF258" s="5"/>
      <c r="CH258" s="40"/>
      <c r="CI258" s="5"/>
      <c r="CK258" s="40"/>
      <c r="CL258" s="5"/>
      <c r="CN258" s="40"/>
      <c r="CO258" s="5"/>
      <c r="CQ258" s="40"/>
      <c r="CR258" s="5"/>
    </row>
    <row r="259">
      <c r="AO259" s="40"/>
      <c r="AP259" s="5"/>
      <c r="AR259" s="40"/>
      <c r="AS259" s="5"/>
      <c r="AU259" s="40"/>
      <c r="AV259" s="5"/>
      <c r="AX259" s="40"/>
      <c r="AY259" s="5"/>
      <c r="BA259" s="40"/>
      <c r="BB259" s="5"/>
      <c r="BD259" s="40"/>
      <c r="BE259" s="5"/>
      <c r="BG259" s="40"/>
      <c r="BH259" s="5"/>
      <c r="BJ259" s="40"/>
      <c r="BK259" s="5"/>
      <c r="BM259" s="40"/>
      <c r="BN259" s="5"/>
      <c r="BP259" s="40"/>
      <c r="BQ259" s="5"/>
      <c r="BS259" s="40"/>
      <c r="BT259" s="5"/>
      <c r="BV259" s="40"/>
      <c r="BW259" s="5"/>
      <c r="BY259" s="40"/>
      <c r="BZ259" s="5"/>
      <c r="CB259" s="40"/>
      <c r="CC259" s="5"/>
      <c r="CE259" s="40"/>
      <c r="CF259" s="5"/>
      <c r="CH259" s="40"/>
      <c r="CI259" s="5"/>
      <c r="CK259" s="40"/>
      <c r="CL259" s="5"/>
      <c r="CN259" s="40"/>
      <c r="CO259" s="5"/>
      <c r="CQ259" s="40"/>
      <c r="CR259" s="5"/>
    </row>
    <row r="260">
      <c r="AO260" s="40"/>
      <c r="AP260" s="5"/>
      <c r="AR260" s="40"/>
      <c r="AS260" s="5"/>
      <c r="AU260" s="40"/>
      <c r="AV260" s="5"/>
      <c r="AX260" s="40"/>
      <c r="AY260" s="5"/>
      <c r="BA260" s="40"/>
      <c r="BB260" s="5"/>
      <c r="BD260" s="40"/>
      <c r="BE260" s="5"/>
      <c r="BG260" s="40"/>
      <c r="BH260" s="5"/>
      <c r="BJ260" s="40"/>
      <c r="BK260" s="5"/>
      <c r="BM260" s="40"/>
      <c r="BN260" s="5"/>
      <c r="BP260" s="40"/>
      <c r="BQ260" s="5"/>
      <c r="BS260" s="40"/>
      <c r="BT260" s="5"/>
      <c r="BV260" s="40"/>
      <c r="BW260" s="5"/>
      <c r="BY260" s="40"/>
      <c r="BZ260" s="5"/>
      <c r="CB260" s="40"/>
      <c r="CC260" s="5"/>
      <c r="CE260" s="40"/>
      <c r="CF260" s="5"/>
      <c r="CH260" s="40"/>
      <c r="CI260" s="5"/>
      <c r="CK260" s="40"/>
      <c r="CL260" s="5"/>
      <c r="CN260" s="40"/>
      <c r="CO260" s="5"/>
      <c r="CQ260" s="40"/>
      <c r="CR260" s="5"/>
    </row>
    <row r="261">
      <c r="AO261" s="40"/>
      <c r="AP261" s="5"/>
      <c r="AR261" s="40"/>
      <c r="AS261" s="5"/>
      <c r="AU261" s="40"/>
      <c r="AV261" s="5"/>
      <c r="AX261" s="40"/>
      <c r="AY261" s="5"/>
      <c r="BA261" s="40"/>
      <c r="BB261" s="5"/>
      <c r="BD261" s="40"/>
      <c r="BE261" s="5"/>
      <c r="BG261" s="40"/>
      <c r="BH261" s="5"/>
      <c r="BJ261" s="40"/>
      <c r="BK261" s="5"/>
      <c r="BM261" s="40"/>
      <c r="BN261" s="5"/>
      <c r="BP261" s="40"/>
      <c r="BQ261" s="5"/>
      <c r="BS261" s="40"/>
      <c r="BT261" s="5"/>
      <c r="BV261" s="40"/>
      <c r="BW261" s="5"/>
      <c r="BY261" s="40"/>
      <c r="BZ261" s="5"/>
      <c r="CB261" s="40"/>
      <c r="CC261" s="5"/>
      <c r="CE261" s="40"/>
      <c r="CF261" s="5"/>
      <c r="CH261" s="40"/>
      <c r="CI261" s="5"/>
      <c r="CK261" s="40"/>
      <c r="CL261" s="5"/>
      <c r="CN261" s="40"/>
      <c r="CO261" s="5"/>
      <c r="CQ261" s="40"/>
      <c r="CR261" s="5"/>
    </row>
    <row r="262">
      <c r="AO262" s="40"/>
      <c r="AP262" s="5"/>
      <c r="AR262" s="40"/>
      <c r="AS262" s="5"/>
      <c r="AU262" s="40"/>
      <c r="AV262" s="5"/>
      <c r="AX262" s="40"/>
      <c r="AY262" s="5"/>
      <c r="BA262" s="40"/>
      <c r="BB262" s="5"/>
      <c r="BD262" s="40"/>
      <c r="BE262" s="5"/>
      <c r="BG262" s="40"/>
      <c r="BH262" s="5"/>
      <c r="BJ262" s="40"/>
      <c r="BK262" s="5"/>
      <c r="BM262" s="40"/>
      <c r="BN262" s="5"/>
      <c r="BP262" s="40"/>
      <c r="BQ262" s="5"/>
      <c r="BS262" s="40"/>
      <c r="BT262" s="5"/>
      <c r="BV262" s="40"/>
      <c r="BW262" s="5"/>
      <c r="BY262" s="40"/>
      <c r="BZ262" s="5"/>
      <c r="CB262" s="40"/>
      <c r="CC262" s="5"/>
      <c r="CE262" s="40"/>
      <c r="CF262" s="5"/>
      <c r="CH262" s="40"/>
      <c r="CI262" s="5"/>
      <c r="CK262" s="40"/>
      <c r="CL262" s="5"/>
      <c r="CN262" s="40"/>
      <c r="CO262" s="5"/>
      <c r="CQ262" s="40"/>
      <c r="CR262" s="5"/>
    </row>
    <row r="263">
      <c r="AO263" s="40"/>
      <c r="AP263" s="5"/>
      <c r="AR263" s="40"/>
      <c r="AS263" s="5"/>
      <c r="AU263" s="40"/>
      <c r="AV263" s="5"/>
      <c r="AX263" s="40"/>
      <c r="AY263" s="5"/>
      <c r="BA263" s="40"/>
      <c r="BB263" s="5"/>
      <c r="BD263" s="40"/>
      <c r="BE263" s="5"/>
      <c r="BG263" s="40"/>
      <c r="BH263" s="5"/>
      <c r="BJ263" s="40"/>
      <c r="BK263" s="5"/>
      <c r="BM263" s="40"/>
      <c r="BN263" s="5"/>
      <c r="BP263" s="40"/>
      <c r="BQ263" s="5"/>
      <c r="BS263" s="40"/>
      <c r="BT263" s="5"/>
      <c r="BV263" s="40"/>
      <c r="BW263" s="5"/>
      <c r="BY263" s="40"/>
      <c r="BZ263" s="5"/>
      <c r="CB263" s="40"/>
      <c r="CC263" s="5"/>
      <c r="CE263" s="40"/>
      <c r="CF263" s="5"/>
      <c r="CH263" s="40"/>
      <c r="CI263" s="5"/>
      <c r="CK263" s="40"/>
      <c r="CL263" s="5"/>
      <c r="CN263" s="40"/>
      <c r="CO263" s="5"/>
      <c r="CQ263" s="40"/>
      <c r="CR263" s="5"/>
    </row>
    <row r="264">
      <c r="AO264" s="40"/>
      <c r="AP264" s="5"/>
      <c r="AR264" s="40"/>
      <c r="AS264" s="5"/>
      <c r="AU264" s="40"/>
      <c r="AV264" s="5"/>
      <c r="AX264" s="40"/>
      <c r="AY264" s="5"/>
      <c r="BA264" s="40"/>
      <c r="BB264" s="5"/>
      <c r="BD264" s="40"/>
      <c r="BE264" s="5"/>
      <c r="BG264" s="40"/>
      <c r="BH264" s="5"/>
      <c r="BJ264" s="40"/>
      <c r="BK264" s="5"/>
      <c r="BM264" s="40"/>
      <c r="BN264" s="5"/>
      <c r="BP264" s="40"/>
      <c r="BQ264" s="5"/>
      <c r="BS264" s="40"/>
      <c r="BT264" s="5"/>
      <c r="BV264" s="40"/>
      <c r="BW264" s="5"/>
      <c r="BY264" s="40"/>
      <c r="BZ264" s="5"/>
      <c r="CB264" s="40"/>
      <c r="CC264" s="5"/>
      <c r="CE264" s="40"/>
      <c r="CF264" s="5"/>
      <c r="CH264" s="40"/>
      <c r="CI264" s="5"/>
      <c r="CK264" s="40"/>
      <c r="CL264" s="5"/>
      <c r="CN264" s="40"/>
      <c r="CO264" s="5"/>
      <c r="CQ264" s="40"/>
      <c r="CR264" s="5"/>
    </row>
    <row r="265">
      <c r="AO265" s="40"/>
      <c r="AP265" s="5"/>
      <c r="AR265" s="40"/>
      <c r="AS265" s="5"/>
      <c r="AU265" s="40"/>
      <c r="AV265" s="5"/>
      <c r="AX265" s="40"/>
      <c r="AY265" s="5"/>
      <c r="BA265" s="40"/>
      <c r="BB265" s="5"/>
      <c r="BD265" s="40"/>
      <c r="BE265" s="5"/>
      <c r="BG265" s="40"/>
      <c r="BH265" s="5"/>
      <c r="BJ265" s="40"/>
      <c r="BK265" s="5"/>
      <c r="BM265" s="40"/>
      <c r="BN265" s="5"/>
      <c r="BP265" s="40"/>
      <c r="BQ265" s="5"/>
      <c r="BS265" s="40"/>
      <c r="BT265" s="5"/>
      <c r="BV265" s="40"/>
      <c r="BW265" s="5"/>
      <c r="BY265" s="40"/>
      <c r="BZ265" s="5"/>
      <c r="CB265" s="40"/>
      <c r="CC265" s="5"/>
      <c r="CE265" s="40"/>
      <c r="CF265" s="5"/>
      <c r="CH265" s="40"/>
      <c r="CI265" s="5"/>
      <c r="CK265" s="40"/>
      <c r="CL265" s="5"/>
      <c r="CN265" s="40"/>
      <c r="CO265" s="5"/>
      <c r="CQ265" s="40"/>
      <c r="CR265" s="5"/>
    </row>
    <row r="266">
      <c r="AO266" s="40"/>
      <c r="AP266" s="5"/>
      <c r="AR266" s="40"/>
      <c r="AS266" s="5"/>
      <c r="AU266" s="40"/>
      <c r="AV266" s="5"/>
      <c r="AX266" s="40"/>
      <c r="AY266" s="5"/>
      <c r="BA266" s="40"/>
      <c r="BB266" s="5"/>
      <c r="BD266" s="40"/>
      <c r="BE266" s="5"/>
      <c r="BG266" s="40"/>
      <c r="BH266" s="5"/>
      <c r="BJ266" s="40"/>
      <c r="BK266" s="5"/>
      <c r="BM266" s="40"/>
      <c r="BN266" s="5"/>
      <c r="BP266" s="40"/>
      <c r="BQ266" s="5"/>
      <c r="BS266" s="40"/>
      <c r="BT266" s="5"/>
      <c r="BV266" s="40"/>
      <c r="BW266" s="5"/>
      <c r="BY266" s="40"/>
      <c r="BZ266" s="5"/>
      <c r="CB266" s="40"/>
      <c r="CC266" s="5"/>
      <c r="CE266" s="40"/>
      <c r="CF266" s="5"/>
      <c r="CH266" s="40"/>
      <c r="CI266" s="5"/>
      <c r="CK266" s="40"/>
      <c r="CL266" s="5"/>
      <c r="CN266" s="40"/>
      <c r="CO266" s="5"/>
      <c r="CQ266" s="40"/>
      <c r="CR266" s="5"/>
    </row>
    <row r="267">
      <c r="AO267" s="40"/>
      <c r="AP267" s="5"/>
      <c r="AR267" s="40"/>
      <c r="AS267" s="5"/>
      <c r="AU267" s="40"/>
      <c r="AV267" s="5"/>
      <c r="AX267" s="40"/>
      <c r="AY267" s="5"/>
      <c r="BA267" s="40"/>
      <c r="BB267" s="5"/>
      <c r="BD267" s="40"/>
      <c r="BE267" s="5"/>
      <c r="BG267" s="40"/>
      <c r="BH267" s="5"/>
      <c r="BJ267" s="40"/>
      <c r="BK267" s="5"/>
      <c r="BM267" s="40"/>
      <c r="BN267" s="5"/>
      <c r="BP267" s="40"/>
      <c r="BQ267" s="5"/>
      <c r="BS267" s="40"/>
      <c r="BT267" s="5"/>
      <c r="BV267" s="40"/>
      <c r="BW267" s="5"/>
      <c r="BY267" s="40"/>
      <c r="BZ267" s="5"/>
      <c r="CB267" s="40"/>
      <c r="CC267" s="5"/>
      <c r="CE267" s="40"/>
      <c r="CF267" s="5"/>
      <c r="CH267" s="40"/>
      <c r="CI267" s="5"/>
      <c r="CK267" s="40"/>
      <c r="CL267" s="5"/>
      <c r="CN267" s="40"/>
      <c r="CO267" s="5"/>
      <c r="CQ267" s="40"/>
      <c r="CR267" s="5"/>
    </row>
    <row r="268">
      <c r="AO268" s="40"/>
      <c r="AP268" s="5"/>
      <c r="AR268" s="40"/>
      <c r="AS268" s="5"/>
      <c r="AU268" s="40"/>
      <c r="AV268" s="5"/>
      <c r="AX268" s="40"/>
      <c r="AY268" s="5"/>
      <c r="BA268" s="40"/>
      <c r="BB268" s="5"/>
      <c r="BD268" s="40"/>
      <c r="BE268" s="5"/>
      <c r="BG268" s="40"/>
      <c r="BH268" s="5"/>
      <c r="BJ268" s="40"/>
      <c r="BK268" s="5"/>
      <c r="BM268" s="40"/>
      <c r="BN268" s="5"/>
      <c r="BP268" s="40"/>
      <c r="BQ268" s="5"/>
      <c r="BS268" s="40"/>
      <c r="BT268" s="5"/>
      <c r="BV268" s="40"/>
      <c r="BW268" s="5"/>
      <c r="BY268" s="40"/>
      <c r="BZ268" s="5"/>
      <c r="CB268" s="40"/>
      <c r="CC268" s="5"/>
      <c r="CE268" s="40"/>
      <c r="CF268" s="5"/>
      <c r="CH268" s="40"/>
      <c r="CI268" s="5"/>
      <c r="CK268" s="40"/>
      <c r="CL268" s="5"/>
      <c r="CN268" s="40"/>
      <c r="CO268" s="5"/>
      <c r="CQ268" s="40"/>
      <c r="CR268" s="5"/>
    </row>
    <row r="269">
      <c r="AO269" s="40"/>
      <c r="AP269" s="5"/>
      <c r="AR269" s="40"/>
      <c r="AS269" s="5"/>
      <c r="AU269" s="40"/>
      <c r="AV269" s="5"/>
      <c r="AX269" s="40"/>
      <c r="AY269" s="5"/>
      <c r="BA269" s="40"/>
      <c r="BB269" s="5"/>
      <c r="BD269" s="40"/>
      <c r="BE269" s="5"/>
      <c r="BG269" s="40"/>
      <c r="BH269" s="5"/>
      <c r="BJ269" s="40"/>
      <c r="BK269" s="5"/>
      <c r="BM269" s="40"/>
      <c r="BN269" s="5"/>
      <c r="BP269" s="40"/>
      <c r="BQ269" s="5"/>
      <c r="BS269" s="40"/>
      <c r="BT269" s="5"/>
      <c r="BV269" s="40"/>
      <c r="BW269" s="5"/>
      <c r="BY269" s="40"/>
      <c r="BZ269" s="5"/>
      <c r="CB269" s="40"/>
      <c r="CC269" s="5"/>
      <c r="CE269" s="40"/>
      <c r="CF269" s="5"/>
      <c r="CH269" s="40"/>
      <c r="CI269" s="5"/>
      <c r="CK269" s="40"/>
      <c r="CL269" s="5"/>
      <c r="CN269" s="40"/>
      <c r="CO269" s="5"/>
      <c r="CQ269" s="40"/>
      <c r="CR269" s="5"/>
    </row>
    <row r="270">
      <c r="AO270" s="40"/>
      <c r="AP270" s="5"/>
      <c r="AR270" s="40"/>
      <c r="AS270" s="5"/>
      <c r="AU270" s="40"/>
      <c r="AV270" s="5"/>
      <c r="AX270" s="40"/>
      <c r="AY270" s="5"/>
      <c r="BA270" s="40"/>
      <c r="BB270" s="5"/>
      <c r="BD270" s="40"/>
      <c r="BE270" s="5"/>
      <c r="BG270" s="40"/>
      <c r="BH270" s="5"/>
      <c r="BJ270" s="40"/>
      <c r="BK270" s="5"/>
      <c r="BM270" s="40"/>
      <c r="BN270" s="5"/>
      <c r="BP270" s="40"/>
      <c r="BQ270" s="5"/>
      <c r="BS270" s="40"/>
      <c r="BT270" s="5"/>
      <c r="BV270" s="40"/>
      <c r="BW270" s="5"/>
      <c r="BY270" s="40"/>
      <c r="BZ270" s="5"/>
      <c r="CB270" s="40"/>
      <c r="CC270" s="5"/>
      <c r="CE270" s="40"/>
      <c r="CF270" s="5"/>
      <c r="CH270" s="40"/>
      <c r="CI270" s="5"/>
      <c r="CK270" s="40"/>
      <c r="CL270" s="5"/>
      <c r="CN270" s="40"/>
      <c r="CO270" s="5"/>
      <c r="CQ270" s="40"/>
      <c r="CR270" s="5"/>
    </row>
    <row r="271">
      <c r="AO271" s="40"/>
      <c r="AP271" s="5"/>
      <c r="AR271" s="40"/>
      <c r="AS271" s="5"/>
      <c r="AU271" s="40"/>
      <c r="AV271" s="5"/>
      <c r="AX271" s="40"/>
      <c r="AY271" s="5"/>
      <c r="BA271" s="40"/>
      <c r="BB271" s="5"/>
      <c r="BD271" s="40"/>
      <c r="BE271" s="5"/>
      <c r="BG271" s="40"/>
      <c r="BH271" s="5"/>
      <c r="BJ271" s="40"/>
      <c r="BK271" s="5"/>
      <c r="BM271" s="40"/>
      <c r="BN271" s="5"/>
      <c r="BP271" s="40"/>
      <c r="BQ271" s="5"/>
      <c r="BS271" s="40"/>
      <c r="BT271" s="5"/>
      <c r="BV271" s="40"/>
      <c r="BW271" s="5"/>
      <c r="BY271" s="40"/>
      <c r="BZ271" s="5"/>
      <c r="CB271" s="40"/>
      <c r="CC271" s="5"/>
      <c r="CE271" s="40"/>
      <c r="CF271" s="5"/>
      <c r="CH271" s="40"/>
      <c r="CI271" s="5"/>
      <c r="CK271" s="40"/>
      <c r="CL271" s="5"/>
      <c r="CN271" s="40"/>
      <c r="CO271" s="5"/>
      <c r="CQ271" s="40"/>
      <c r="CR271" s="5"/>
    </row>
    <row r="272">
      <c r="AO272" s="40"/>
      <c r="AP272" s="5"/>
      <c r="AR272" s="40"/>
      <c r="AS272" s="5"/>
      <c r="AU272" s="40"/>
      <c r="AV272" s="5"/>
      <c r="AX272" s="40"/>
      <c r="AY272" s="5"/>
      <c r="BA272" s="40"/>
      <c r="BB272" s="5"/>
      <c r="BD272" s="40"/>
      <c r="BE272" s="5"/>
      <c r="BG272" s="40"/>
      <c r="BH272" s="5"/>
      <c r="BJ272" s="40"/>
      <c r="BK272" s="5"/>
      <c r="BM272" s="40"/>
      <c r="BN272" s="5"/>
      <c r="BP272" s="40"/>
      <c r="BQ272" s="5"/>
      <c r="BS272" s="40"/>
      <c r="BT272" s="5"/>
      <c r="BV272" s="40"/>
      <c r="BW272" s="5"/>
      <c r="BY272" s="40"/>
      <c r="BZ272" s="5"/>
      <c r="CB272" s="40"/>
      <c r="CC272" s="5"/>
      <c r="CE272" s="40"/>
      <c r="CF272" s="5"/>
      <c r="CH272" s="40"/>
      <c r="CI272" s="5"/>
      <c r="CK272" s="40"/>
      <c r="CL272" s="5"/>
      <c r="CN272" s="40"/>
      <c r="CO272" s="5"/>
      <c r="CQ272" s="40"/>
      <c r="CR272" s="5"/>
    </row>
    <row r="273">
      <c r="AO273" s="40"/>
      <c r="AP273" s="5"/>
      <c r="AR273" s="40"/>
      <c r="AS273" s="5"/>
      <c r="AU273" s="40"/>
      <c r="AV273" s="5"/>
      <c r="AX273" s="40"/>
      <c r="AY273" s="5"/>
      <c r="BA273" s="40"/>
      <c r="BB273" s="5"/>
      <c r="BD273" s="40"/>
      <c r="BE273" s="5"/>
      <c r="BG273" s="40"/>
      <c r="BH273" s="5"/>
      <c r="BJ273" s="40"/>
      <c r="BK273" s="5"/>
      <c r="BM273" s="40"/>
      <c r="BN273" s="5"/>
      <c r="BP273" s="40"/>
      <c r="BQ273" s="5"/>
      <c r="BS273" s="40"/>
      <c r="BT273" s="5"/>
      <c r="BV273" s="40"/>
      <c r="BW273" s="5"/>
      <c r="BY273" s="40"/>
      <c r="BZ273" s="5"/>
      <c r="CB273" s="40"/>
      <c r="CC273" s="5"/>
      <c r="CE273" s="40"/>
      <c r="CF273" s="5"/>
      <c r="CH273" s="40"/>
      <c r="CI273" s="5"/>
      <c r="CK273" s="40"/>
      <c r="CL273" s="5"/>
      <c r="CN273" s="40"/>
      <c r="CO273" s="5"/>
      <c r="CQ273" s="40"/>
      <c r="CR273" s="5"/>
    </row>
    <row r="274">
      <c r="AO274" s="40"/>
      <c r="AP274" s="5"/>
      <c r="AR274" s="40"/>
      <c r="AS274" s="5"/>
      <c r="AU274" s="40"/>
      <c r="AV274" s="5"/>
      <c r="AX274" s="40"/>
      <c r="AY274" s="5"/>
      <c r="BA274" s="40"/>
      <c r="BB274" s="5"/>
      <c r="BD274" s="40"/>
      <c r="BE274" s="5"/>
      <c r="BG274" s="40"/>
      <c r="BH274" s="5"/>
      <c r="BJ274" s="40"/>
      <c r="BK274" s="5"/>
      <c r="BM274" s="40"/>
      <c r="BN274" s="5"/>
      <c r="BP274" s="40"/>
      <c r="BQ274" s="5"/>
      <c r="BS274" s="40"/>
      <c r="BT274" s="5"/>
      <c r="BV274" s="40"/>
      <c r="BW274" s="5"/>
      <c r="BY274" s="40"/>
      <c r="BZ274" s="5"/>
      <c r="CB274" s="40"/>
      <c r="CC274" s="5"/>
      <c r="CE274" s="40"/>
      <c r="CF274" s="5"/>
      <c r="CH274" s="40"/>
      <c r="CI274" s="5"/>
      <c r="CK274" s="40"/>
      <c r="CL274" s="5"/>
      <c r="CN274" s="40"/>
      <c r="CO274" s="5"/>
      <c r="CQ274" s="40"/>
      <c r="CR274" s="5"/>
    </row>
    <row r="275">
      <c r="AO275" s="40"/>
      <c r="AP275" s="5"/>
      <c r="AR275" s="40"/>
      <c r="AS275" s="5"/>
      <c r="AU275" s="40"/>
      <c r="AV275" s="5"/>
      <c r="AX275" s="40"/>
      <c r="AY275" s="5"/>
      <c r="BA275" s="40"/>
      <c r="BB275" s="5"/>
      <c r="BD275" s="40"/>
      <c r="BE275" s="5"/>
      <c r="BG275" s="40"/>
      <c r="BH275" s="5"/>
      <c r="BJ275" s="40"/>
      <c r="BK275" s="5"/>
      <c r="BM275" s="40"/>
      <c r="BN275" s="5"/>
      <c r="BP275" s="40"/>
      <c r="BQ275" s="5"/>
      <c r="BS275" s="40"/>
      <c r="BT275" s="5"/>
      <c r="BV275" s="40"/>
      <c r="BW275" s="5"/>
      <c r="BY275" s="40"/>
      <c r="BZ275" s="5"/>
      <c r="CB275" s="40"/>
      <c r="CC275" s="5"/>
      <c r="CE275" s="40"/>
      <c r="CF275" s="5"/>
      <c r="CH275" s="40"/>
      <c r="CI275" s="5"/>
      <c r="CK275" s="40"/>
      <c r="CL275" s="5"/>
      <c r="CN275" s="40"/>
      <c r="CO275" s="5"/>
      <c r="CQ275" s="40"/>
      <c r="CR275" s="5"/>
    </row>
    <row r="276">
      <c r="AO276" s="40"/>
      <c r="AP276" s="5"/>
      <c r="AR276" s="40"/>
      <c r="AS276" s="5"/>
      <c r="AU276" s="40"/>
      <c r="AV276" s="5"/>
      <c r="AX276" s="40"/>
      <c r="AY276" s="5"/>
      <c r="BA276" s="40"/>
      <c r="BB276" s="5"/>
      <c r="BD276" s="40"/>
      <c r="BE276" s="5"/>
      <c r="BG276" s="40"/>
      <c r="BH276" s="5"/>
      <c r="BJ276" s="40"/>
      <c r="BK276" s="5"/>
      <c r="BM276" s="40"/>
      <c r="BN276" s="5"/>
      <c r="BP276" s="40"/>
      <c r="BQ276" s="5"/>
      <c r="BS276" s="40"/>
      <c r="BT276" s="5"/>
      <c r="BV276" s="40"/>
      <c r="BW276" s="5"/>
      <c r="BY276" s="40"/>
      <c r="BZ276" s="5"/>
      <c r="CB276" s="40"/>
      <c r="CC276" s="5"/>
      <c r="CE276" s="40"/>
      <c r="CF276" s="5"/>
      <c r="CH276" s="40"/>
      <c r="CI276" s="5"/>
      <c r="CK276" s="40"/>
      <c r="CL276" s="5"/>
      <c r="CN276" s="40"/>
      <c r="CO276" s="5"/>
      <c r="CQ276" s="40"/>
      <c r="CR276" s="5"/>
    </row>
    <row r="277">
      <c r="AO277" s="40"/>
      <c r="AP277" s="5"/>
      <c r="AR277" s="40"/>
      <c r="AS277" s="5"/>
      <c r="AU277" s="40"/>
      <c r="AV277" s="5"/>
      <c r="AX277" s="40"/>
      <c r="AY277" s="5"/>
      <c r="BA277" s="40"/>
      <c r="BB277" s="5"/>
      <c r="BD277" s="40"/>
      <c r="BE277" s="5"/>
      <c r="BG277" s="40"/>
      <c r="BH277" s="5"/>
      <c r="BJ277" s="40"/>
      <c r="BK277" s="5"/>
      <c r="BM277" s="40"/>
      <c r="BN277" s="5"/>
      <c r="BP277" s="40"/>
      <c r="BQ277" s="5"/>
      <c r="BS277" s="40"/>
      <c r="BT277" s="5"/>
      <c r="BV277" s="40"/>
      <c r="BW277" s="5"/>
      <c r="BY277" s="40"/>
      <c r="BZ277" s="5"/>
      <c r="CB277" s="40"/>
      <c r="CC277" s="5"/>
      <c r="CE277" s="40"/>
      <c r="CF277" s="5"/>
      <c r="CH277" s="40"/>
      <c r="CI277" s="5"/>
      <c r="CK277" s="40"/>
      <c r="CL277" s="5"/>
      <c r="CN277" s="40"/>
      <c r="CO277" s="5"/>
      <c r="CQ277" s="40"/>
      <c r="CR277" s="5"/>
    </row>
    <row r="278">
      <c r="AO278" s="40"/>
      <c r="AP278" s="5"/>
      <c r="AR278" s="40"/>
      <c r="AS278" s="5"/>
      <c r="AU278" s="40"/>
      <c r="AV278" s="5"/>
      <c r="AX278" s="40"/>
      <c r="AY278" s="5"/>
      <c r="BA278" s="40"/>
      <c r="BB278" s="5"/>
      <c r="BD278" s="40"/>
      <c r="BE278" s="5"/>
      <c r="BG278" s="40"/>
      <c r="BH278" s="5"/>
      <c r="BJ278" s="40"/>
      <c r="BK278" s="5"/>
      <c r="BM278" s="40"/>
      <c r="BN278" s="5"/>
      <c r="BP278" s="40"/>
      <c r="BQ278" s="5"/>
      <c r="BS278" s="40"/>
      <c r="BT278" s="5"/>
      <c r="BV278" s="40"/>
      <c r="BW278" s="5"/>
      <c r="BY278" s="40"/>
      <c r="BZ278" s="5"/>
      <c r="CB278" s="40"/>
      <c r="CC278" s="5"/>
      <c r="CE278" s="40"/>
      <c r="CF278" s="5"/>
      <c r="CH278" s="40"/>
      <c r="CI278" s="5"/>
      <c r="CK278" s="40"/>
      <c r="CL278" s="5"/>
      <c r="CN278" s="40"/>
      <c r="CO278" s="5"/>
      <c r="CQ278" s="40"/>
      <c r="CR278" s="5"/>
    </row>
    <row r="279">
      <c r="AO279" s="40"/>
      <c r="AP279" s="5"/>
      <c r="AR279" s="40"/>
      <c r="AS279" s="5"/>
      <c r="AU279" s="40"/>
      <c r="AV279" s="5"/>
      <c r="AX279" s="40"/>
      <c r="AY279" s="5"/>
      <c r="BA279" s="40"/>
      <c r="BB279" s="5"/>
      <c r="BD279" s="40"/>
      <c r="BE279" s="5"/>
      <c r="BG279" s="40"/>
      <c r="BH279" s="5"/>
      <c r="BJ279" s="40"/>
      <c r="BK279" s="5"/>
      <c r="BM279" s="40"/>
      <c r="BN279" s="5"/>
      <c r="BP279" s="40"/>
      <c r="BQ279" s="5"/>
      <c r="BS279" s="40"/>
      <c r="BT279" s="5"/>
      <c r="BV279" s="40"/>
      <c r="BW279" s="5"/>
      <c r="BY279" s="40"/>
      <c r="BZ279" s="5"/>
      <c r="CB279" s="40"/>
      <c r="CC279" s="5"/>
      <c r="CE279" s="40"/>
      <c r="CF279" s="5"/>
      <c r="CH279" s="40"/>
      <c r="CI279" s="5"/>
      <c r="CK279" s="40"/>
      <c r="CL279" s="5"/>
      <c r="CN279" s="40"/>
      <c r="CO279" s="5"/>
      <c r="CQ279" s="40"/>
      <c r="CR279" s="5"/>
    </row>
    <row r="280">
      <c r="AO280" s="40"/>
      <c r="AP280" s="5"/>
      <c r="AR280" s="40"/>
      <c r="AS280" s="5"/>
      <c r="AU280" s="40"/>
      <c r="AV280" s="5"/>
      <c r="AX280" s="40"/>
      <c r="AY280" s="5"/>
      <c r="BA280" s="40"/>
      <c r="BB280" s="5"/>
      <c r="BD280" s="40"/>
      <c r="BE280" s="5"/>
      <c r="BG280" s="40"/>
      <c r="BH280" s="5"/>
      <c r="BJ280" s="40"/>
      <c r="BK280" s="5"/>
      <c r="BM280" s="40"/>
      <c r="BN280" s="5"/>
      <c r="BP280" s="40"/>
      <c r="BQ280" s="5"/>
      <c r="BS280" s="40"/>
      <c r="BT280" s="5"/>
      <c r="BV280" s="40"/>
      <c r="BW280" s="5"/>
      <c r="BY280" s="40"/>
      <c r="BZ280" s="5"/>
      <c r="CB280" s="40"/>
      <c r="CC280" s="5"/>
      <c r="CE280" s="40"/>
      <c r="CF280" s="5"/>
      <c r="CH280" s="40"/>
      <c r="CI280" s="5"/>
      <c r="CK280" s="40"/>
      <c r="CL280" s="5"/>
      <c r="CN280" s="40"/>
      <c r="CO280" s="5"/>
      <c r="CQ280" s="40"/>
      <c r="CR280" s="5"/>
    </row>
    <row r="281">
      <c r="AO281" s="40"/>
      <c r="AP281" s="5"/>
      <c r="AR281" s="40"/>
      <c r="AS281" s="5"/>
      <c r="AU281" s="40"/>
      <c r="AV281" s="5"/>
      <c r="AX281" s="40"/>
      <c r="AY281" s="5"/>
      <c r="BA281" s="40"/>
      <c r="BB281" s="5"/>
      <c r="BD281" s="40"/>
      <c r="BE281" s="5"/>
      <c r="BG281" s="40"/>
      <c r="BH281" s="5"/>
      <c r="BJ281" s="40"/>
      <c r="BK281" s="5"/>
      <c r="BM281" s="40"/>
      <c r="BN281" s="5"/>
      <c r="BP281" s="40"/>
      <c r="BQ281" s="5"/>
      <c r="BS281" s="40"/>
      <c r="BT281" s="5"/>
      <c r="BV281" s="40"/>
      <c r="BW281" s="5"/>
      <c r="BY281" s="40"/>
      <c r="BZ281" s="5"/>
      <c r="CB281" s="40"/>
      <c r="CC281" s="5"/>
      <c r="CE281" s="40"/>
      <c r="CF281" s="5"/>
      <c r="CH281" s="40"/>
      <c r="CI281" s="5"/>
      <c r="CK281" s="40"/>
      <c r="CL281" s="5"/>
      <c r="CN281" s="40"/>
      <c r="CO281" s="5"/>
      <c r="CQ281" s="40"/>
      <c r="CR281" s="5"/>
    </row>
    <row r="282">
      <c r="AO282" s="40"/>
      <c r="AP282" s="5"/>
      <c r="AR282" s="40"/>
      <c r="AS282" s="5"/>
      <c r="AU282" s="40"/>
      <c r="AV282" s="5"/>
      <c r="AX282" s="40"/>
      <c r="AY282" s="5"/>
      <c r="BA282" s="40"/>
      <c r="BB282" s="5"/>
      <c r="BD282" s="40"/>
      <c r="BE282" s="5"/>
      <c r="BG282" s="40"/>
      <c r="BH282" s="5"/>
      <c r="BJ282" s="40"/>
      <c r="BK282" s="5"/>
      <c r="BM282" s="40"/>
      <c r="BN282" s="5"/>
      <c r="BP282" s="40"/>
      <c r="BQ282" s="5"/>
      <c r="BS282" s="40"/>
      <c r="BT282" s="5"/>
      <c r="BV282" s="40"/>
      <c r="BW282" s="5"/>
      <c r="BY282" s="40"/>
      <c r="BZ282" s="5"/>
      <c r="CB282" s="40"/>
      <c r="CC282" s="5"/>
      <c r="CE282" s="40"/>
      <c r="CF282" s="5"/>
      <c r="CH282" s="40"/>
      <c r="CI282" s="5"/>
      <c r="CK282" s="40"/>
      <c r="CL282" s="5"/>
      <c r="CN282" s="40"/>
      <c r="CO282" s="5"/>
      <c r="CQ282" s="40"/>
      <c r="CR282" s="5"/>
    </row>
    <row r="283">
      <c r="AO283" s="40"/>
      <c r="AP283" s="5"/>
      <c r="AR283" s="40"/>
      <c r="AS283" s="5"/>
      <c r="AU283" s="40"/>
      <c r="AV283" s="5"/>
      <c r="AX283" s="40"/>
      <c r="AY283" s="5"/>
      <c r="BA283" s="40"/>
      <c r="BB283" s="5"/>
      <c r="BD283" s="40"/>
      <c r="BE283" s="5"/>
      <c r="BG283" s="40"/>
      <c r="BH283" s="5"/>
      <c r="BJ283" s="40"/>
      <c r="BK283" s="5"/>
      <c r="BM283" s="40"/>
      <c r="BN283" s="5"/>
      <c r="BP283" s="40"/>
      <c r="BQ283" s="5"/>
      <c r="BS283" s="40"/>
      <c r="BT283" s="5"/>
      <c r="BV283" s="40"/>
      <c r="BW283" s="5"/>
      <c r="BY283" s="40"/>
      <c r="BZ283" s="5"/>
      <c r="CB283" s="40"/>
      <c r="CC283" s="5"/>
      <c r="CE283" s="40"/>
      <c r="CF283" s="5"/>
      <c r="CH283" s="40"/>
      <c r="CI283" s="5"/>
      <c r="CK283" s="40"/>
      <c r="CL283" s="5"/>
      <c r="CN283" s="40"/>
      <c r="CO283" s="5"/>
      <c r="CQ283" s="40"/>
      <c r="CR283" s="5"/>
    </row>
    <row r="284">
      <c r="AO284" s="40"/>
      <c r="AP284" s="5"/>
      <c r="AR284" s="40"/>
      <c r="AS284" s="5"/>
      <c r="AU284" s="40"/>
      <c r="AV284" s="5"/>
      <c r="AX284" s="40"/>
      <c r="AY284" s="5"/>
      <c r="BA284" s="40"/>
      <c r="BB284" s="5"/>
      <c r="BD284" s="40"/>
      <c r="BE284" s="5"/>
      <c r="BG284" s="40"/>
      <c r="BH284" s="5"/>
      <c r="BJ284" s="40"/>
      <c r="BK284" s="5"/>
      <c r="BM284" s="40"/>
      <c r="BN284" s="5"/>
      <c r="BP284" s="40"/>
      <c r="BQ284" s="5"/>
      <c r="BS284" s="40"/>
      <c r="BT284" s="5"/>
      <c r="BV284" s="40"/>
      <c r="BW284" s="5"/>
      <c r="BY284" s="40"/>
      <c r="BZ284" s="5"/>
      <c r="CB284" s="40"/>
      <c r="CC284" s="5"/>
      <c r="CE284" s="40"/>
      <c r="CF284" s="5"/>
      <c r="CH284" s="40"/>
      <c r="CI284" s="5"/>
      <c r="CK284" s="40"/>
      <c r="CL284" s="5"/>
      <c r="CN284" s="40"/>
      <c r="CO284" s="5"/>
      <c r="CQ284" s="40"/>
      <c r="CR284" s="5"/>
    </row>
    <row r="285">
      <c r="AO285" s="40"/>
      <c r="AP285" s="5"/>
      <c r="AR285" s="40"/>
      <c r="AS285" s="5"/>
      <c r="AU285" s="40"/>
      <c r="AV285" s="5"/>
      <c r="AX285" s="40"/>
      <c r="AY285" s="5"/>
      <c r="BA285" s="40"/>
      <c r="BB285" s="5"/>
      <c r="BD285" s="40"/>
      <c r="BE285" s="5"/>
      <c r="BG285" s="40"/>
      <c r="BH285" s="5"/>
      <c r="BJ285" s="40"/>
      <c r="BK285" s="5"/>
      <c r="BM285" s="40"/>
      <c r="BN285" s="5"/>
      <c r="BP285" s="40"/>
      <c r="BQ285" s="5"/>
      <c r="BS285" s="40"/>
      <c r="BT285" s="5"/>
      <c r="BV285" s="40"/>
      <c r="BW285" s="5"/>
      <c r="BY285" s="40"/>
      <c r="BZ285" s="5"/>
      <c r="CB285" s="40"/>
      <c r="CC285" s="5"/>
      <c r="CE285" s="40"/>
      <c r="CF285" s="5"/>
      <c r="CH285" s="40"/>
      <c r="CI285" s="5"/>
      <c r="CK285" s="40"/>
      <c r="CL285" s="5"/>
      <c r="CN285" s="40"/>
      <c r="CO285" s="5"/>
      <c r="CQ285" s="40"/>
      <c r="CR285" s="5"/>
    </row>
    <row r="286">
      <c r="AO286" s="40"/>
      <c r="AP286" s="5"/>
      <c r="AR286" s="40"/>
      <c r="AS286" s="5"/>
      <c r="AU286" s="40"/>
      <c r="AV286" s="5"/>
      <c r="AX286" s="40"/>
      <c r="AY286" s="5"/>
      <c r="BA286" s="40"/>
      <c r="BB286" s="5"/>
      <c r="BD286" s="40"/>
      <c r="BE286" s="5"/>
      <c r="BG286" s="40"/>
      <c r="BH286" s="5"/>
      <c r="BJ286" s="40"/>
      <c r="BK286" s="5"/>
      <c r="BM286" s="40"/>
      <c r="BN286" s="5"/>
      <c r="BP286" s="40"/>
      <c r="BQ286" s="5"/>
      <c r="BS286" s="40"/>
      <c r="BT286" s="5"/>
      <c r="BV286" s="40"/>
      <c r="BW286" s="5"/>
      <c r="BY286" s="40"/>
      <c r="BZ286" s="5"/>
      <c r="CB286" s="40"/>
      <c r="CC286" s="5"/>
      <c r="CE286" s="40"/>
      <c r="CF286" s="5"/>
      <c r="CH286" s="40"/>
      <c r="CI286" s="5"/>
      <c r="CK286" s="40"/>
      <c r="CL286" s="5"/>
      <c r="CN286" s="40"/>
      <c r="CO286" s="5"/>
      <c r="CQ286" s="40"/>
      <c r="CR286" s="5"/>
    </row>
    <row r="287">
      <c r="AO287" s="40"/>
      <c r="AP287" s="5"/>
      <c r="AR287" s="40"/>
      <c r="AS287" s="5"/>
      <c r="AU287" s="40"/>
      <c r="AV287" s="5"/>
      <c r="AX287" s="40"/>
      <c r="AY287" s="5"/>
      <c r="BA287" s="40"/>
      <c r="BB287" s="5"/>
      <c r="BD287" s="40"/>
      <c r="BE287" s="5"/>
      <c r="BG287" s="40"/>
      <c r="BH287" s="5"/>
      <c r="BJ287" s="40"/>
      <c r="BK287" s="5"/>
      <c r="BM287" s="40"/>
      <c r="BN287" s="5"/>
      <c r="BP287" s="40"/>
      <c r="BQ287" s="5"/>
      <c r="BS287" s="40"/>
      <c r="BT287" s="5"/>
      <c r="BV287" s="40"/>
      <c r="BW287" s="5"/>
      <c r="BY287" s="40"/>
      <c r="BZ287" s="5"/>
      <c r="CB287" s="40"/>
      <c r="CC287" s="5"/>
      <c r="CE287" s="40"/>
      <c r="CF287" s="5"/>
      <c r="CH287" s="40"/>
      <c r="CI287" s="5"/>
      <c r="CK287" s="40"/>
      <c r="CL287" s="5"/>
      <c r="CN287" s="40"/>
      <c r="CO287" s="5"/>
      <c r="CQ287" s="40"/>
      <c r="CR287" s="5"/>
    </row>
    <row r="288">
      <c r="AO288" s="40"/>
      <c r="AP288" s="5"/>
      <c r="AR288" s="40"/>
      <c r="AS288" s="5"/>
      <c r="AU288" s="40"/>
      <c r="AV288" s="5"/>
      <c r="AX288" s="40"/>
      <c r="AY288" s="5"/>
      <c r="BA288" s="40"/>
      <c r="BB288" s="5"/>
      <c r="BD288" s="40"/>
      <c r="BE288" s="5"/>
      <c r="BG288" s="40"/>
      <c r="BH288" s="5"/>
      <c r="BJ288" s="40"/>
      <c r="BK288" s="5"/>
      <c r="BM288" s="40"/>
      <c r="BN288" s="5"/>
      <c r="BP288" s="40"/>
      <c r="BQ288" s="5"/>
      <c r="BS288" s="40"/>
      <c r="BT288" s="5"/>
      <c r="BV288" s="40"/>
      <c r="BW288" s="5"/>
      <c r="BY288" s="40"/>
      <c r="BZ288" s="5"/>
      <c r="CB288" s="40"/>
      <c r="CC288" s="5"/>
      <c r="CE288" s="40"/>
      <c r="CF288" s="5"/>
      <c r="CH288" s="40"/>
      <c r="CI288" s="5"/>
      <c r="CK288" s="40"/>
      <c r="CL288" s="5"/>
      <c r="CN288" s="40"/>
      <c r="CO288" s="5"/>
      <c r="CQ288" s="40"/>
      <c r="CR288" s="5"/>
    </row>
    <row r="289">
      <c r="AO289" s="40"/>
      <c r="AP289" s="5"/>
      <c r="AR289" s="40"/>
      <c r="AS289" s="5"/>
      <c r="AU289" s="40"/>
      <c r="AV289" s="5"/>
      <c r="AX289" s="40"/>
      <c r="AY289" s="5"/>
      <c r="BA289" s="40"/>
      <c r="BB289" s="5"/>
      <c r="BD289" s="40"/>
      <c r="BE289" s="5"/>
      <c r="BG289" s="40"/>
      <c r="BH289" s="5"/>
      <c r="BJ289" s="40"/>
      <c r="BK289" s="5"/>
      <c r="BM289" s="40"/>
      <c r="BN289" s="5"/>
      <c r="BP289" s="40"/>
      <c r="BQ289" s="5"/>
      <c r="BS289" s="40"/>
      <c r="BT289" s="5"/>
      <c r="BV289" s="40"/>
      <c r="BW289" s="5"/>
      <c r="BY289" s="40"/>
      <c r="BZ289" s="5"/>
      <c r="CB289" s="40"/>
      <c r="CC289" s="5"/>
      <c r="CE289" s="40"/>
      <c r="CF289" s="5"/>
      <c r="CH289" s="40"/>
      <c r="CI289" s="5"/>
      <c r="CK289" s="40"/>
      <c r="CL289" s="5"/>
      <c r="CN289" s="40"/>
      <c r="CO289" s="5"/>
      <c r="CQ289" s="40"/>
      <c r="CR289" s="5"/>
    </row>
    <row r="290">
      <c r="AO290" s="40"/>
      <c r="AP290" s="5"/>
      <c r="AR290" s="40"/>
      <c r="AS290" s="5"/>
      <c r="AU290" s="40"/>
      <c r="AV290" s="5"/>
      <c r="AX290" s="40"/>
      <c r="AY290" s="5"/>
      <c r="BA290" s="40"/>
      <c r="BB290" s="5"/>
      <c r="BD290" s="40"/>
      <c r="BE290" s="5"/>
      <c r="BG290" s="40"/>
      <c r="BH290" s="5"/>
      <c r="BJ290" s="40"/>
      <c r="BK290" s="5"/>
      <c r="BM290" s="40"/>
      <c r="BN290" s="5"/>
      <c r="BP290" s="40"/>
      <c r="BQ290" s="5"/>
      <c r="BS290" s="40"/>
      <c r="BT290" s="5"/>
      <c r="BV290" s="40"/>
      <c r="BW290" s="5"/>
      <c r="BY290" s="40"/>
      <c r="BZ290" s="5"/>
      <c r="CB290" s="40"/>
      <c r="CC290" s="5"/>
      <c r="CE290" s="40"/>
      <c r="CF290" s="5"/>
      <c r="CH290" s="40"/>
      <c r="CI290" s="5"/>
      <c r="CK290" s="40"/>
      <c r="CL290" s="5"/>
      <c r="CN290" s="40"/>
      <c r="CO290" s="5"/>
      <c r="CQ290" s="40"/>
      <c r="CR290" s="5"/>
    </row>
    <row r="291">
      <c r="AO291" s="40"/>
      <c r="AP291" s="5"/>
      <c r="AR291" s="40"/>
      <c r="AS291" s="5"/>
      <c r="AU291" s="40"/>
      <c r="AV291" s="5"/>
      <c r="AX291" s="40"/>
      <c r="AY291" s="5"/>
      <c r="BA291" s="40"/>
      <c r="BB291" s="5"/>
      <c r="BD291" s="40"/>
      <c r="BE291" s="5"/>
      <c r="BG291" s="40"/>
      <c r="BH291" s="5"/>
      <c r="BJ291" s="40"/>
      <c r="BK291" s="5"/>
      <c r="BM291" s="40"/>
      <c r="BN291" s="5"/>
      <c r="BP291" s="40"/>
      <c r="BQ291" s="5"/>
      <c r="BS291" s="40"/>
      <c r="BT291" s="5"/>
      <c r="BV291" s="40"/>
      <c r="BW291" s="5"/>
      <c r="BY291" s="40"/>
      <c r="BZ291" s="5"/>
      <c r="CB291" s="40"/>
      <c r="CC291" s="5"/>
      <c r="CE291" s="40"/>
      <c r="CF291" s="5"/>
      <c r="CH291" s="40"/>
      <c r="CI291" s="5"/>
      <c r="CK291" s="40"/>
      <c r="CL291" s="5"/>
      <c r="CN291" s="40"/>
      <c r="CO291" s="5"/>
      <c r="CQ291" s="40"/>
      <c r="CR291" s="5"/>
    </row>
    <row r="292">
      <c r="AO292" s="40"/>
      <c r="AP292" s="5"/>
      <c r="AR292" s="40"/>
      <c r="AS292" s="5"/>
      <c r="AU292" s="40"/>
      <c r="AV292" s="5"/>
      <c r="AX292" s="40"/>
      <c r="AY292" s="5"/>
      <c r="BA292" s="40"/>
      <c r="BB292" s="5"/>
      <c r="BD292" s="40"/>
      <c r="BE292" s="5"/>
      <c r="BG292" s="40"/>
      <c r="BH292" s="5"/>
      <c r="BJ292" s="40"/>
      <c r="BK292" s="5"/>
      <c r="BM292" s="40"/>
      <c r="BN292" s="5"/>
      <c r="BP292" s="40"/>
      <c r="BQ292" s="5"/>
      <c r="BS292" s="40"/>
      <c r="BT292" s="5"/>
      <c r="BV292" s="40"/>
      <c r="BW292" s="5"/>
      <c r="BY292" s="40"/>
      <c r="BZ292" s="5"/>
      <c r="CB292" s="40"/>
      <c r="CC292" s="5"/>
      <c r="CE292" s="40"/>
      <c r="CF292" s="5"/>
      <c r="CH292" s="40"/>
      <c r="CI292" s="5"/>
      <c r="CK292" s="40"/>
      <c r="CL292" s="5"/>
      <c r="CN292" s="40"/>
      <c r="CO292" s="5"/>
      <c r="CQ292" s="40"/>
      <c r="CR292" s="5"/>
    </row>
    <row r="293">
      <c r="AO293" s="40"/>
      <c r="AP293" s="5"/>
      <c r="AR293" s="40"/>
      <c r="AS293" s="5"/>
      <c r="AU293" s="40"/>
      <c r="AV293" s="5"/>
      <c r="AX293" s="40"/>
      <c r="AY293" s="5"/>
      <c r="BA293" s="40"/>
      <c r="BB293" s="5"/>
      <c r="BD293" s="40"/>
      <c r="BE293" s="5"/>
      <c r="BG293" s="40"/>
      <c r="BH293" s="5"/>
      <c r="BJ293" s="40"/>
      <c r="BK293" s="5"/>
      <c r="BM293" s="40"/>
      <c r="BN293" s="5"/>
      <c r="BP293" s="40"/>
      <c r="BQ293" s="5"/>
      <c r="BS293" s="40"/>
      <c r="BT293" s="5"/>
      <c r="BV293" s="40"/>
      <c r="BW293" s="5"/>
      <c r="BY293" s="40"/>
      <c r="BZ293" s="5"/>
      <c r="CB293" s="40"/>
      <c r="CC293" s="5"/>
      <c r="CE293" s="40"/>
      <c r="CF293" s="5"/>
      <c r="CH293" s="40"/>
      <c r="CI293" s="5"/>
      <c r="CK293" s="40"/>
      <c r="CL293" s="5"/>
      <c r="CN293" s="40"/>
      <c r="CO293" s="5"/>
      <c r="CQ293" s="40"/>
      <c r="CR293" s="5"/>
    </row>
    <row r="294">
      <c r="AO294" s="40"/>
      <c r="AP294" s="5"/>
      <c r="AR294" s="40"/>
      <c r="AS294" s="5"/>
      <c r="AU294" s="40"/>
      <c r="AV294" s="5"/>
      <c r="AX294" s="40"/>
      <c r="AY294" s="5"/>
      <c r="BA294" s="40"/>
      <c r="BB294" s="5"/>
      <c r="BD294" s="40"/>
      <c r="BE294" s="5"/>
      <c r="BG294" s="40"/>
      <c r="BH294" s="5"/>
      <c r="BJ294" s="40"/>
      <c r="BK294" s="5"/>
      <c r="BM294" s="40"/>
      <c r="BN294" s="5"/>
      <c r="BP294" s="40"/>
      <c r="BQ294" s="5"/>
      <c r="BS294" s="40"/>
      <c r="BT294" s="5"/>
      <c r="BV294" s="40"/>
      <c r="BW294" s="5"/>
      <c r="BY294" s="40"/>
      <c r="BZ294" s="5"/>
      <c r="CB294" s="40"/>
      <c r="CC294" s="5"/>
      <c r="CE294" s="40"/>
      <c r="CF294" s="5"/>
      <c r="CH294" s="40"/>
      <c r="CI294" s="5"/>
      <c r="CK294" s="40"/>
      <c r="CL294" s="5"/>
      <c r="CN294" s="40"/>
      <c r="CO294" s="5"/>
      <c r="CQ294" s="40"/>
      <c r="CR294" s="5"/>
    </row>
    <row r="295">
      <c r="AO295" s="40"/>
      <c r="AP295" s="5"/>
      <c r="AR295" s="40"/>
      <c r="AS295" s="5"/>
      <c r="AU295" s="40"/>
      <c r="AV295" s="5"/>
      <c r="AX295" s="40"/>
      <c r="AY295" s="5"/>
      <c r="BA295" s="40"/>
      <c r="BB295" s="5"/>
      <c r="BD295" s="40"/>
      <c r="BE295" s="5"/>
      <c r="BG295" s="40"/>
      <c r="BH295" s="5"/>
      <c r="BJ295" s="40"/>
      <c r="BK295" s="5"/>
      <c r="BM295" s="40"/>
      <c r="BN295" s="5"/>
      <c r="BP295" s="40"/>
      <c r="BQ295" s="5"/>
      <c r="BS295" s="40"/>
      <c r="BT295" s="5"/>
      <c r="BV295" s="40"/>
      <c r="BW295" s="5"/>
      <c r="BY295" s="40"/>
      <c r="BZ295" s="5"/>
      <c r="CB295" s="40"/>
      <c r="CC295" s="5"/>
      <c r="CE295" s="40"/>
      <c r="CF295" s="5"/>
      <c r="CH295" s="40"/>
      <c r="CI295" s="5"/>
      <c r="CK295" s="40"/>
      <c r="CL295" s="5"/>
      <c r="CN295" s="40"/>
      <c r="CO295" s="5"/>
      <c r="CQ295" s="40"/>
      <c r="CR295" s="5"/>
    </row>
    <row r="296">
      <c r="AO296" s="40"/>
      <c r="AP296" s="5"/>
      <c r="AR296" s="40"/>
      <c r="AS296" s="5"/>
      <c r="AU296" s="40"/>
      <c r="AV296" s="5"/>
      <c r="AX296" s="40"/>
      <c r="AY296" s="5"/>
      <c r="BA296" s="40"/>
      <c r="BB296" s="5"/>
      <c r="BD296" s="40"/>
      <c r="BE296" s="5"/>
      <c r="BG296" s="40"/>
      <c r="BH296" s="5"/>
      <c r="BJ296" s="40"/>
      <c r="BK296" s="5"/>
      <c r="BM296" s="40"/>
      <c r="BN296" s="5"/>
      <c r="BP296" s="40"/>
      <c r="BQ296" s="5"/>
      <c r="BS296" s="40"/>
      <c r="BT296" s="5"/>
      <c r="BV296" s="40"/>
      <c r="BW296" s="5"/>
      <c r="BY296" s="40"/>
      <c r="BZ296" s="5"/>
      <c r="CB296" s="40"/>
      <c r="CC296" s="5"/>
      <c r="CE296" s="40"/>
      <c r="CF296" s="5"/>
      <c r="CH296" s="40"/>
      <c r="CI296" s="5"/>
      <c r="CK296" s="40"/>
      <c r="CL296" s="5"/>
      <c r="CN296" s="40"/>
      <c r="CO296" s="5"/>
      <c r="CQ296" s="40"/>
      <c r="CR296" s="5"/>
    </row>
    <row r="297">
      <c r="AO297" s="40"/>
      <c r="AP297" s="5"/>
      <c r="AR297" s="40"/>
      <c r="AS297" s="5"/>
      <c r="AU297" s="40"/>
      <c r="AV297" s="5"/>
      <c r="AX297" s="40"/>
      <c r="AY297" s="5"/>
      <c r="BA297" s="40"/>
      <c r="BB297" s="5"/>
      <c r="BD297" s="40"/>
      <c r="BE297" s="5"/>
      <c r="BG297" s="40"/>
      <c r="BH297" s="5"/>
      <c r="BJ297" s="40"/>
      <c r="BK297" s="5"/>
      <c r="BM297" s="40"/>
      <c r="BN297" s="5"/>
      <c r="BP297" s="40"/>
      <c r="BQ297" s="5"/>
      <c r="BS297" s="40"/>
      <c r="BT297" s="5"/>
      <c r="BV297" s="40"/>
      <c r="BW297" s="5"/>
      <c r="BY297" s="40"/>
      <c r="BZ297" s="5"/>
      <c r="CB297" s="40"/>
      <c r="CC297" s="5"/>
      <c r="CE297" s="40"/>
      <c r="CF297" s="5"/>
      <c r="CH297" s="40"/>
      <c r="CI297" s="5"/>
      <c r="CK297" s="40"/>
      <c r="CL297" s="5"/>
      <c r="CN297" s="40"/>
      <c r="CO297" s="5"/>
      <c r="CQ297" s="40"/>
      <c r="CR297" s="5"/>
    </row>
    <row r="298">
      <c r="AO298" s="40"/>
      <c r="AP298" s="5"/>
      <c r="AR298" s="40"/>
      <c r="AS298" s="5"/>
      <c r="AU298" s="40"/>
      <c r="AV298" s="5"/>
      <c r="AX298" s="40"/>
      <c r="AY298" s="5"/>
      <c r="BA298" s="40"/>
      <c r="BB298" s="5"/>
      <c r="BD298" s="40"/>
      <c r="BE298" s="5"/>
      <c r="BG298" s="40"/>
      <c r="BH298" s="5"/>
      <c r="BJ298" s="40"/>
      <c r="BK298" s="5"/>
      <c r="BM298" s="40"/>
      <c r="BN298" s="5"/>
      <c r="BP298" s="40"/>
      <c r="BQ298" s="5"/>
      <c r="BS298" s="40"/>
      <c r="BT298" s="5"/>
      <c r="BV298" s="40"/>
      <c r="BW298" s="5"/>
      <c r="BY298" s="40"/>
      <c r="BZ298" s="5"/>
      <c r="CB298" s="40"/>
      <c r="CC298" s="5"/>
      <c r="CE298" s="40"/>
      <c r="CF298" s="5"/>
      <c r="CH298" s="40"/>
      <c r="CI298" s="5"/>
      <c r="CK298" s="40"/>
      <c r="CL298" s="5"/>
      <c r="CN298" s="40"/>
      <c r="CO298" s="5"/>
      <c r="CQ298" s="40"/>
      <c r="CR298" s="5"/>
    </row>
    <row r="299">
      <c r="AO299" s="40"/>
      <c r="AP299" s="5"/>
      <c r="AR299" s="40"/>
      <c r="AS299" s="5"/>
      <c r="AU299" s="40"/>
      <c r="AV299" s="5"/>
      <c r="AX299" s="40"/>
      <c r="AY299" s="5"/>
      <c r="BA299" s="40"/>
      <c r="BB299" s="5"/>
      <c r="BD299" s="40"/>
      <c r="BE299" s="5"/>
      <c r="BG299" s="40"/>
      <c r="BH299" s="5"/>
      <c r="BJ299" s="40"/>
      <c r="BK299" s="5"/>
      <c r="BM299" s="40"/>
      <c r="BN299" s="5"/>
      <c r="BP299" s="40"/>
      <c r="BQ299" s="5"/>
      <c r="BS299" s="40"/>
      <c r="BT299" s="5"/>
      <c r="BV299" s="40"/>
      <c r="BW299" s="5"/>
      <c r="BY299" s="40"/>
      <c r="BZ299" s="5"/>
      <c r="CB299" s="40"/>
      <c r="CC299" s="5"/>
      <c r="CE299" s="40"/>
      <c r="CF299" s="5"/>
      <c r="CH299" s="40"/>
      <c r="CI299" s="5"/>
      <c r="CK299" s="40"/>
      <c r="CL299" s="5"/>
      <c r="CN299" s="40"/>
      <c r="CO299" s="5"/>
      <c r="CQ299" s="40"/>
      <c r="CR299" s="5"/>
    </row>
    <row r="300">
      <c r="AO300" s="40"/>
      <c r="AP300" s="5"/>
      <c r="AR300" s="40"/>
      <c r="AS300" s="5"/>
      <c r="AU300" s="40"/>
      <c r="AV300" s="5"/>
      <c r="AX300" s="40"/>
      <c r="AY300" s="5"/>
      <c r="BA300" s="40"/>
      <c r="BB300" s="5"/>
      <c r="BD300" s="40"/>
      <c r="BE300" s="5"/>
      <c r="BG300" s="40"/>
      <c r="BH300" s="5"/>
      <c r="BJ300" s="40"/>
      <c r="BK300" s="5"/>
      <c r="BM300" s="40"/>
      <c r="BN300" s="5"/>
      <c r="BP300" s="40"/>
      <c r="BQ300" s="5"/>
      <c r="BS300" s="40"/>
      <c r="BT300" s="5"/>
      <c r="BV300" s="40"/>
      <c r="BW300" s="5"/>
      <c r="BY300" s="40"/>
      <c r="BZ300" s="5"/>
      <c r="CB300" s="40"/>
      <c r="CC300" s="5"/>
      <c r="CE300" s="40"/>
      <c r="CF300" s="5"/>
      <c r="CH300" s="40"/>
      <c r="CI300" s="5"/>
      <c r="CK300" s="40"/>
      <c r="CL300" s="5"/>
      <c r="CN300" s="40"/>
      <c r="CO300" s="5"/>
      <c r="CQ300" s="40"/>
      <c r="CR300" s="5"/>
    </row>
    <row r="301">
      <c r="AO301" s="40"/>
      <c r="AP301" s="5"/>
      <c r="AR301" s="40"/>
      <c r="AS301" s="5"/>
      <c r="AU301" s="40"/>
      <c r="AV301" s="5"/>
      <c r="AX301" s="40"/>
      <c r="AY301" s="5"/>
      <c r="BA301" s="40"/>
      <c r="BB301" s="5"/>
      <c r="BD301" s="40"/>
      <c r="BE301" s="5"/>
      <c r="BG301" s="40"/>
      <c r="BH301" s="5"/>
      <c r="BJ301" s="40"/>
      <c r="BK301" s="5"/>
      <c r="BM301" s="40"/>
      <c r="BN301" s="5"/>
      <c r="BP301" s="40"/>
      <c r="BQ301" s="5"/>
      <c r="BS301" s="40"/>
      <c r="BT301" s="5"/>
      <c r="BV301" s="40"/>
      <c r="BW301" s="5"/>
      <c r="BY301" s="40"/>
      <c r="BZ301" s="5"/>
      <c r="CB301" s="40"/>
      <c r="CC301" s="5"/>
      <c r="CE301" s="40"/>
      <c r="CF301" s="5"/>
      <c r="CH301" s="40"/>
      <c r="CI301" s="5"/>
      <c r="CK301" s="40"/>
      <c r="CL301" s="5"/>
      <c r="CN301" s="40"/>
      <c r="CO301" s="5"/>
      <c r="CQ301" s="40"/>
      <c r="CR301" s="5"/>
    </row>
    <row r="302">
      <c r="AO302" s="40"/>
      <c r="AP302" s="5"/>
      <c r="AR302" s="40"/>
      <c r="AS302" s="5"/>
      <c r="AU302" s="40"/>
      <c r="AV302" s="5"/>
      <c r="AX302" s="40"/>
      <c r="AY302" s="5"/>
      <c r="BA302" s="40"/>
      <c r="BB302" s="5"/>
      <c r="BD302" s="40"/>
      <c r="BE302" s="5"/>
      <c r="BG302" s="40"/>
      <c r="BH302" s="5"/>
      <c r="BJ302" s="40"/>
      <c r="BK302" s="5"/>
      <c r="BM302" s="40"/>
      <c r="BN302" s="5"/>
      <c r="BP302" s="40"/>
      <c r="BQ302" s="5"/>
      <c r="BS302" s="40"/>
      <c r="BT302" s="5"/>
      <c r="BV302" s="40"/>
      <c r="BW302" s="5"/>
      <c r="BY302" s="40"/>
      <c r="BZ302" s="5"/>
      <c r="CB302" s="40"/>
      <c r="CC302" s="5"/>
      <c r="CE302" s="40"/>
      <c r="CF302" s="5"/>
      <c r="CH302" s="40"/>
      <c r="CI302" s="5"/>
      <c r="CK302" s="40"/>
      <c r="CL302" s="5"/>
      <c r="CN302" s="40"/>
      <c r="CO302" s="5"/>
      <c r="CQ302" s="40"/>
      <c r="CR302" s="5"/>
    </row>
    <row r="303">
      <c r="AO303" s="40"/>
      <c r="AP303" s="5"/>
      <c r="AR303" s="40"/>
      <c r="AS303" s="5"/>
      <c r="AU303" s="40"/>
      <c r="AV303" s="5"/>
      <c r="AX303" s="40"/>
      <c r="AY303" s="5"/>
      <c r="BA303" s="40"/>
      <c r="BB303" s="5"/>
      <c r="BD303" s="40"/>
      <c r="BE303" s="5"/>
      <c r="BG303" s="40"/>
      <c r="BH303" s="5"/>
      <c r="BJ303" s="40"/>
      <c r="BK303" s="5"/>
      <c r="BM303" s="40"/>
      <c r="BN303" s="5"/>
      <c r="BP303" s="40"/>
      <c r="BQ303" s="5"/>
      <c r="BS303" s="40"/>
      <c r="BT303" s="5"/>
      <c r="BV303" s="40"/>
      <c r="BW303" s="5"/>
      <c r="BY303" s="40"/>
      <c r="BZ303" s="5"/>
      <c r="CB303" s="40"/>
      <c r="CC303" s="5"/>
      <c r="CE303" s="40"/>
      <c r="CF303" s="5"/>
      <c r="CH303" s="40"/>
      <c r="CI303" s="5"/>
      <c r="CK303" s="40"/>
      <c r="CL303" s="5"/>
      <c r="CN303" s="40"/>
      <c r="CO303" s="5"/>
      <c r="CQ303" s="40"/>
      <c r="CR303" s="5"/>
    </row>
    <row r="304">
      <c r="AO304" s="40"/>
      <c r="AP304" s="5"/>
      <c r="AR304" s="40"/>
      <c r="AS304" s="5"/>
      <c r="AU304" s="40"/>
      <c r="AV304" s="5"/>
      <c r="AX304" s="40"/>
      <c r="AY304" s="5"/>
      <c r="BA304" s="40"/>
      <c r="BB304" s="5"/>
      <c r="BD304" s="40"/>
      <c r="BE304" s="5"/>
      <c r="BG304" s="40"/>
      <c r="BH304" s="5"/>
      <c r="BJ304" s="40"/>
      <c r="BK304" s="5"/>
      <c r="BM304" s="40"/>
      <c r="BN304" s="5"/>
      <c r="BP304" s="40"/>
      <c r="BQ304" s="5"/>
      <c r="BS304" s="40"/>
      <c r="BT304" s="5"/>
      <c r="BV304" s="40"/>
      <c r="BW304" s="5"/>
      <c r="BY304" s="40"/>
      <c r="BZ304" s="5"/>
      <c r="CB304" s="40"/>
      <c r="CC304" s="5"/>
      <c r="CE304" s="40"/>
      <c r="CF304" s="5"/>
      <c r="CH304" s="40"/>
      <c r="CI304" s="5"/>
      <c r="CK304" s="40"/>
      <c r="CL304" s="5"/>
      <c r="CN304" s="40"/>
      <c r="CO304" s="5"/>
      <c r="CQ304" s="40"/>
      <c r="CR304" s="5"/>
    </row>
    <row r="305">
      <c r="AO305" s="40"/>
      <c r="AP305" s="5"/>
      <c r="AR305" s="40"/>
      <c r="AS305" s="5"/>
      <c r="AU305" s="40"/>
      <c r="AV305" s="5"/>
      <c r="AX305" s="40"/>
      <c r="AY305" s="5"/>
      <c r="BA305" s="40"/>
      <c r="BB305" s="5"/>
      <c r="BD305" s="40"/>
      <c r="BE305" s="5"/>
      <c r="BG305" s="40"/>
      <c r="BH305" s="5"/>
      <c r="BJ305" s="40"/>
      <c r="BK305" s="5"/>
      <c r="BM305" s="40"/>
      <c r="BN305" s="5"/>
      <c r="BP305" s="40"/>
      <c r="BQ305" s="5"/>
      <c r="BS305" s="40"/>
      <c r="BT305" s="5"/>
      <c r="BV305" s="40"/>
      <c r="BW305" s="5"/>
      <c r="BY305" s="40"/>
      <c r="BZ305" s="5"/>
      <c r="CB305" s="40"/>
      <c r="CC305" s="5"/>
      <c r="CE305" s="40"/>
      <c r="CF305" s="5"/>
      <c r="CH305" s="40"/>
      <c r="CI305" s="5"/>
      <c r="CK305" s="40"/>
      <c r="CL305" s="5"/>
      <c r="CN305" s="40"/>
      <c r="CO305" s="5"/>
      <c r="CQ305" s="40"/>
      <c r="CR305" s="5"/>
    </row>
    <row r="306">
      <c r="AO306" s="40"/>
      <c r="AP306" s="5"/>
      <c r="AR306" s="40"/>
      <c r="AS306" s="5"/>
      <c r="AU306" s="40"/>
      <c r="AV306" s="5"/>
      <c r="AX306" s="40"/>
      <c r="AY306" s="5"/>
      <c r="BA306" s="40"/>
      <c r="BB306" s="5"/>
      <c r="BD306" s="40"/>
      <c r="BE306" s="5"/>
      <c r="BG306" s="40"/>
      <c r="BH306" s="5"/>
      <c r="BJ306" s="40"/>
      <c r="BK306" s="5"/>
      <c r="BM306" s="40"/>
      <c r="BN306" s="5"/>
      <c r="BP306" s="40"/>
      <c r="BQ306" s="5"/>
      <c r="BS306" s="40"/>
      <c r="BT306" s="5"/>
      <c r="BV306" s="40"/>
      <c r="BW306" s="5"/>
      <c r="BY306" s="40"/>
      <c r="BZ306" s="5"/>
      <c r="CB306" s="40"/>
      <c r="CC306" s="5"/>
      <c r="CE306" s="40"/>
      <c r="CF306" s="5"/>
      <c r="CH306" s="40"/>
      <c r="CI306" s="5"/>
      <c r="CK306" s="40"/>
      <c r="CL306" s="5"/>
      <c r="CN306" s="40"/>
      <c r="CO306" s="5"/>
      <c r="CQ306" s="40"/>
      <c r="CR306" s="5"/>
    </row>
    <row r="307">
      <c r="AO307" s="40"/>
      <c r="AP307" s="5"/>
      <c r="AR307" s="40"/>
      <c r="AS307" s="5"/>
      <c r="AU307" s="40"/>
      <c r="AV307" s="5"/>
      <c r="AX307" s="40"/>
      <c r="AY307" s="5"/>
      <c r="BA307" s="40"/>
      <c r="BB307" s="5"/>
      <c r="BD307" s="40"/>
      <c r="BE307" s="5"/>
      <c r="BG307" s="40"/>
      <c r="BH307" s="5"/>
      <c r="BJ307" s="40"/>
      <c r="BK307" s="5"/>
      <c r="BM307" s="40"/>
      <c r="BN307" s="5"/>
      <c r="BP307" s="40"/>
      <c r="BQ307" s="5"/>
      <c r="BS307" s="40"/>
      <c r="BT307" s="5"/>
      <c r="BV307" s="40"/>
      <c r="BW307" s="5"/>
      <c r="BY307" s="40"/>
      <c r="BZ307" s="5"/>
      <c r="CB307" s="40"/>
      <c r="CC307" s="5"/>
      <c r="CE307" s="40"/>
      <c r="CF307" s="5"/>
      <c r="CH307" s="40"/>
      <c r="CI307" s="5"/>
      <c r="CK307" s="40"/>
      <c r="CL307" s="5"/>
      <c r="CN307" s="40"/>
      <c r="CO307" s="5"/>
      <c r="CQ307" s="40"/>
      <c r="CR307" s="5"/>
    </row>
    <row r="308">
      <c r="AO308" s="40"/>
      <c r="AP308" s="5"/>
      <c r="AR308" s="40"/>
      <c r="AS308" s="5"/>
      <c r="AU308" s="40"/>
      <c r="AV308" s="5"/>
      <c r="AX308" s="40"/>
      <c r="AY308" s="5"/>
      <c r="BA308" s="40"/>
      <c r="BB308" s="5"/>
      <c r="BD308" s="40"/>
      <c r="BE308" s="5"/>
      <c r="BG308" s="40"/>
      <c r="BH308" s="5"/>
      <c r="BJ308" s="40"/>
      <c r="BK308" s="5"/>
      <c r="BM308" s="40"/>
      <c r="BN308" s="5"/>
      <c r="BP308" s="40"/>
      <c r="BQ308" s="5"/>
      <c r="BS308" s="40"/>
      <c r="BT308" s="5"/>
      <c r="BV308" s="40"/>
      <c r="BW308" s="5"/>
      <c r="BY308" s="40"/>
      <c r="BZ308" s="5"/>
      <c r="CB308" s="40"/>
      <c r="CC308" s="5"/>
      <c r="CE308" s="40"/>
      <c r="CF308" s="5"/>
      <c r="CH308" s="40"/>
      <c r="CI308" s="5"/>
      <c r="CK308" s="40"/>
      <c r="CL308" s="5"/>
      <c r="CN308" s="40"/>
      <c r="CO308" s="5"/>
      <c r="CQ308" s="40"/>
      <c r="CR308" s="5"/>
    </row>
    <row r="309">
      <c r="AO309" s="40"/>
      <c r="AP309" s="5"/>
      <c r="AR309" s="40"/>
      <c r="AS309" s="5"/>
      <c r="AU309" s="40"/>
      <c r="AV309" s="5"/>
      <c r="AX309" s="40"/>
      <c r="AY309" s="5"/>
      <c r="BA309" s="40"/>
      <c r="BB309" s="5"/>
      <c r="BD309" s="40"/>
      <c r="BE309" s="5"/>
      <c r="BG309" s="40"/>
      <c r="BH309" s="5"/>
      <c r="BJ309" s="40"/>
      <c r="BK309" s="5"/>
      <c r="BM309" s="40"/>
      <c r="BN309" s="5"/>
      <c r="BP309" s="40"/>
      <c r="BQ309" s="5"/>
      <c r="BS309" s="40"/>
      <c r="BT309" s="5"/>
      <c r="BV309" s="40"/>
      <c r="BW309" s="5"/>
      <c r="BY309" s="40"/>
      <c r="BZ309" s="5"/>
      <c r="CB309" s="40"/>
      <c r="CC309" s="5"/>
      <c r="CE309" s="40"/>
      <c r="CF309" s="5"/>
      <c r="CH309" s="40"/>
      <c r="CI309" s="5"/>
      <c r="CK309" s="40"/>
      <c r="CL309" s="5"/>
      <c r="CN309" s="40"/>
      <c r="CO309" s="5"/>
      <c r="CQ309" s="40"/>
      <c r="CR309" s="5"/>
    </row>
    <row r="310">
      <c r="AO310" s="40"/>
      <c r="AP310" s="5"/>
      <c r="AR310" s="40"/>
      <c r="AS310" s="5"/>
      <c r="AU310" s="40"/>
      <c r="AV310" s="5"/>
      <c r="AX310" s="40"/>
      <c r="AY310" s="5"/>
      <c r="BA310" s="40"/>
      <c r="BB310" s="5"/>
      <c r="BD310" s="40"/>
      <c r="BE310" s="5"/>
      <c r="BG310" s="40"/>
      <c r="BH310" s="5"/>
      <c r="BJ310" s="40"/>
      <c r="BK310" s="5"/>
      <c r="BM310" s="40"/>
      <c r="BN310" s="5"/>
      <c r="BP310" s="40"/>
      <c r="BQ310" s="5"/>
      <c r="BS310" s="40"/>
      <c r="BT310" s="5"/>
      <c r="BV310" s="40"/>
      <c r="BW310" s="5"/>
      <c r="BY310" s="40"/>
      <c r="BZ310" s="5"/>
      <c r="CB310" s="40"/>
      <c r="CC310" s="5"/>
      <c r="CE310" s="40"/>
      <c r="CF310" s="5"/>
      <c r="CH310" s="40"/>
      <c r="CI310" s="5"/>
      <c r="CK310" s="40"/>
      <c r="CL310" s="5"/>
      <c r="CN310" s="40"/>
      <c r="CO310" s="5"/>
      <c r="CQ310" s="40"/>
      <c r="CR310" s="5"/>
    </row>
    <row r="311">
      <c r="AO311" s="40"/>
      <c r="AP311" s="5"/>
      <c r="AR311" s="40"/>
      <c r="AS311" s="5"/>
      <c r="AU311" s="40"/>
      <c r="AV311" s="5"/>
      <c r="AX311" s="40"/>
      <c r="AY311" s="5"/>
      <c r="BA311" s="40"/>
      <c r="BB311" s="5"/>
      <c r="BD311" s="40"/>
      <c r="BE311" s="5"/>
      <c r="BG311" s="40"/>
      <c r="BH311" s="5"/>
      <c r="BJ311" s="40"/>
      <c r="BK311" s="5"/>
      <c r="BM311" s="40"/>
      <c r="BN311" s="5"/>
      <c r="BP311" s="40"/>
      <c r="BQ311" s="5"/>
      <c r="BS311" s="40"/>
      <c r="BT311" s="5"/>
      <c r="BV311" s="40"/>
      <c r="BW311" s="5"/>
      <c r="BY311" s="40"/>
      <c r="BZ311" s="5"/>
      <c r="CB311" s="40"/>
      <c r="CC311" s="5"/>
      <c r="CE311" s="40"/>
      <c r="CF311" s="5"/>
      <c r="CH311" s="40"/>
      <c r="CI311" s="5"/>
      <c r="CK311" s="40"/>
      <c r="CL311" s="5"/>
      <c r="CN311" s="40"/>
      <c r="CO311" s="5"/>
      <c r="CQ311" s="40"/>
      <c r="CR311" s="5"/>
    </row>
    <row r="312">
      <c r="AO312" s="40"/>
      <c r="AP312" s="5"/>
      <c r="AR312" s="40"/>
      <c r="AS312" s="5"/>
      <c r="AU312" s="40"/>
      <c r="AV312" s="5"/>
      <c r="AX312" s="40"/>
      <c r="AY312" s="5"/>
      <c r="BA312" s="40"/>
      <c r="BB312" s="5"/>
      <c r="BD312" s="40"/>
      <c r="BE312" s="5"/>
      <c r="BG312" s="40"/>
      <c r="BH312" s="5"/>
      <c r="BJ312" s="40"/>
      <c r="BK312" s="5"/>
      <c r="BM312" s="40"/>
      <c r="BN312" s="5"/>
      <c r="BP312" s="40"/>
      <c r="BQ312" s="5"/>
      <c r="BS312" s="40"/>
      <c r="BT312" s="5"/>
      <c r="BV312" s="40"/>
      <c r="BW312" s="5"/>
      <c r="BY312" s="40"/>
      <c r="BZ312" s="5"/>
      <c r="CB312" s="40"/>
      <c r="CC312" s="5"/>
      <c r="CE312" s="40"/>
      <c r="CF312" s="5"/>
      <c r="CH312" s="40"/>
      <c r="CI312" s="5"/>
      <c r="CK312" s="40"/>
      <c r="CL312" s="5"/>
      <c r="CN312" s="40"/>
      <c r="CO312" s="5"/>
      <c r="CQ312" s="40"/>
      <c r="CR312" s="5"/>
    </row>
    <row r="313">
      <c r="AO313" s="40"/>
      <c r="AP313" s="5"/>
      <c r="AR313" s="40"/>
      <c r="AS313" s="5"/>
      <c r="AU313" s="40"/>
      <c r="AV313" s="5"/>
      <c r="AX313" s="40"/>
      <c r="AY313" s="5"/>
      <c r="BA313" s="40"/>
      <c r="BB313" s="5"/>
      <c r="BD313" s="40"/>
      <c r="BE313" s="5"/>
      <c r="BG313" s="40"/>
      <c r="BH313" s="5"/>
      <c r="BJ313" s="40"/>
      <c r="BK313" s="5"/>
      <c r="BM313" s="40"/>
      <c r="BN313" s="5"/>
      <c r="BP313" s="40"/>
      <c r="BQ313" s="5"/>
      <c r="BS313" s="40"/>
      <c r="BT313" s="5"/>
      <c r="BV313" s="40"/>
      <c r="BW313" s="5"/>
      <c r="BY313" s="40"/>
      <c r="BZ313" s="5"/>
      <c r="CB313" s="40"/>
      <c r="CC313" s="5"/>
      <c r="CE313" s="40"/>
      <c r="CF313" s="5"/>
      <c r="CH313" s="40"/>
      <c r="CI313" s="5"/>
      <c r="CK313" s="40"/>
      <c r="CL313" s="5"/>
      <c r="CN313" s="40"/>
      <c r="CO313" s="5"/>
      <c r="CQ313" s="40"/>
      <c r="CR313" s="5"/>
    </row>
    <row r="314">
      <c r="AO314" s="40"/>
      <c r="AP314" s="5"/>
      <c r="AR314" s="40"/>
      <c r="AS314" s="5"/>
      <c r="AU314" s="40"/>
      <c r="AV314" s="5"/>
      <c r="AX314" s="40"/>
      <c r="AY314" s="5"/>
      <c r="BA314" s="40"/>
      <c r="BB314" s="5"/>
      <c r="BD314" s="40"/>
      <c r="BE314" s="5"/>
      <c r="BG314" s="40"/>
      <c r="BH314" s="5"/>
      <c r="BJ314" s="40"/>
      <c r="BK314" s="5"/>
      <c r="BM314" s="40"/>
      <c r="BN314" s="5"/>
      <c r="BP314" s="40"/>
      <c r="BQ314" s="5"/>
      <c r="BS314" s="40"/>
      <c r="BT314" s="5"/>
      <c r="BV314" s="40"/>
      <c r="BW314" s="5"/>
      <c r="BY314" s="40"/>
      <c r="BZ314" s="5"/>
      <c r="CB314" s="40"/>
      <c r="CC314" s="5"/>
      <c r="CE314" s="40"/>
      <c r="CF314" s="5"/>
      <c r="CH314" s="40"/>
      <c r="CI314" s="5"/>
      <c r="CK314" s="40"/>
      <c r="CL314" s="5"/>
      <c r="CN314" s="40"/>
      <c r="CO314" s="5"/>
      <c r="CQ314" s="40"/>
      <c r="CR314" s="5"/>
    </row>
    <row r="315">
      <c r="AO315" s="40"/>
      <c r="AP315" s="5"/>
      <c r="AR315" s="40"/>
      <c r="AS315" s="5"/>
      <c r="AU315" s="40"/>
      <c r="AV315" s="5"/>
      <c r="AX315" s="40"/>
      <c r="AY315" s="5"/>
      <c r="BA315" s="40"/>
      <c r="BB315" s="5"/>
      <c r="BD315" s="40"/>
      <c r="BE315" s="5"/>
      <c r="BG315" s="40"/>
      <c r="BH315" s="5"/>
      <c r="BJ315" s="40"/>
      <c r="BK315" s="5"/>
      <c r="BM315" s="40"/>
      <c r="BN315" s="5"/>
      <c r="BP315" s="40"/>
      <c r="BQ315" s="5"/>
      <c r="BS315" s="40"/>
      <c r="BT315" s="5"/>
      <c r="BV315" s="40"/>
      <c r="BW315" s="5"/>
      <c r="BY315" s="40"/>
      <c r="BZ315" s="5"/>
      <c r="CB315" s="40"/>
      <c r="CC315" s="5"/>
      <c r="CE315" s="40"/>
      <c r="CF315" s="5"/>
      <c r="CH315" s="40"/>
      <c r="CI315" s="5"/>
      <c r="CK315" s="40"/>
      <c r="CL315" s="5"/>
      <c r="CN315" s="40"/>
      <c r="CO315" s="5"/>
      <c r="CQ315" s="40"/>
      <c r="CR315" s="5"/>
    </row>
    <row r="316">
      <c r="AO316" s="40"/>
      <c r="AP316" s="5"/>
      <c r="AR316" s="40"/>
      <c r="AS316" s="5"/>
      <c r="AU316" s="40"/>
      <c r="AV316" s="5"/>
      <c r="AX316" s="40"/>
      <c r="AY316" s="5"/>
      <c r="BA316" s="40"/>
      <c r="BB316" s="5"/>
      <c r="BD316" s="40"/>
      <c r="BE316" s="5"/>
      <c r="BG316" s="40"/>
      <c r="BH316" s="5"/>
      <c r="BJ316" s="40"/>
      <c r="BK316" s="5"/>
      <c r="BM316" s="40"/>
      <c r="BN316" s="5"/>
      <c r="BP316" s="40"/>
      <c r="BQ316" s="5"/>
      <c r="BS316" s="40"/>
      <c r="BT316" s="5"/>
      <c r="BV316" s="40"/>
      <c r="BW316" s="5"/>
      <c r="BY316" s="40"/>
      <c r="BZ316" s="5"/>
      <c r="CB316" s="40"/>
      <c r="CC316" s="5"/>
      <c r="CE316" s="40"/>
      <c r="CF316" s="5"/>
      <c r="CH316" s="40"/>
      <c r="CI316" s="5"/>
      <c r="CK316" s="40"/>
      <c r="CL316" s="5"/>
      <c r="CN316" s="40"/>
      <c r="CO316" s="5"/>
      <c r="CQ316" s="40"/>
      <c r="CR316" s="5"/>
    </row>
    <row r="317">
      <c r="AO317" s="40"/>
      <c r="AP317" s="5"/>
      <c r="AR317" s="40"/>
      <c r="AS317" s="5"/>
      <c r="AU317" s="40"/>
      <c r="AV317" s="5"/>
      <c r="AX317" s="40"/>
      <c r="AY317" s="5"/>
      <c r="BA317" s="40"/>
      <c r="BB317" s="5"/>
      <c r="BD317" s="40"/>
      <c r="BE317" s="5"/>
      <c r="BG317" s="40"/>
      <c r="BH317" s="5"/>
      <c r="BJ317" s="40"/>
      <c r="BK317" s="5"/>
      <c r="BM317" s="40"/>
      <c r="BN317" s="5"/>
      <c r="BP317" s="40"/>
      <c r="BQ317" s="5"/>
      <c r="BS317" s="40"/>
      <c r="BT317" s="5"/>
      <c r="BV317" s="40"/>
      <c r="BW317" s="5"/>
      <c r="BY317" s="40"/>
      <c r="BZ317" s="5"/>
      <c r="CB317" s="40"/>
      <c r="CC317" s="5"/>
      <c r="CE317" s="40"/>
      <c r="CF317" s="5"/>
      <c r="CH317" s="40"/>
      <c r="CI317" s="5"/>
      <c r="CK317" s="40"/>
      <c r="CL317" s="5"/>
      <c r="CN317" s="40"/>
      <c r="CO317" s="5"/>
      <c r="CQ317" s="40"/>
      <c r="CR317" s="5"/>
    </row>
    <row r="318">
      <c r="AO318" s="40"/>
      <c r="AP318" s="5"/>
      <c r="AR318" s="40"/>
      <c r="AS318" s="5"/>
      <c r="AU318" s="40"/>
      <c r="AV318" s="5"/>
      <c r="AX318" s="40"/>
      <c r="AY318" s="5"/>
      <c r="BA318" s="40"/>
      <c r="BB318" s="5"/>
      <c r="BD318" s="40"/>
      <c r="BE318" s="5"/>
      <c r="BG318" s="40"/>
      <c r="BH318" s="5"/>
      <c r="BJ318" s="40"/>
      <c r="BK318" s="5"/>
      <c r="BM318" s="40"/>
      <c r="BN318" s="5"/>
      <c r="BP318" s="40"/>
      <c r="BQ318" s="5"/>
      <c r="BS318" s="40"/>
      <c r="BT318" s="5"/>
      <c r="BV318" s="40"/>
      <c r="BW318" s="5"/>
      <c r="BY318" s="40"/>
      <c r="BZ318" s="5"/>
      <c r="CB318" s="40"/>
      <c r="CC318" s="5"/>
      <c r="CE318" s="40"/>
      <c r="CF318" s="5"/>
      <c r="CH318" s="40"/>
      <c r="CI318" s="5"/>
      <c r="CK318" s="40"/>
      <c r="CL318" s="5"/>
      <c r="CN318" s="40"/>
      <c r="CO318" s="5"/>
      <c r="CQ318" s="40"/>
      <c r="CR318" s="5"/>
    </row>
    <row r="319">
      <c r="AO319" s="40"/>
      <c r="AP319" s="5"/>
      <c r="AR319" s="40"/>
      <c r="AS319" s="5"/>
      <c r="AU319" s="40"/>
      <c r="AV319" s="5"/>
      <c r="AX319" s="40"/>
      <c r="AY319" s="5"/>
      <c r="BA319" s="40"/>
      <c r="BB319" s="5"/>
      <c r="BD319" s="40"/>
      <c r="BE319" s="5"/>
      <c r="BG319" s="40"/>
      <c r="BH319" s="5"/>
      <c r="BJ319" s="40"/>
      <c r="BK319" s="5"/>
      <c r="BM319" s="40"/>
      <c r="BN319" s="5"/>
      <c r="BP319" s="40"/>
      <c r="BQ319" s="5"/>
      <c r="BS319" s="40"/>
      <c r="BT319" s="5"/>
      <c r="BV319" s="40"/>
      <c r="BW319" s="5"/>
      <c r="BY319" s="40"/>
      <c r="BZ319" s="5"/>
      <c r="CB319" s="40"/>
      <c r="CC319" s="5"/>
      <c r="CE319" s="40"/>
      <c r="CF319" s="5"/>
      <c r="CH319" s="40"/>
      <c r="CI319" s="5"/>
      <c r="CK319" s="40"/>
      <c r="CL319" s="5"/>
      <c r="CN319" s="40"/>
      <c r="CO319" s="5"/>
      <c r="CQ319" s="40"/>
      <c r="CR319" s="5"/>
    </row>
    <row r="320">
      <c r="AO320" s="40"/>
      <c r="AP320" s="5"/>
      <c r="AR320" s="40"/>
      <c r="AS320" s="5"/>
      <c r="AU320" s="40"/>
      <c r="AV320" s="5"/>
      <c r="AX320" s="40"/>
      <c r="AY320" s="5"/>
      <c r="BA320" s="40"/>
      <c r="BB320" s="5"/>
      <c r="BD320" s="40"/>
      <c r="BE320" s="5"/>
      <c r="BG320" s="40"/>
      <c r="BH320" s="5"/>
      <c r="BJ320" s="40"/>
      <c r="BK320" s="5"/>
      <c r="BM320" s="40"/>
      <c r="BN320" s="5"/>
      <c r="BP320" s="40"/>
      <c r="BQ320" s="5"/>
      <c r="BS320" s="40"/>
      <c r="BT320" s="5"/>
      <c r="BV320" s="40"/>
      <c r="BW320" s="5"/>
      <c r="BY320" s="40"/>
      <c r="BZ320" s="5"/>
      <c r="CB320" s="40"/>
      <c r="CC320" s="5"/>
      <c r="CE320" s="40"/>
      <c r="CF320" s="5"/>
      <c r="CH320" s="40"/>
      <c r="CI320" s="5"/>
      <c r="CK320" s="40"/>
      <c r="CL320" s="5"/>
      <c r="CN320" s="40"/>
      <c r="CO320" s="5"/>
      <c r="CQ320" s="40"/>
      <c r="CR320" s="5"/>
    </row>
    <row r="321">
      <c r="AO321" s="40"/>
      <c r="AP321" s="5"/>
      <c r="AR321" s="40"/>
      <c r="AS321" s="5"/>
      <c r="AU321" s="40"/>
      <c r="AV321" s="5"/>
      <c r="AX321" s="40"/>
      <c r="AY321" s="5"/>
      <c r="BA321" s="40"/>
      <c r="BB321" s="5"/>
      <c r="BD321" s="40"/>
      <c r="BE321" s="5"/>
      <c r="BG321" s="40"/>
      <c r="BH321" s="5"/>
      <c r="BJ321" s="40"/>
      <c r="BK321" s="5"/>
      <c r="BM321" s="40"/>
      <c r="BN321" s="5"/>
      <c r="BP321" s="40"/>
      <c r="BQ321" s="5"/>
      <c r="BS321" s="40"/>
      <c r="BT321" s="5"/>
      <c r="BV321" s="40"/>
      <c r="BW321" s="5"/>
      <c r="BY321" s="40"/>
      <c r="BZ321" s="5"/>
      <c r="CB321" s="40"/>
      <c r="CC321" s="5"/>
      <c r="CE321" s="40"/>
      <c r="CF321" s="5"/>
      <c r="CH321" s="40"/>
      <c r="CI321" s="5"/>
      <c r="CK321" s="40"/>
      <c r="CL321" s="5"/>
      <c r="CN321" s="40"/>
      <c r="CO321" s="5"/>
      <c r="CQ321" s="40"/>
      <c r="CR321" s="5"/>
    </row>
    <row r="322">
      <c r="AO322" s="40"/>
      <c r="AP322" s="5"/>
      <c r="AR322" s="40"/>
      <c r="AS322" s="5"/>
      <c r="AU322" s="40"/>
      <c r="AV322" s="5"/>
      <c r="AX322" s="40"/>
      <c r="AY322" s="5"/>
      <c r="BA322" s="40"/>
      <c r="BB322" s="5"/>
      <c r="BD322" s="40"/>
      <c r="BE322" s="5"/>
      <c r="BG322" s="40"/>
      <c r="BH322" s="5"/>
      <c r="BJ322" s="40"/>
      <c r="BK322" s="5"/>
      <c r="BM322" s="40"/>
      <c r="BN322" s="5"/>
      <c r="BP322" s="40"/>
      <c r="BQ322" s="5"/>
      <c r="BS322" s="40"/>
      <c r="BT322" s="5"/>
      <c r="BV322" s="40"/>
      <c r="BW322" s="5"/>
      <c r="BY322" s="40"/>
      <c r="BZ322" s="5"/>
      <c r="CB322" s="40"/>
      <c r="CC322" s="5"/>
      <c r="CE322" s="40"/>
      <c r="CF322" s="5"/>
      <c r="CH322" s="40"/>
      <c r="CI322" s="5"/>
      <c r="CK322" s="40"/>
      <c r="CL322" s="5"/>
      <c r="CN322" s="40"/>
      <c r="CO322" s="5"/>
      <c r="CQ322" s="40"/>
      <c r="CR322" s="5"/>
    </row>
    <row r="323">
      <c r="AO323" s="40"/>
      <c r="AP323" s="5"/>
      <c r="AR323" s="40"/>
      <c r="AS323" s="5"/>
      <c r="AU323" s="40"/>
      <c r="AV323" s="5"/>
      <c r="AX323" s="40"/>
      <c r="AY323" s="5"/>
      <c r="BA323" s="40"/>
      <c r="BB323" s="5"/>
      <c r="BD323" s="40"/>
      <c r="BE323" s="5"/>
      <c r="BG323" s="40"/>
      <c r="BH323" s="5"/>
      <c r="BJ323" s="40"/>
      <c r="BK323" s="5"/>
      <c r="BM323" s="40"/>
      <c r="BN323" s="5"/>
      <c r="BP323" s="40"/>
      <c r="BQ323" s="5"/>
      <c r="BS323" s="40"/>
      <c r="BT323" s="5"/>
      <c r="BV323" s="40"/>
      <c r="BW323" s="5"/>
      <c r="BY323" s="40"/>
      <c r="BZ323" s="5"/>
      <c r="CB323" s="40"/>
      <c r="CC323" s="5"/>
      <c r="CE323" s="40"/>
      <c r="CF323" s="5"/>
      <c r="CH323" s="40"/>
      <c r="CI323" s="5"/>
      <c r="CK323" s="40"/>
      <c r="CL323" s="5"/>
      <c r="CN323" s="40"/>
      <c r="CO323" s="5"/>
      <c r="CQ323" s="40"/>
      <c r="CR323" s="5"/>
    </row>
    <row r="324">
      <c r="AO324" s="40"/>
      <c r="AP324" s="5"/>
      <c r="AR324" s="40"/>
      <c r="AS324" s="5"/>
      <c r="AU324" s="40"/>
      <c r="AV324" s="5"/>
      <c r="AX324" s="40"/>
      <c r="AY324" s="5"/>
      <c r="BA324" s="40"/>
      <c r="BB324" s="5"/>
      <c r="BD324" s="40"/>
      <c r="BE324" s="5"/>
      <c r="BG324" s="40"/>
      <c r="BH324" s="5"/>
      <c r="BJ324" s="40"/>
      <c r="BK324" s="5"/>
      <c r="BM324" s="40"/>
      <c r="BN324" s="5"/>
      <c r="BP324" s="40"/>
      <c r="BQ324" s="5"/>
      <c r="BS324" s="40"/>
      <c r="BT324" s="5"/>
      <c r="BV324" s="40"/>
      <c r="BW324" s="5"/>
      <c r="BY324" s="40"/>
      <c r="BZ324" s="5"/>
      <c r="CB324" s="40"/>
      <c r="CC324" s="5"/>
      <c r="CE324" s="40"/>
      <c r="CF324" s="5"/>
      <c r="CH324" s="40"/>
      <c r="CI324" s="5"/>
      <c r="CK324" s="40"/>
      <c r="CL324" s="5"/>
      <c r="CN324" s="40"/>
      <c r="CO324" s="5"/>
      <c r="CQ324" s="40"/>
      <c r="CR324" s="5"/>
    </row>
    <row r="325">
      <c r="AO325" s="40"/>
      <c r="AP325" s="5"/>
      <c r="AR325" s="40"/>
      <c r="AS325" s="5"/>
      <c r="AU325" s="40"/>
      <c r="AV325" s="5"/>
      <c r="AX325" s="40"/>
      <c r="AY325" s="5"/>
      <c r="BA325" s="40"/>
      <c r="BB325" s="5"/>
      <c r="BD325" s="40"/>
      <c r="BE325" s="5"/>
      <c r="BG325" s="40"/>
      <c r="BH325" s="5"/>
      <c r="BJ325" s="40"/>
      <c r="BK325" s="5"/>
      <c r="BM325" s="40"/>
      <c r="BN325" s="5"/>
      <c r="BP325" s="40"/>
      <c r="BQ325" s="5"/>
      <c r="BS325" s="40"/>
      <c r="BT325" s="5"/>
      <c r="BV325" s="40"/>
      <c r="BW325" s="5"/>
      <c r="BY325" s="40"/>
      <c r="BZ325" s="5"/>
      <c r="CB325" s="40"/>
      <c r="CC325" s="5"/>
      <c r="CE325" s="40"/>
      <c r="CF325" s="5"/>
      <c r="CH325" s="40"/>
      <c r="CI325" s="5"/>
      <c r="CK325" s="40"/>
      <c r="CL325" s="5"/>
      <c r="CN325" s="40"/>
      <c r="CO325" s="5"/>
      <c r="CQ325" s="40"/>
      <c r="CR325" s="5"/>
    </row>
    <row r="326">
      <c r="AO326" s="40"/>
      <c r="AP326" s="5"/>
      <c r="AR326" s="40"/>
      <c r="AS326" s="5"/>
      <c r="AU326" s="40"/>
      <c r="AV326" s="5"/>
      <c r="AX326" s="40"/>
      <c r="AY326" s="5"/>
      <c r="BA326" s="40"/>
      <c r="BB326" s="5"/>
      <c r="BD326" s="40"/>
      <c r="BE326" s="5"/>
      <c r="BG326" s="40"/>
      <c r="BH326" s="5"/>
      <c r="BJ326" s="40"/>
      <c r="BK326" s="5"/>
      <c r="BM326" s="40"/>
      <c r="BN326" s="5"/>
      <c r="BP326" s="40"/>
      <c r="BQ326" s="5"/>
      <c r="BS326" s="40"/>
      <c r="BT326" s="5"/>
      <c r="BV326" s="40"/>
      <c r="BW326" s="5"/>
      <c r="BY326" s="40"/>
      <c r="BZ326" s="5"/>
      <c r="CB326" s="40"/>
      <c r="CC326" s="5"/>
      <c r="CE326" s="40"/>
      <c r="CF326" s="5"/>
      <c r="CH326" s="40"/>
      <c r="CI326" s="5"/>
      <c r="CK326" s="40"/>
      <c r="CL326" s="5"/>
      <c r="CN326" s="40"/>
      <c r="CO326" s="5"/>
      <c r="CQ326" s="40"/>
      <c r="CR326" s="5"/>
    </row>
    <row r="327">
      <c r="AO327" s="40"/>
      <c r="AP327" s="5"/>
      <c r="AR327" s="40"/>
      <c r="AS327" s="5"/>
      <c r="AU327" s="40"/>
      <c r="AV327" s="5"/>
      <c r="AX327" s="40"/>
      <c r="AY327" s="5"/>
      <c r="BA327" s="40"/>
      <c r="BB327" s="5"/>
      <c r="BD327" s="40"/>
      <c r="BE327" s="5"/>
      <c r="BG327" s="40"/>
      <c r="BH327" s="5"/>
      <c r="BJ327" s="40"/>
      <c r="BK327" s="5"/>
      <c r="BM327" s="40"/>
      <c r="BN327" s="5"/>
      <c r="BP327" s="40"/>
      <c r="BQ327" s="5"/>
      <c r="BS327" s="40"/>
      <c r="BT327" s="5"/>
      <c r="BV327" s="40"/>
      <c r="BW327" s="5"/>
      <c r="BY327" s="40"/>
      <c r="BZ327" s="5"/>
      <c r="CB327" s="40"/>
      <c r="CC327" s="5"/>
      <c r="CE327" s="40"/>
      <c r="CF327" s="5"/>
      <c r="CH327" s="40"/>
      <c r="CI327" s="5"/>
      <c r="CK327" s="40"/>
      <c r="CL327" s="5"/>
      <c r="CN327" s="40"/>
      <c r="CO327" s="5"/>
      <c r="CQ327" s="40"/>
      <c r="CR327" s="5"/>
    </row>
    <row r="328">
      <c r="AO328" s="40"/>
      <c r="AP328" s="5"/>
      <c r="AR328" s="40"/>
      <c r="AS328" s="5"/>
      <c r="AU328" s="40"/>
      <c r="AV328" s="5"/>
      <c r="AX328" s="40"/>
      <c r="AY328" s="5"/>
      <c r="BA328" s="40"/>
      <c r="BB328" s="5"/>
      <c r="BD328" s="40"/>
      <c r="BE328" s="5"/>
      <c r="BG328" s="40"/>
      <c r="BH328" s="5"/>
      <c r="BJ328" s="40"/>
      <c r="BK328" s="5"/>
      <c r="BM328" s="40"/>
      <c r="BN328" s="5"/>
      <c r="BP328" s="40"/>
      <c r="BQ328" s="5"/>
      <c r="BS328" s="40"/>
      <c r="BT328" s="5"/>
      <c r="BV328" s="40"/>
      <c r="BW328" s="5"/>
      <c r="BY328" s="40"/>
      <c r="BZ328" s="5"/>
      <c r="CB328" s="40"/>
      <c r="CC328" s="5"/>
      <c r="CE328" s="40"/>
      <c r="CF328" s="5"/>
      <c r="CH328" s="40"/>
      <c r="CI328" s="5"/>
      <c r="CK328" s="40"/>
      <c r="CL328" s="5"/>
      <c r="CN328" s="40"/>
      <c r="CO328" s="5"/>
      <c r="CQ328" s="40"/>
      <c r="CR328" s="5"/>
    </row>
    <row r="329">
      <c r="AO329" s="40"/>
      <c r="AP329" s="5"/>
      <c r="AR329" s="40"/>
      <c r="AS329" s="5"/>
      <c r="AU329" s="40"/>
      <c r="AV329" s="5"/>
      <c r="AX329" s="40"/>
      <c r="AY329" s="5"/>
      <c r="BA329" s="40"/>
      <c r="BB329" s="5"/>
      <c r="BD329" s="40"/>
      <c r="BE329" s="5"/>
      <c r="BG329" s="40"/>
      <c r="BH329" s="5"/>
      <c r="BJ329" s="40"/>
      <c r="BK329" s="5"/>
      <c r="BM329" s="40"/>
      <c r="BN329" s="5"/>
      <c r="BP329" s="40"/>
      <c r="BQ329" s="5"/>
      <c r="BS329" s="40"/>
      <c r="BT329" s="5"/>
      <c r="BV329" s="40"/>
      <c r="BW329" s="5"/>
      <c r="BY329" s="40"/>
      <c r="BZ329" s="5"/>
      <c r="CB329" s="40"/>
      <c r="CC329" s="5"/>
      <c r="CE329" s="40"/>
      <c r="CF329" s="5"/>
      <c r="CH329" s="40"/>
      <c r="CI329" s="5"/>
      <c r="CK329" s="40"/>
      <c r="CL329" s="5"/>
      <c r="CN329" s="40"/>
      <c r="CO329" s="5"/>
      <c r="CQ329" s="40"/>
      <c r="CR329" s="5"/>
    </row>
    <row r="330">
      <c r="AO330" s="40"/>
      <c r="AP330" s="5"/>
      <c r="AR330" s="40"/>
      <c r="AS330" s="5"/>
      <c r="AU330" s="40"/>
      <c r="AV330" s="5"/>
      <c r="AX330" s="40"/>
      <c r="AY330" s="5"/>
      <c r="BA330" s="40"/>
      <c r="BB330" s="5"/>
      <c r="BD330" s="40"/>
      <c r="BE330" s="5"/>
      <c r="BG330" s="40"/>
      <c r="BH330" s="5"/>
      <c r="BJ330" s="40"/>
      <c r="BK330" s="5"/>
      <c r="BM330" s="40"/>
      <c r="BN330" s="5"/>
      <c r="BP330" s="40"/>
      <c r="BQ330" s="5"/>
      <c r="BS330" s="40"/>
      <c r="BT330" s="5"/>
      <c r="BV330" s="40"/>
      <c r="BW330" s="5"/>
      <c r="BY330" s="40"/>
      <c r="BZ330" s="5"/>
      <c r="CB330" s="40"/>
      <c r="CC330" s="5"/>
      <c r="CE330" s="40"/>
      <c r="CF330" s="5"/>
      <c r="CH330" s="40"/>
      <c r="CI330" s="5"/>
      <c r="CK330" s="40"/>
      <c r="CL330" s="5"/>
      <c r="CN330" s="40"/>
      <c r="CO330" s="5"/>
      <c r="CQ330" s="40"/>
      <c r="CR330" s="5"/>
    </row>
    <row r="331">
      <c r="AO331" s="40"/>
      <c r="AP331" s="5"/>
      <c r="AR331" s="40"/>
      <c r="AS331" s="5"/>
      <c r="AU331" s="40"/>
      <c r="AV331" s="5"/>
      <c r="AX331" s="40"/>
      <c r="AY331" s="5"/>
      <c r="BA331" s="40"/>
      <c r="BB331" s="5"/>
      <c r="BD331" s="40"/>
      <c r="BE331" s="5"/>
      <c r="BG331" s="40"/>
      <c r="BH331" s="5"/>
      <c r="BJ331" s="40"/>
      <c r="BK331" s="5"/>
      <c r="BM331" s="40"/>
      <c r="BN331" s="5"/>
      <c r="BP331" s="40"/>
      <c r="BQ331" s="5"/>
      <c r="BS331" s="40"/>
      <c r="BT331" s="5"/>
      <c r="BV331" s="40"/>
      <c r="BW331" s="5"/>
      <c r="BY331" s="40"/>
      <c r="BZ331" s="5"/>
      <c r="CB331" s="40"/>
      <c r="CC331" s="5"/>
      <c r="CE331" s="40"/>
      <c r="CF331" s="5"/>
      <c r="CH331" s="40"/>
      <c r="CI331" s="5"/>
      <c r="CK331" s="40"/>
      <c r="CL331" s="5"/>
      <c r="CN331" s="40"/>
      <c r="CO331" s="5"/>
      <c r="CQ331" s="40"/>
      <c r="CR331" s="5"/>
    </row>
    <row r="332">
      <c r="AO332" s="40"/>
      <c r="AP332" s="5"/>
      <c r="AR332" s="40"/>
      <c r="AS332" s="5"/>
      <c r="AU332" s="40"/>
      <c r="AV332" s="5"/>
      <c r="AX332" s="40"/>
      <c r="AY332" s="5"/>
      <c r="BA332" s="40"/>
      <c r="BB332" s="5"/>
      <c r="BD332" s="40"/>
      <c r="BE332" s="5"/>
      <c r="BG332" s="40"/>
      <c r="BH332" s="5"/>
      <c r="BJ332" s="40"/>
      <c r="BK332" s="5"/>
      <c r="BM332" s="40"/>
      <c r="BN332" s="5"/>
      <c r="BP332" s="40"/>
      <c r="BQ332" s="5"/>
      <c r="BS332" s="40"/>
      <c r="BT332" s="5"/>
      <c r="BV332" s="40"/>
      <c r="BW332" s="5"/>
      <c r="BY332" s="40"/>
      <c r="BZ332" s="5"/>
      <c r="CB332" s="40"/>
      <c r="CC332" s="5"/>
      <c r="CE332" s="40"/>
      <c r="CF332" s="5"/>
      <c r="CH332" s="40"/>
      <c r="CI332" s="5"/>
      <c r="CK332" s="40"/>
      <c r="CL332" s="5"/>
      <c r="CN332" s="40"/>
      <c r="CO332" s="5"/>
      <c r="CQ332" s="40"/>
      <c r="CR332" s="5"/>
    </row>
    <row r="333">
      <c r="AO333" s="40"/>
      <c r="AP333" s="5"/>
      <c r="AR333" s="40"/>
      <c r="AS333" s="5"/>
      <c r="AU333" s="40"/>
      <c r="AV333" s="5"/>
      <c r="AX333" s="40"/>
      <c r="AY333" s="5"/>
      <c r="BA333" s="40"/>
      <c r="BB333" s="5"/>
      <c r="BD333" s="40"/>
      <c r="BE333" s="5"/>
      <c r="BG333" s="40"/>
      <c r="BH333" s="5"/>
      <c r="BJ333" s="40"/>
      <c r="BK333" s="5"/>
      <c r="BM333" s="40"/>
      <c r="BN333" s="5"/>
      <c r="BP333" s="40"/>
      <c r="BQ333" s="5"/>
      <c r="BS333" s="40"/>
      <c r="BT333" s="5"/>
      <c r="BV333" s="40"/>
      <c r="BW333" s="5"/>
      <c r="BY333" s="40"/>
      <c r="BZ333" s="5"/>
      <c r="CB333" s="40"/>
      <c r="CC333" s="5"/>
      <c r="CE333" s="40"/>
      <c r="CF333" s="5"/>
      <c r="CH333" s="40"/>
      <c r="CI333" s="5"/>
      <c r="CK333" s="40"/>
      <c r="CL333" s="5"/>
      <c r="CN333" s="40"/>
      <c r="CO333" s="5"/>
      <c r="CQ333" s="40"/>
      <c r="CR333" s="5"/>
    </row>
    <row r="334">
      <c r="AO334" s="40"/>
      <c r="AP334" s="5"/>
      <c r="AR334" s="40"/>
      <c r="AS334" s="5"/>
      <c r="AU334" s="40"/>
      <c r="AV334" s="5"/>
      <c r="AX334" s="40"/>
      <c r="AY334" s="5"/>
      <c r="BA334" s="40"/>
      <c r="BB334" s="5"/>
      <c r="BD334" s="40"/>
      <c r="BE334" s="5"/>
      <c r="BG334" s="40"/>
      <c r="BH334" s="5"/>
      <c r="BJ334" s="40"/>
      <c r="BK334" s="5"/>
      <c r="BM334" s="40"/>
      <c r="BN334" s="5"/>
      <c r="BP334" s="40"/>
      <c r="BQ334" s="5"/>
      <c r="BS334" s="40"/>
      <c r="BT334" s="5"/>
      <c r="BV334" s="40"/>
      <c r="BW334" s="5"/>
      <c r="BY334" s="40"/>
      <c r="BZ334" s="5"/>
      <c r="CB334" s="40"/>
      <c r="CC334" s="5"/>
      <c r="CE334" s="40"/>
      <c r="CF334" s="5"/>
      <c r="CH334" s="40"/>
      <c r="CI334" s="5"/>
      <c r="CK334" s="40"/>
      <c r="CL334" s="5"/>
      <c r="CN334" s="40"/>
      <c r="CO334" s="5"/>
      <c r="CQ334" s="40"/>
      <c r="CR334" s="5"/>
    </row>
    <row r="335">
      <c r="AO335" s="40"/>
      <c r="AP335" s="5"/>
      <c r="AR335" s="40"/>
      <c r="AS335" s="5"/>
      <c r="AU335" s="40"/>
      <c r="AV335" s="5"/>
      <c r="AX335" s="40"/>
      <c r="AY335" s="5"/>
      <c r="BA335" s="40"/>
      <c r="BB335" s="5"/>
      <c r="BD335" s="40"/>
      <c r="BE335" s="5"/>
      <c r="BG335" s="40"/>
      <c r="BH335" s="5"/>
      <c r="BJ335" s="40"/>
      <c r="BK335" s="5"/>
      <c r="BM335" s="40"/>
      <c r="BN335" s="5"/>
      <c r="BP335" s="40"/>
      <c r="BQ335" s="5"/>
      <c r="BS335" s="40"/>
      <c r="BT335" s="5"/>
      <c r="BV335" s="40"/>
      <c r="BW335" s="5"/>
      <c r="BY335" s="40"/>
      <c r="BZ335" s="5"/>
      <c r="CB335" s="40"/>
      <c r="CC335" s="5"/>
      <c r="CE335" s="40"/>
      <c r="CF335" s="5"/>
      <c r="CH335" s="40"/>
      <c r="CI335" s="5"/>
      <c r="CK335" s="40"/>
      <c r="CL335" s="5"/>
      <c r="CN335" s="40"/>
      <c r="CO335" s="5"/>
      <c r="CQ335" s="40"/>
      <c r="CR335" s="5"/>
    </row>
    <row r="336">
      <c r="AO336" s="40"/>
      <c r="AP336" s="5"/>
      <c r="AR336" s="40"/>
      <c r="AS336" s="5"/>
      <c r="AU336" s="40"/>
      <c r="AV336" s="5"/>
      <c r="AX336" s="40"/>
      <c r="AY336" s="5"/>
      <c r="BA336" s="40"/>
      <c r="BB336" s="5"/>
      <c r="BD336" s="40"/>
      <c r="BE336" s="5"/>
      <c r="BG336" s="40"/>
      <c r="BH336" s="5"/>
      <c r="BJ336" s="40"/>
      <c r="BK336" s="5"/>
      <c r="BM336" s="40"/>
      <c r="BN336" s="5"/>
      <c r="BP336" s="40"/>
      <c r="BQ336" s="5"/>
      <c r="BS336" s="40"/>
      <c r="BT336" s="5"/>
      <c r="BV336" s="40"/>
      <c r="BW336" s="5"/>
      <c r="BY336" s="40"/>
      <c r="BZ336" s="5"/>
      <c r="CB336" s="40"/>
      <c r="CC336" s="5"/>
      <c r="CE336" s="40"/>
      <c r="CF336" s="5"/>
      <c r="CH336" s="40"/>
      <c r="CI336" s="5"/>
      <c r="CK336" s="40"/>
      <c r="CL336" s="5"/>
      <c r="CN336" s="40"/>
      <c r="CO336" s="5"/>
      <c r="CQ336" s="40"/>
      <c r="CR336" s="5"/>
    </row>
    <row r="337">
      <c r="AO337" s="40"/>
      <c r="AP337" s="5"/>
      <c r="AR337" s="40"/>
      <c r="AS337" s="5"/>
      <c r="AU337" s="40"/>
      <c r="AV337" s="5"/>
      <c r="AX337" s="40"/>
      <c r="AY337" s="5"/>
      <c r="BA337" s="40"/>
      <c r="BB337" s="5"/>
      <c r="BD337" s="40"/>
      <c r="BE337" s="5"/>
      <c r="BG337" s="40"/>
      <c r="BH337" s="5"/>
      <c r="BJ337" s="40"/>
      <c r="BK337" s="5"/>
      <c r="BM337" s="40"/>
      <c r="BN337" s="5"/>
      <c r="BP337" s="40"/>
      <c r="BQ337" s="5"/>
      <c r="BS337" s="40"/>
      <c r="BT337" s="5"/>
      <c r="BV337" s="40"/>
      <c r="BW337" s="5"/>
      <c r="BY337" s="40"/>
      <c r="BZ337" s="5"/>
      <c r="CB337" s="40"/>
      <c r="CC337" s="5"/>
      <c r="CE337" s="40"/>
      <c r="CF337" s="5"/>
      <c r="CH337" s="40"/>
      <c r="CI337" s="5"/>
      <c r="CK337" s="40"/>
      <c r="CL337" s="5"/>
      <c r="CN337" s="40"/>
      <c r="CO337" s="5"/>
      <c r="CQ337" s="40"/>
      <c r="CR337" s="5"/>
    </row>
    <row r="338">
      <c r="AO338" s="40"/>
      <c r="AP338" s="5"/>
      <c r="AR338" s="40"/>
      <c r="AS338" s="5"/>
      <c r="AU338" s="40"/>
      <c r="AV338" s="5"/>
      <c r="AX338" s="40"/>
      <c r="AY338" s="5"/>
      <c r="BA338" s="40"/>
      <c r="BB338" s="5"/>
      <c r="BD338" s="40"/>
      <c r="BE338" s="5"/>
      <c r="BG338" s="40"/>
      <c r="BH338" s="5"/>
      <c r="BJ338" s="40"/>
      <c r="BK338" s="5"/>
      <c r="BM338" s="40"/>
      <c r="BN338" s="5"/>
      <c r="BP338" s="40"/>
      <c r="BQ338" s="5"/>
      <c r="BS338" s="40"/>
      <c r="BT338" s="5"/>
      <c r="BV338" s="40"/>
      <c r="BW338" s="5"/>
      <c r="BY338" s="40"/>
      <c r="BZ338" s="5"/>
      <c r="CB338" s="40"/>
      <c r="CC338" s="5"/>
      <c r="CE338" s="40"/>
      <c r="CF338" s="5"/>
      <c r="CH338" s="40"/>
      <c r="CI338" s="5"/>
      <c r="CK338" s="40"/>
      <c r="CL338" s="5"/>
      <c r="CN338" s="40"/>
      <c r="CO338" s="5"/>
      <c r="CQ338" s="40"/>
      <c r="CR338" s="5"/>
    </row>
    <row r="339">
      <c r="AO339" s="40"/>
      <c r="AP339" s="5"/>
      <c r="AR339" s="40"/>
      <c r="AS339" s="5"/>
      <c r="AU339" s="40"/>
      <c r="AV339" s="5"/>
      <c r="AX339" s="40"/>
      <c r="AY339" s="5"/>
      <c r="BA339" s="40"/>
      <c r="BB339" s="5"/>
      <c r="BD339" s="40"/>
      <c r="BE339" s="5"/>
      <c r="BG339" s="40"/>
      <c r="BH339" s="5"/>
      <c r="BJ339" s="40"/>
      <c r="BK339" s="5"/>
      <c r="BM339" s="40"/>
      <c r="BN339" s="5"/>
      <c r="BP339" s="40"/>
      <c r="BQ339" s="5"/>
      <c r="BS339" s="40"/>
      <c r="BT339" s="5"/>
      <c r="BV339" s="40"/>
      <c r="BW339" s="5"/>
      <c r="BY339" s="40"/>
      <c r="BZ339" s="5"/>
      <c r="CB339" s="40"/>
      <c r="CC339" s="5"/>
      <c r="CE339" s="40"/>
      <c r="CF339" s="5"/>
      <c r="CH339" s="40"/>
      <c r="CI339" s="5"/>
      <c r="CK339" s="40"/>
      <c r="CL339" s="5"/>
      <c r="CN339" s="40"/>
      <c r="CO339" s="5"/>
      <c r="CQ339" s="40"/>
      <c r="CR339" s="5"/>
    </row>
    <row r="340">
      <c r="AO340" s="40"/>
      <c r="AP340" s="5"/>
      <c r="AR340" s="40"/>
      <c r="AS340" s="5"/>
      <c r="AU340" s="40"/>
      <c r="AV340" s="5"/>
      <c r="AX340" s="40"/>
      <c r="AY340" s="5"/>
      <c r="BA340" s="40"/>
      <c r="BB340" s="5"/>
      <c r="BD340" s="40"/>
      <c r="BE340" s="5"/>
      <c r="BG340" s="40"/>
      <c r="BH340" s="5"/>
      <c r="BJ340" s="40"/>
      <c r="BK340" s="5"/>
      <c r="BM340" s="40"/>
      <c r="BN340" s="5"/>
      <c r="BP340" s="40"/>
      <c r="BQ340" s="5"/>
      <c r="BS340" s="40"/>
      <c r="BT340" s="5"/>
      <c r="BV340" s="40"/>
      <c r="BW340" s="5"/>
      <c r="BY340" s="40"/>
      <c r="BZ340" s="5"/>
      <c r="CB340" s="40"/>
      <c r="CC340" s="5"/>
      <c r="CE340" s="40"/>
      <c r="CF340" s="5"/>
      <c r="CH340" s="40"/>
      <c r="CI340" s="5"/>
      <c r="CK340" s="40"/>
      <c r="CL340" s="5"/>
      <c r="CN340" s="40"/>
      <c r="CO340" s="5"/>
      <c r="CQ340" s="40"/>
      <c r="CR340" s="5"/>
    </row>
    <row r="341">
      <c r="AO341" s="40"/>
      <c r="AP341" s="5"/>
      <c r="AR341" s="40"/>
      <c r="AS341" s="5"/>
      <c r="AU341" s="40"/>
      <c r="AV341" s="5"/>
      <c r="AX341" s="40"/>
      <c r="AY341" s="5"/>
      <c r="BA341" s="40"/>
      <c r="BB341" s="5"/>
      <c r="BD341" s="40"/>
      <c r="BE341" s="5"/>
      <c r="BG341" s="40"/>
      <c r="BH341" s="5"/>
      <c r="BJ341" s="40"/>
      <c r="BK341" s="5"/>
      <c r="BM341" s="40"/>
      <c r="BN341" s="5"/>
      <c r="BP341" s="40"/>
      <c r="BQ341" s="5"/>
      <c r="BS341" s="40"/>
      <c r="BT341" s="5"/>
      <c r="BV341" s="40"/>
      <c r="BW341" s="5"/>
      <c r="BY341" s="40"/>
      <c r="BZ341" s="5"/>
      <c r="CB341" s="40"/>
      <c r="CC341" s="5"/>
      <c r="CE341" s="40"/>
      <c r="CF341" s="5"/>
      <c r="CH341" s="40"/>
      <c r="CI341" s="5"/>
      <c r="CK341" s="40"/>
      <c r="CL341" s="5"/>
      <c r="CN341" s="40"/>
      <c r="CO341" s="5"/>
      <c r="CQ341" s="40"/>
      <c r="CR341" s="5"/>
    </row>
    <row r="342">
      <c r="AO342" s="40"/>
      <c r="AP342" s="5"/>
      <c r="AR342" s="40"/>
      <c r="AS342" s="5"/>
      <c r="AU342" s="40"/>
      <c r="AV342" s="5"/>
      <c r="AX342" s="40"/>
      <c r="AY342" s="5"/>
      <c r="BA342" s="40"/>
      <c r="BB342" s="5"/>
      <c r="BD342" s="40"/>
      <c r="BE342" s="5"/>
      <c r="BG342" s="40"/>
      <c r="BH342" s="5"/>
      <c r="BJ342" s="40"/>
      <c r="BK342" s="5"/>
      <c r="BM342" s="40"/>
      <c r="BN342" s="5"/>
      <c r="BP342" s="40"/>
      <c r="BQ342" s="5"/>
      <c r="BS342" s="40"/>
      <c r="BT342" s="5"/>
      <c r="BV342" s="40"/>
      <c r="BW342" s="5"/>
      <c r="BY342" s="40"/>
      <c r="BZ342" s="5"/>
      <c r="CB342" s="40"/>
      <c r="CC342" s="5"/>
      <c r="CE342" s="40"/>
      <c r="CF342" s="5"/>
      <c r="CH342" s="40"/>
      <c r="CI342" s="5"/>
      <c r="CK342" s="40"/>
      <c r="CL342" s="5"/>
      <c r="CN342" s="40"/>
      <c r="CO342" s="5"/>
      <c r="CQ342" s="40"/>
      <c r="CR342" s="5"/>
    </row>
    <row r="343">
      <c r="AO343" s="40"/>
      <c r="AP343" s="5"/>
      <c r="AR343" s="40"/>
      <c r="AS343" s="5"/>
      <c r="AU343" s="40"/>
      <c r="AV343" s="5"/>
      <c r="AX343" s="40"/>
      <c r="AY343" s="5"/>
      <c r="BA343" s="40"/>
      <c r="BB343" s="5"/>
      <c r="BD343" s="40"/>
      <c r="BE343" s="5"/>
      <c r="BG343" s="40"/>
      <c r="BH343" s="5"/>
      <c r="BJ343" s="40"/>
      <c r="BK343" s="5"/>
      <c r="BM343" s="40"/>
      <c r="BN343" s="5"/>
      <c r="BP343" s="40"/>
      <c r="BQ343" s="5"/>
      <c r="BS343" s="40"/>
      <c r="BT343" s="5"/>
      <c r="BV343" s="40"/>
      <c r="BW343" s="5"/>
      <c r="BY343" s="40"/>
      <c r="BZ343" s="5"/>
      <c r="CB343" s="40"/>
      <c r="CC343" s="5"/>
      <c r="CE343" s="40"/>
      <c r="CF343" s="5"/>
      <c r="CH343" s="40"/>
      <c r="CI343" s="5"/>
      <c r="CK343" s="40"/>
      <c r="CL343" s="5"/>
      <c r="CN343" s="40"/>
      <c r="CO343" s="5"/>
      <c r="CQ343" s="40"/>
      <c r="CR343" s="5"/>
    </row>
    <row r="344">
      <c r="AO344" s="40"/>
      <c r="AP344" s="5"/>
      <c r="AR344" s="40"/>
      <c r="AS344" s="5"/>
      <c r="AU344" s="40"/>
      <c r="AV344" s="5"/>
      <c r="AX344" s="40"/>
      <c r="AY344" s="5"/>
      <c r="BA344" s="40"/>
      <c r="BB344" s="5"/>
      <c r="BD344" s="40"/>
      <c r="BE344" s="5"/>
      <c r="BG344" s="40"/>
      <c r="BH344" s="5"/>
      <c r="BJ344" s="40"/>
      <c r="BK344" s="5"/>
      <c r="BM344" s="40"/>
      <c r="BN344" s="5"/>
      <c r="BP344" s="40"/>
      <c r="BQ344" s="5"/>
      <c r="BS344" s="40"/>
      <c r="BT344" s="5"/>
      <c r="BV344" s="40"/>
      <c r="BW344" s="5"/>
      <c r="BY344" s="40"/>
      <c r="BZ344" s="5"/>
      <c r="CB344" s="40"/>
      <c r="CC344" s="5"/>
      <c r="CE344" s="40"/>
      <c r="CF344" s="5"/>
      <c r="CH344" s="40"/>
      <c r="CI344" s="5"/>
      <c r="CK344" s="40"/>
      <c r="CL344" s="5"/>
      <c r="CN344" s="40"/>
      <c r="CO344" s="5"/>
      <c r="CQ344" s="40"/>
      <c r="CR344" s="5"/>
    </row>
    <row r="345">
      <c r="AO345" s="40"/>
      <c r="AP345" s="5"/>
      <c r="AR345" s="40"/>
      <c r="AS345" s="5"/>
      <c r="AU345" s="40"/>
      <c r="AV345" s="5"/>
      <c r="AX345" s="40"/>
      <c r="AY345" s="5"/>
      <c r="BA345" s="40"/>
      <c r="BB345" s="5"/>
      <c r="BD345" s="40"/>
      <c r="BE345" s="5"/>
      <c r="BG345" s="40"/>
      <c r="BH345" s="5"/>
      <c r="BJ345" s="40"/>
      <c r="BK345" s="5"/>
      <c r="BM345" s="40"/>
      <c r="BN345" s="5"/>
      <c r="BP345" s="40"/>
      <c r="BQ345" s="5"/>
      <c r="BS345" s="40"/>
      <c r="BT345" s="5"/>
      <c r="BV345" s="40"/>
      <c r="BW345" s="5"/>
      <c r="BY345" s="40"/>
      <c r="BZ345" s="5"/>
      <c r="CB345" s="40"/>
      <c r="CC345" s="5"/>
      <c r="CE345" s="40"/>
      <c r="CF345" s="5"/>
      <c r="CH345" s="40"/>
      <c r="CI345" s="5"/>
      <c r="CK345" s="40"/>
      <c r="CL345" s="5"/>
      <c r="CN345" s="40"/>
      <c r="CO345" s="5"/>
      <c r="CQ345" s="40"/>
      <c r="CR345" s="5"/>
    </row>
    <row r="346">
      <c r="AO346" s="40"/>
      <c r="AP346" s="5"/>
      <c r="AR346" s="40"/>
      <c r="AS346" s="5"/>
      <c r="AU346" s="40"/>
      <c r="AV346" s="5"/>
      <c r="AX346" s="40"/>
      <c r="AY346" s="5"/>
      <c r="BA346" s="40"/>
      <c r="BB346" s="5"/>
      <c r="BD346" s="40"/>
      <c r="BE346" s="5"/>
      <c r="BG346" s="40"/>
      <c r="BH346" s="5"/>
      <c r="BJ346" s="40"/>
      <c r="BK346" s="5"/>
      <c r="BM346" s="40"/>
      <c r="BN346" s="5"/>
      <c r="BP346" s="40"/>
      <c r="BQ346" s="5"/>
      <c r="BS346" s="40"/>
      <c r="BT346" s="5"/>
      <c r="BV346" s="40"/>
      <c r="BW346" s="5"/>
      <c r="BY346" s="40"/>
      <c r="BZ346" s="5"/>
      <c r="CB346" s="40"/>
      <c r="CC346" s="5"/>
      <c r="CE346" s="40"/>
      <c r="CF346" s="5"/>
      <c r="CH346" s="40"/>
      <c r="CI346" s="5"/>
      <c r="CK346" s="40"/>
      <c r="CL346" s="5"/>
      <c r="CN346" s="40"/>
      <c r="CO346" s="5"/>
      <c r="CQ346" s="40"/>
      <c r="CR346" s="5"/>
    </row>
    <row r="347">
      <c r="AO347" s="40"/>
      <c r="AP347" s="5"/>
      <c r="AR347" s="40"/>
      <c r="AS347" s="5"/>
      <c r="AU347" s="40"/>
      <c r="AV347" s="5"/>
      <c r="AX347" s="40"/>
      <c r="AY347" s="5"/>
      <c r="BA347" s="40"/>
      <c r="BB347" s="5"/>
      <c r="BD347" s="40"/>
      <c r="BE347" s="5"/>
      <c r="BG347" s="40"/>
      <c r="BH347" s="5"/>
      <c r="BJ347" s="40"/>
      <c r="BK347" s="5"/>
      <c r="BM347" s="40"/>
      <c r="BN347" s="5"/>
      <c r="BP347" s="40"/>
      <c r="BQ347" s="5"/>
      <c r="BS347" s="40"/>
      <c r="BT347" s="5"/>
      <c r="BV347" s="40"/>
      <c r="BW347" s="5"/>
      <c r="BY347" s="40"/>
      <c r="BZ347" s="5"/>
      <c r="CB347" s="40"/>
      <c r="CC347" s="5"/>
      <c r="CE347" s="40"/>
      <c r="CF347" s="5"/>
      <c r="CH347" s="40"/>
      <c r="CI347" s="5"/>
      <c r="CK347" s="40"/>
      <c r="CL347" s="5"/>
      <c r="CN347" s="40"/>
      <c r="CO347" s="5"/>
      <c r="CQ347" s="40"/>
      <c r="CR347" s="5"/>
    </row>
    <row r="348">
      <c r="AO348" s="40"/>
      <c r="AP348" s="5"/>
      <c r="AR348" s="40"/>
      <c r="AS348" s="5"/>
      <c r="AU348" s="40"/>
      <c r="AV348" s="5"/>
      <c r="AX348" s="40"/>
      <c r="AY348" s="5"/>
      <c r="BA348" s="40"/>
      <c r="BB348" s="5"/>
      <c r="BD348" s="40"/>
      <c r="BE348" s="5"/>
      <c r="BG348" s="40"/>
      <c r="BH348" s="5"/>
      <c r="BJ348" s="40"/>
      <c r="BK348" s="5"/>
      <c r="BM348" s="40"/>
      <c r="BN348" s="5"/>
      <c r="BP348" s="40"/>
      <c r="BQ348" s="5"/>
      <c r="BS348" s="40"/>
      <c r="BT348" s="5"/>
      <c r="BV348" s="40"/>
      <c r="BW348" s="5"/>
      <c r="BY348" s="40"/>
      <c r="BZ348" s="5"/>
      <c r="CB348" s="40"/>
      <c r="CC348" s="5"/>
      <c r="CE348" s="40"/>
      <c r="CF348" s="5"/>
      <c r="CH348" s="40"/>
      <c r="CI348" s="5"/>
      <c r="CK348" s="40"/>
      <c r="CL348" s="5"/>
      <c r="CN348" s="40"/>
      <c r="CO348" s="5"/>
      <c r="CQ348" s="40"/>
      <c r="CR348" s="5"/>
    </row>
    <row r="349">
      <c r="AO349" s="40"/>
      <c r="AP349" s="5"/>
      <c r="AR349" s="40"/>
      <c r="AS349" s="5"/>
      <c r="AU349" s="40"/>
      <c r="AV349" s="5"/>
      <c r="AX349" s="40"/>
      <c r="AY349" s="5"/>
      <c r="BA349" s="40"/>
      <c r="BB349" s="5"/>
      <c r="BD349" s="40"/>
      <c r="BE349" s="5"/>
      <c r="BG349" s="40"/>
      <c r="BH349" s="5"/>
      <c r="BJ349" s="40"/>
      <c r="BK349" s="5"/>
      <c r="BM349" s="40"/>
      <c r="BN349" s="5"/>
      <c r="BP349" s="40"/>
      <c r="BQ349" s="5"/>
      <c r="BS349" s="40"/>
      <c r="BT349" s="5"/>
      <c r="BV349" s="40"/>
      <c r="BW349" s="5"/>
      <c r="BY349" s="40"/>
      <c r="BZ349" s="5"/>
      <c r="CB349" s="40"/>
      <c r="CC349" s="5"/>
      <c r="CE349" s="40"/>
      <c r="CF349" s="5"/>
      <c r="CH349" s="40"/>
      <c r="CI349" s="5"/>
      <c r="CK349" s="40"/>
      <c r="CL349" s="5"/>
      <c r="CN349" s="40"/>
      <c r="CO349" s="5"/>
      <c r="CQ349" s="40"/>
      <c r="CR349" s="5"/>
    </row>
    <row r="350">
      <c r="AO350" s="40"/>
      <c r="AP350" s="5"/>
      <c r="AR350" s="40"/>
      <c r="AS350" s="5"/>
      <c r="AU350" s="40"/>
      <c r="AV350" s="5"/>
      <c r="AX350" s="40"/>
      <c r="AY350" s="5"/>
      <c r="BA350" s="40"/>
      <c r="BB350" s="5"/>
      <c r="BD350" s="40"/>
      <c r="BE350" s="5"/>
      <c r="BG350" s="40"/>
      <c r="BH350" s="5"/>
      <c r="BJ350" s="40"/>
      <c r="BK350" s="5"/>
      <c r="BM350" s="40"/>
      <c r="BN350" s="5"/>
      <c r="BP350" s="40"/>
      <c r="BQ350" s="5"/>
      <c r="BS350" s="40"/>
      <c r="BT350" s="5"/>
      <c r="BV350" s="40"/>
      <c r="BW350" s="5"/>
      <c r="BY350" s="40"/>
      <c r="BZ350" s="5"/>
      <c r="CB350" s="40"/>
      <c r="CC350" s="5"/>
      <c r="CE350" s="40"/>
      <c r="CF350" s="5"/>
      <c r="CH350" s="40"/>
      <c r="CI350" s="5"/>
      <c r="CK350" s="40"/>
      <c r="CL350" s="5"/>
      <c r="CN350" s="40"/>
      <c r="CO350" s="5"/>
      <c r="CQ350" s="40"/>
      <c r="CR350" s="5"/>
    </row>
    <row r="351">
      <c r="AO351" s="40"/>
      <c r="AP351" s="5"/>
      <c r="AR351" s="40"/>
      <c r="AS351" s="5"/>
      <c r="AU351" s="40"/>
      <c r="AV351" s="5"/>
      <c r="AX351" s="40"/>
      <c r="AY351" s="5"/>
      <c r="BA351" s="40"/>
      <c r="BB351" s="5"/>
      <c r="BD351" s="40"/>
      <c r="BE351" s="5"/>
      <c r="BG351" s="40"/>
      <c r="BH351" s="5"/>
      <c r="BJ351" s="40"/>
      <c r="BK351" s="5"/>
      <c r="BM351" s="40"/>
      <c r="BN351" s="5"/>
      <c r="BP351" s="40"/>
      <c r="BQ351" s="5"/>
      <c r="BS351" s="40"/>
      <c r="BT351" s="5"/>
      <c r="BV351" s="40"/>
      <c r="BW351" s="5"/>
      <c r="BY351" s="40"/>
      <c r="BZ351" s="5"/>
      <c r="CB351" s="40"/>
      <c r="CC351" s="5"/>
      <c r="CE351" s="40"/>
      <c r="CF351" s="5"/>
      <c r="CH351" s="40"/>
      <c r="CI351" s="5"/>
      <c r="CK351" s="40"/>
      <c r="CL351" s="5"/>
      <c r="CN351" s="40"/>
      <c r="CO351" s="5"/>
      <c r="CQ351" s="40"/>
      <c r="CR351" s="5"/>
    </row>
    <row r="352">
      <c r="AO352" s="40"/>
      <c r="AP352" s="5"/>
      <c r="AR352" s="40"/>
      <c r="AS352" s="5"/>
      <c r="AU352" s="40"/>
      <c r="AV352" s="5"/>
      <c r="AX352" s="40"/>
      <c r="AY352" s="5"/>
      <c r="BA352" s="40"/>
      <c r="BB352" s="5"/>
      <c r="BD352" s="40"/>
      <c r="BE352" s="5"/>
      <c r="BG352" s="40"/>
      <c r="BH352" s="5"/>
      <c r="BJ352" s="40"/>
      <c r="BK352" s="5"/>
      <c r="BM352" s="40"/>
      <c r="BN352" s="5"/>
      <c r="BP352" s="40"/>
      <c r="BQ352" s="5"/>
      <c r="BS352" s="40"/>
      <c r="BT352" s="5"/>
      <c r="BV352" s="40"/>
      <c r="BW352" s="5"/>
      <c r="BY352" s="40"/>
      <c r="BZ352" s="5"/>
      <c r="CB352" s="40"/>
      <c r="CC352" s="5"/>
      <c r="CE352" s="40"/>
      <c r="CF352" s="5"/>
      <c r="CH352" s="40"/>
      <c r="CI352" s="5"/>
      <c r="CK352" s="40"/>
      <c r="CL352" s="5"/>
      <c r="CN352" s="40"/>
      <c r="CO352" s="5"/>
      <c r="CQ352" s="40"/>
      <c r="CR352" s="5"/>
    </row>
    <row r="353">
      <c r="AO353" s="40"/>
      <c r="AP353" s="5"/>
      <c r="AR353" s="40"/>
      <c r="AS353" s="5"/>
      <c r="AU353" s="40"/>
      <c r="AV353" s="5"/>
      <c r="AX353" s="40"/>
      <c r="AY353" s="5"/>
      <c r="BA353" s="40"/>
      <c r="BB353" s="5"/>
      <c r="BD353" s="40"/>
      <c r="BE353" s="5"/>
      <c r="BG353" s="40"/>
      <c r="BH353" s="5"/>
      <c r="BJ353" s="40"/>
      <c r="BK353" s="5"/>
      <c r="BM353" s="40"/>
      <c r="BN353" s="5"/>
      <c r="BP353" s="40"/>
      <c r="BQ353" s="5"/>
      <c r="BS353" s="40"/>
      <c r="BT353" s="5"/>
      <c r="BV353" s="40"/>
      <c r="BW353" s="5"/>
      <c r="BY353" s="40"/>
      <c r="BZ353" s="5"/>
      <c r="CB353" s="40"/>
      <c r="CC353" s="5"/>
      <c r="CE353" s="40"/>
      <c r="CF353" s="5"/>
      <c r="CH353" s="40"/>
      <c r="CI353" s="5"/>
      <c r="CK353" s="40"/>
      <c r="CL353" s="5"/>
      <c r="CN353" s="40"/>
      <c r="CO353" s="5"/>
      <c r="CQ353" s="40"/>
      <c r="CR353" s="5"/>
    </row>
    <row r="354">
      <c r="AO354" s="40"/>
      <c r="AP354" s="5"/>
      <c r="AR354" s="40"/>
      <c r="AS354" s="5"/>
      <c r="AU354" s="40"/>
      <c r="AV354" s="5"/>
      <c r="AX354" s="40"/>
      <c r="AY354" s="5"/>
      <c r="BA354" s="40"/>
      <c r="BB354" s="5"/>
      <c r="BD354" s="40"/>
      <c r="BE354" s="5"/>
      <c r="BG354" s="40"/>
      <c r="BH354" s="5"/>
      <c r="BJ354" s="40"/>
      <c r="BK354" s="5"/>
      <c r="BM354" s="40"/>
      <c r="BN354" s="5"/>
      <c r="BP354" s="40"/>
      <c r="BQ354" s="5"/>
      <c r="BS354" s="40"/>
      <c r="BT354" s="5"/>
      <c r="BV354" s="40"/>
      <c r="BW354" s="5"/>
      <c r="BY354" s="40"/>
      <c r="BZ354" s="5"/>
      <c r="CB354" s="40"/>
      <c r="CC354" s="5"/>
      <c r="CE354" s="40"/>
      <c r="CF354" s="5"/>
      <c r="CH354" s="40"/>
      <c r="CI354" s="5"/>
      <c r="CK354" s="40"/>
      <c r="CL354" s="5"/>
      <c r="CN354" s="40"/>
      <c r="CO354" s="5"/>
      <c r="CQ354" s="40"/>
      <c r="CR354" s="5"/>
    </row>
    <row r="355">
      <c r="AO355" s="40"/>
      <c r="AP355" s="5"/>
      <c r="AR355" s="40"/>
      <c r="AS355" s="5"/>
      <c r="AU355" s="40"/>
      <c r="AV355" s="5"/>
      <c r="AX355" s="40"/>
      <c r="AY355" s="5"/>
      <c r="BA355" s="40"/>
      <c r="BB355" s="5"/>
      <c r="BD355" s="40"/>
      <c r="BE355" s="5"/>
      <c r="BG355" s="40"/>
      <c r="BH355" s="5"/>
      <c r="BJ355" s="40"/>
      <c r="BK355" s="5"/>
      <c r="BM355" s="40"/>
      <c r="BN355" s="5"/>
      <c r="BP355" s="40"/>
      <c r="BQ355" s="5"/>
      <c r="BS355" s="40"/>
      <c r="BT355" s="5"/>
      <c r="BV355" s="40"/>
      <c r="BW355" s="5"/>
      <c r="BY355" s="40"/>
      <c r="BZ355" s="5"/>
      <c r="CB355" s="40"/>
      <c r="CC355" s="5"/>
      <c r="CE355" s="40"/>
      <c r="CF355" s="5"/>
      <c r="CH355" s="40"/>
      <c r="CI355" s="5"/>
      <c r="CK355" s="40"/>
      <c r="CL355" s="5"/>
      <c r="CN355" s="40"/>
      <c r="CO355" s="5"/>
      <c r="CQ355" s="40"/>
      <c r="CR355" s="5"/>
    </row>
    <row r="356">
      <c r="AO356" s="40"/>
      <c r="AP356" s="5"/>
      <c r="AR356" s="40"/>
      <c r="AS356" s="5"/>
      <c r="AU356" s="40"/>
      <c r="AV356" s="5"/>
      <c r="AX356" s="40"/>
      <c r="AY356" s="5"/>
      <c r="BA356" s="40"/>
      <c r="BB356" s="5"/>
      <c r="BD356" s="40"/>
      <c r="BE356" s="5"/>
      <c r="BG356" s="40"/>
      <c r="BH356" s="5"/>
      <c r="BJ356" s="40"/>
      <c r="BK356" s="5"/>
      <c r="BM356" s="40"/>
      <c r="BN356" s="5"/>
      <c r="BP356" s="40"/>
      <c r="BQ356" s="5"/>
      <c r="BS356" s="40"/>
      <c r="BT356" s="5"/>
      <c r="BV356" s="40"/>
      <c r="BW356" s="5"/>
      <c r="BY356" s="40"/>
      <c r="BZ356" s="5"/>
      <c r="CB356" s="40"/>
      <c r="CC356" s="5"/>
      <c r="CE356" s="40"/>
      <c r="CF356" s="5"/>
      <c r="CH356" s="40"/>
      <c r="CI356" s="5"/>
      <c r="CK356" s="40"/>
      <c r="CL356" s="5"/>
      <c r="CN356" s="40"/>
      <c r="CO356" s="5"/>
      <c r="CQ356" s="40"/>
      <c r="CR356" s="5"/>
    </row>
    <row r="357">
      <c r="AO357" s="40"/>
      <c r="AP357" s="5"/>
      <c r="AR357" s="40"/>
      <c r="AS357" s="5"/>
      <c r="AU357" s="40"/>
      <c r="AV357" s="5"/>
      <c r="AX357" s="40"/>
      <c r="AY357" s="5"/>
      <c r="BA357" s="40"/>
      <c r="BB357" s="5"/>
      <c r="BD357" s="40"/>
      <c r="BE357" s="5"/>
      <c r="BG357" s="40"/>
      <c r="BH357" s="5"/>
      <c r="BJ357" s="40"/>
      <c r="BK357" s="5"/>
      <c r="BM357" s="40"/>
      <c r="BN357" s="5"/>
      <c r="BP357" s="40"/>
      <c r="BQ357" s="5"/>
      <c r="BS357" s="40"/>
      <c r="BT357" s="5"/>
      <c r="BV357" s="40"/>
      <c r="BW357" s="5"/>
      <c r="BY357" s="40"/>
      <c r="BZ357" s="5"/>
      <c r="CB357" s="40"/>
      <c r="CC357" s="5"/>
      <c r="CE357" s="40"/>
      <c r="CF357" s="5"/>
      <c r="CH357" s="40"/>
      <c r="CI357" s="5"/>
      <c r="CK357" s="40"/>
      <c r="CL357" s="5"/>
      <c r="CN357" s="40"/>
      <c r="CO357" s="5"/>
      <c r="CQ357" s="40"/>
      <c r="CR357" s="5"/>
    </row>
    <row r="358">
      <c r="AO358" s="40"/>
      <c r="AP358" s="5"/>
      <c r="AR358" s="40"/>
      <c r="AS358" s="5"/>
      <c r="AU358" s="40"/>
      <c r="AV358" s="5"/>
      <c r="AX358" s="40"/>
      <c r="AY358" s="5"/>
      <c r="BA358" s="40"/>
      <c r="BB358" s="5"/>
      <c r="BD358" s="40"/>
      <c r="BE358" s="5"/>
      <c r="BG358" s="40"/>
      <c r="BH358" s="5"/>
      <c r="BJ358" s="40"/>
      <c r="BK358" s="5"/>
      <c r="BM358" s="40"/>
      <c r="BN358" s="5"/>
      <c r="BP358" s="40"/>
      <c r="BQ358" s="5"/>
      <c r="BS358" s="40"/>
      <c r="BT358" s="5"/>
      <c r="BV358" s="40"/>
      <c r="BW358" s="5"/>
      <c r="BY358" s="40"/>
      <c r="BZ358" s="5"/>
      <c r="CB358" s="40"/>
      <c r="CC358" s="5"/>
      <c r="CE358" s="40"/>
      <c r="CF358" s="5"/>
      <c r="CH358" s="40"/>
      <c r="CI358" s="5"/>
      <c r="CK358" s="40"/>
      <c r="CL358" s="5"/>
      <c r="CN358" s="40"/>
      <c r="CO358" s="5"/>
      <c r="CQ358" s="40"/>
      <c r="CR358" s="5"/>
    </row>
    <row r="359">
      <c r="AO359" s="40"/>
      <c r="AP359" s="5"/>
      <c r="AR359" s="40"/>
      <c r="AS359" s="5"/>
      <c r="AU359" s="40"/>
      <c r="AV359" s="5"/>
      <c r="AX359" s="40"/>
      <c r="AY359" s="5"/>
      <c r="BA359" s="40"/>
      <c r="BB359" s="5"/>
      <c r="BD359" s="40"/>
      <c r="BE359" s="5"/>
      <c r="BG359" s="40"/>
      <c r="BH359" s="5"/>
      <c r="BJ359" s="40"/>
      <c r="BK359" s="5"/>
      <c r="BM359" s="40"/>
      <c r="BN359" s="5"/>
      <c r="BP359" s="40"/>
      <c r="BQ359" s="5"/>
      <c r="BS359" s="40"/>
      <c r="BT359" s="5"/>
      <c r="BV359" s="40"/>
      <c r="BW359" s="5"/>
      <c r="BY359" s="40"/>
      <c r="BZ359" s="5"/>
      <c r="CB359" s="40"/>
      <c r="CC359" s="5"/>
      <c r="CE359" s="40"/>
      <c r="CF359" s="5"/>
      <c r="CH359" s="40"/>
      <c r="CI359" s="5"/>
      <c r="CK359" s="40"/>
      <c r="CL359" s="5"/>
      <c r="CN359" s="40"/>
      <c r="CO359" s="5"/>
      <c r="CQ359" s="40"/>
      <c r="CR359" s="5"/>
    </row>
    <row r="360">
      <c r="AO360" s="40"/>
      <c r="AP360" s="5"/>
      <c r="AR360" s="40"/>
      <c r="AS360" s="5"/>
      <c r="AU360" s="40"/>
      <c r="AV360" s="5"/>
      <c r="AX360" s="40"/>
      <c r="AY360" s="5"/>
      <c r="BA360" s="40"/>
      <c r="BB360" s="5"/>
      <c r="BD360" s="40"/>
      <c r="BE360" s="5"/>
      <c r="BG360" s="40"/>
      <c r="BH360" s="5"/>
      <c r="BJ360" s="40"/>
      <c r="BK360" s="5"/>
      <c r="BM360" s="40"/>
      <c r="BN360" s="5"/>
      <c r="BP360" s="40"/>
      <c r="BQ360" s="5"/>
      <c r="BS360" s="40"/>
      <c r="BT360" s="5"/>
      <c r="BV360" s="40"/>
      <c r="BW360" s="5"/>
      <c r="BY360" s="40"/>
      <c r="BZ360" s="5"/>
      <c r="CB360" s="40"/>
      <c r="CC360" s="5"/>
      <c r="CE360" s="40"/>
      <c r="CF360" s="5"/>
      <c r="CH360" s="40"/>
      <c r="CI360" s="5"/>
      <c r="CK360" s="40"/>
      <c r="CL360" s="5"/>
      <c r="CN360" s="40"/>
      <c r="CO360" s="5"/>
      <c r="CQ360" s="40"/>
      <c r="CR360" s="5"/>
    </row>
    <row r="361">
      <c r="AO361" s="40"/>
      <c r="AP361" s="5"/>
      <c r="AR361" s="40"/>
      <c r="AS361" s="5"/>
      <c r="AU361" s="40"/>
      <c r="AV361" s="5"/>
      <c r="AX361" s="40"/>
      <c r="AY361" s="5"/>
      <c r="BA361" s="40"/>
      <c r="BB361" s="5"/>
      <c r="BD361" s="40"/>
      <c r="BE361" s="5"/>
      <c r="BG361" s="40"/>
      <c r="BH361" s="5"/>
      <c r="BJ361" s="40"/>
      <c r="BK361" s="5"/>
      <c r="BM361" s="40"/>
      <c r="BN361" s="5"/>
      <c r="BP361" s="40"/>
      <c r="BQ361" s="5"/>
      <c r="BS361" s="40"/>
      <c r="BT361" s="5"/>
      <c r="BV361" s="40"/>
      <c r="BW361" s="5"/>
      <c r="BY361" s="40"/>
      <c r="BZ361" s="5"/>
      <c r="CB361" s="40"/>
      <c r="CC361" s="5"/>
      <c r="CE361" s="40"/>
      <c r="CF361" s="5"/>
      <c r="CH361" s="40"/>
      <c r="CI361" s="5"/>
      <c r="CK361" s="40"/>
      <c r="CL361" s="5"/>
      <c r="CN361" s="40"/>
      <c r="CO361" s="5"/>
      <c r="CQ361" s="40"/>
      <c r="CR361" s="5"/>
    </row>
    <row r="362">
      <c r="AO362" s="40"/>
      <c r="AP362" s="5"/>
      <c r="AR362" s="40"/>
      <c r="AS362" s="5"/>
      <c r="AU362" s="40"/>
      <c r="AV362" s="5"/>
      <c r="AX362" s="40"/>
      <c r="AY362" s="5"/>
      <c r="BA362" s="40"/>
      <c r="BB362" s="5"/>
      <c r="BD362" s="40"/>
      <c r="BE362" s="5"/>
      <c r="BG362" s="40"/>
      <c r="BH362" s="5"/>
      <c r="BJ362" s="40"/>
      <c r="BK362" s="5"/>
      <c r="BM362" s="40"/>
      <c r="BN362" s="5"/>
      <c r="BP362" s="40"/>
      <c r="BQ362" s="5"/>
      <c r="BS362" s="40"/>
      <c r="BT362" s="5"/>
      <c r="BV362" s="40"/>
      <c r="BW362" s="5"/>
      <c r="BY362" s="40"/>
      <c r="BZ362" s="5"/>
      <c r="CB362" s="40"/>
      <c r="CC362" s="5"/>
      <c r="CE362" s="40"/>
      <c r="CF362" s="5"/>
      <c r="CH362" s="40"/>
      <c r="CI362" s="5"/>
      <c r="CK362" s="40"/>
      <c r="CL362" s="5"/>
      <c r="CN362" s="40"/>
      <c r="CO362" s="5"/>
      <c r="CQ362" s="40"/>
      <c r="CR362" s="5"/>
    </row>
    <row r="363">
      <c r="AO363" s="40"/>
      <c r="AP363" s="5"/>
      <c r="AR363" s="40"/>
      <c r="AS363" s="5"/>
      <c r="AU363" s="40"/>
      <c r="AV363" s="5"/>
      <c r="AX363" s="40"/>
      <c r="AY363" s="5"/>
      <c r="BA363" s="40"/>
      <c r="BB363" s="5"/>
      <c r="BD363" s="40"/>
      <c r="BE363" s="5"/>
      <c r="BG363" s="40"/>
      <c r="BH363" s="5"/>
      <c r="BJ363" s="40"/>
      <c r="BK363" s="5"/>
      <c r="BM363" s="40"/>
      <c r="BN363" s="5"/>
      <c r="BP363" s="40"/>
      <c r="BQ363" s="5"/>
      <c r="BS363" s="40"/>
      <c r="BT363" s="5"/>
      <c r="BV363" s="40"/>
      <c r="BW363" s="5"/>
      <c r="BY363" s="40"/>
      <c r="BZ363" s="5"/>
      <c r="CB363" s="40"/>
      <c r="CC363" s="5"/>
      <c r="CE363" s="40"/>
      <c r="CF363" s="5"/>
      <c r="CH363" s="40"/>
      <c r="CI363" s="5"/>
      <c r="CK363" s="40"/>
      <c r="CL363" s="5"/>
      <c r="CN363" s="40"/>
      <c r="CO363" s="5"/>
      <c r="CQ363" s="40"/>
      <c r="CR363" s="5"/>
    </row>
    <row r="364">
      <c r="AO364" s="40"/>
      <c r="AP364" s="5"/>
      <c r="AR364" s="40"/>
      <c r="AS364" s="5"/>
      <c r="AU364" s="40"/>
      <c r="AV364" s="5"/>
      <c r="AX364" s="40"/>
      <c r="AY364" s="5"/>
      <c r="BA364" s="40"/>
      <c r="BB364" s="5"/>
      <c r="BD364" s="40"/>
      <c r="BE364" s="5"/>
      <c r="BG364" s="40"/>
      <c r="BH364" s="5"/>
      <c r="BJ364" s="40"/>
      <c r="BK364" s="5"/>
      <c r="BM364" s="40"/>
      <c r="BN364" s="5"/>
      <c r="BP364" s="40"/>
      <c r="BQ364" s="5"/>
      <c r="BS364" s="40"/>
      <c r="BT364" s="5"/>
      <c r="BV364" s="40"/>
      <c r="BW364" s="5"/>
      <c r="BY364" s="40"/>
      <c r="BZ364" s="5"/>
      <c r="CB364" s="40"/>
      <c r="CC364" s="5"/>
      <c r="CE364" s="40"/>
      <c r="CF364" s="5"/>
      <c r="CH364" s="40"/>
      <c r="CI364" s="5"/>
      <c r="CK364" s="40"/>
      <c r="CL364" s="5"/>
      <c r="CN364" s="40"/>
      <c r="CO364" s="5"/>
      <c r="CQ364" s="40"/>
      <c r="CR364" s="5"/>
    </row>
    <row r="365">
      <c r="AO365" s="40"/>
      <c r="AP365" s="5"/>
      <c r="AR365" s="40"/>
      <c r="AS365" s="5"/>
      <c r="AU365" s="40"/>
      <c r="AV365" s="5"/>
      <c r="AX365" s="40"/>
      <c r="AY365" s="5"/>
      <c r="BA365" s="40"/>
      <c r="BB365" s="5"/>
      <c r="BD365" s="40"/>
      <c r="BE365" s="5"/>
      <c r="BG365" s="40"/>
      <c r="BH365" s="5"/>
      <c r="BJ365" s="40"/>
      <c r="BK365" s="5"/>
      <c r="BM365" s="40"/>
      <c r="BN365" s="5"/>
      <c r="BP365" s="40"/>
      <c r="BQ365" s="5"/>
      <c r="BS365" s="40"/>
      <c r="BT365" s="5"/>
      <c r="BV365" s="40"/>
      <c r="BW365" s="5"/>
      <c r="BY365" s="40"/>
      <c r="BZ365" s="5"/>
      <c r="CB365" s="40"/>
      <c r="CC365" s="5"/>
      <c r="CE365" s="40"/>
      <c r="CF365" s="5"/>
      <c r="CH365" s="40"/>
      <c r="CI365" s="5"/>
      <c r="CK365" s="40"/>
      <c r="CL365" s="5"/>
      <c r="CN365" s="40"/>
      <c r="CO365" s="5"/>
      <c r="CQ365" s="40"/>
      <c r="CR365" s="5"/>
    </row>
    <row r="366">
      <c r="AO366" s="40"/>
      <c r="AP366" s="5"/>
      <c r="AR366" s="40"/>
      <c r="AS366" s="5"/>
      <c r="AU366" s="40"/>
      <c r="AV366" s="5"/>
      <c r="AX366" s="40"/>
      <c r="AY366" s="5"/>
      <c r="BA366" s="40"/>
      <c r="BB366" s="5"/>
      <c r="BD366" s="40"/>
      <c r="BE366" s="5"/>
      <c r="BG366" s="40"/>
      <c r="BH366" s="5"/>
      <c r="BJ366" s="40"/>
      <c r="BK366" s="5"/>
      <c r="BM366" s="40"/>
      <c r="BN366" s="5"/>
      <c r="BP366" s="40"/>
      <c r="BQ366" s="5"/>
      <c r="BS366" s="40"/>
      <c r="BT366" s="5"/>
      <c r="BV366" s="40"/>
      <c r="BW366" s="5"/>
      <c r="BY366" s="40"/>
      <c r="BZ366" s="5"/>
      <c r="CB366" s="40"/>
      <c r="CC366" s="5"/>
      <c r="CE366" s="40"/>
      <c r="CF366" s="5"/>
      <c r="CH366" s="40"/>
      <c r="CI366" s="5"/>
      <c r="CK366" s="40"/>
      <c r="CL366" s="5"/>
      <c r="CN366" s="40"/>
      <c r="CO366" s="5"/>
      <c r="CQ366" s="40"/>
      <c r="CR366" s="5"/>
    </row>
    <row r="367">
      <c r="AO367" s="40"/>
      <c r="AP367" s="5"/>
      <c r="AR367" s="40"/>
      <c r="AS367" s="5"/>
      <c r="AU367" s="40"/>
      <c r="AV367" s="5"/>
      <c r="AX367" s="40"/>
      <c r="AY367" s="5"/>
      <c r="BA367" s="40"/>
      <c r="BB367" s="5"/>
      <c r="BD367" s="40"/>
      <c r="BE367" s="5"/>
      <c r="BG367" s="40"/>
      <c r="BH367" s="5"/>
      <c r="BJ367" s="40"/>
      <c r="BK367" s="5"/>
      <c r="BM367" s="40"/>
      <c r="BN367" s="5"/>
      <c r="BP367" s="40"/>
      <c r="BQ367" s="5"/>
      <c r="BS367" s="40"/>
      <c r="BT367" s="5"/>
      <c r="BV367" s="40"/>
      <c r="BW367" s="5"/>
      <c r="BY367" s="40"/>
      <c r="BZ367" s="5"/>
      <c r="CB367" s="40"/>
      <c r="CC367" s="5"/>
      <c r="CE367" s="40"/>
      <c r="CF367" s="5"/>
      <c r="CH367" s="40"/>
      <c r="CI367" s="5"/>
      <c r="CK367" s="40"/>
      <c r="CL367" s="5"/>
      <c r="CN367" s="40"/>
      <c r="CO367" s="5"/>
      <c r="CQ367" s="40"/>
      <c r="CR367" s="5"/>
    </row>
    <row r="368">
      <c r="AO368" s="40"/>
      <c r="AP368" s="5"/>
      <c r="AR368" s="40"/>
      <c r="AS368" s="5"/>
      <c r="AU368" s="40"/>
      <c r="AV368" s="5"/>
      <c r="AX368" s="40"/>
      <c r="AY368" s="5"/>
      <c r="BA368" s="40"/>
      <c r="BB368" s="5"/>
      <c r="BD368" s="40"/>
      <c r="BE368" s="5"/>
      <c r="BG368" s="40"/>
      <c r="BH368" s="5"/>
      <c r="BJ368" s="40"/>
      <c r="BK368" s="5"/>
      <c r="BM368" s="40"/>
      <c r="BN368" s="5"/>
      <c r="BP368" s="40"/>
      <c r="BQ368" s="5"/>
      <c r="BS368" s="40"/>
      <c r="BT368" s="5"/>
      <c r="BV368" s="40"/>
      <c r="BW368" s="5"/>
      <c r="BY368" s="40"/>
      <c r="BZ368" s="5"/>
      <c r="CB368" s="40"/>
      <c r="CC368" s="5"/>
      <c r="CE368" s="40"/>
      <c r="CF368" s="5"/>
      <c r="CH368" s="40"/>
      <c r="CI368" s="5"/>
      <c r="CK368" s="40"/>
      <c r="CL368" s="5"/>
      <c r="CN368" s="40"/>
      <c r="CO368" s="5"/>
      <c r="CQ368" s="40"/>
      <c r="CR368" s="5"/>
    </row>
    <row r="369">
      <c r="AO369" s="40"/>
      <c r="AP369" s="5"/>
      <c r="AR369" s="40"/>
      <c r="AS369" s="5"/>
      <c r="AU369" s="40"/>
      <c r="AV369" s="5"/>
      <c r="AX369" s="40"/>
      <c r="AY369" s="5"/>
      <c r="BA369" s="40"/>
      <c r="BB369" s="5"/>
      <c r="BD369" s="40"/>
      <c r="BE369" s="5"/>
      <c r="BG369" s="40"/>
      <c r="BH369" s="5"/>
      <c r="BJ369" s="40"/>
      <c r="BK369" s="5"/>
      <c r="BM369" s="40"/>
      <c r="BN369" s="5"/>
      <c r="BP369" s="40"/>
      <c r="BQ369" s="5"/>
      <c r="BS369" s="40"/>
      <c r="BT369" s="5"/>
      <c r="BV369" s="40"/>
      <c r="BW369" s="5"/>
      <c r="BY369" s="40"/>
      <c r="BZ369" s="5"/>
      <c r="CB369" s="40"/>
      <c r="CC369" s="5"/>
      <c r="CE369" s="40"/>
      <c r="CF369" s="5"/>
      <c r="CH369" s="40"/>
      <c r="CI369" s="5"/>
      <c r="CK369" s="40"/>
      <c r="CL369" s="5"/>
      <c r="CN369" s="40"/>
      <c r="CO369" s="5"/>
      <c r="CQ369" s="40"/>
      <c r="CR369" s="5"/>
    </row>
    <row r="370">
      <c r="AO370" s="40"/>
      <c r="AP370" s="5"/>
      <c r="AR370" s="40"/>
      <c r="AS370" s="5"/>
      <c r="AU370" s="40"/>
      <c r="AV370" s="5"/>
      <c r="AX370" s="40"/>
      <c r="AY370" s="5"/>
      <c r="BA370" s="40"/>
      <c r="BB370" s="5"/>
      <c r="BD370" s="40"/>
      <c r="BE370" s="5"/>
      <c r="BG370" s="40"/>
      <c r="BH370" s="5"/>
      <c r="BJ370" s="40"/>
      <c r="BK370" s="5"/>
      <c r="BM370" s="40"/>
      <c r="BN370" s="5"/>
      <c r="BP370" s="40"/>
      <c r="BQ370" s="5"/>
      <c r="BS370" s="40"/>
      <c r="BT370" s="5"/>
      <c r="BV370" s="40"/>
      <c r="BW370" s="5"/>
      <c r="BY370" s="40"/>
      <c r="BZ370" s="5"/>
      <c r="CB370" s="40"/>
      <c r="CC370" s="5"/>
      <c r="CE370" s="40"/>
      <c r="CF370" s="5"/>
      <c r="CH370" s="40"/>
      <c r="CI370" s="5"/>
      <c r="CK370" s="40"/>
      <c r="CL370" s="5"/>
      <c r="CN370" s="40"/>
      <c r="CO370" s="5"/>
      <c r="CQ370" s="40"/>
      <c r="CR370" s="5"/>
    </row>
    <row r="371">
      <c r="AO371" s="40"/>
      <c r="AP371" s="5"/>
      <c r="AR371" s="40"/>
      <c r="AS371" s="5"/>
      <c r="AU371" s="40"/>
      <c r="AV371" s="5"/>
      <c r="AX371" s="40"/>
      <c r="AY371" s="5"/>
      <c r="BA371" s="40"/>
      <c r="BB371" s="5"/>
      <c r="BD371" s="40"/>
      <c r="BE371" s="5"/>
      <c r="BG371" s="40"/>
      <c r="BH371" s="5"/>
      <c r="BJ371" s="40"/>
      <c r="BK371" s="5"/>
      <c r="BM371" s="40"/>
      <c r="BN371" s="5"/>
      <c r="BP371" s="40"/>
      <c r="BQ371" s="5"/>
      <c r="BS371" s="40"/>
      <c r="BT371" s="5"/>
      <c r="BV371" s="40"/>
      <c r="BW371" s="5"/>
      <c r="BY371" s="40"/>
      <c r="BZ371" s="5"/>
      <c r="CB371" s="40"/>
      <c r="CC371" s="5"/>
      <c r="CE371" s="40"/>
      <c r="CF371" s="5"/>
      <c r="CH371" s="40"/>
      <c r="CI371" s="5"/>
      <c r="CK371" s="40"/>
      <c r="CL371" s="5"/>
      <c r="CN371" s="40"/>
      <c r="CO371" s="5"/>
      <c r="CQ371" s="40"/>
      <c r="CR371" s="5"/>
    </row>
    <row r="372">
      <c r="AO372" s="40"/>
      <c r="AP372" s="5"/>
      <c r="AR372" s="40"/>
      <c r="AS372" s="5"/>
      <c r="AU372" s="40"/>
      <c r="AV372" s="5"/>
      <c r="AX372" s="40"/>
      <c r="AY372" s="5"/>
      <c r="BA372" s="40"/>
      <c r="BB372" s="5"/>
      <c r="BD372" s="40"/>
      <c r="BE372" s="5"/>
      <c r="BG372" s="40"/>
      <c r="BH372" s="5"/>
      <c r="BJ372" s="40"/>
      <c r="BK372" s="5"/>
      <c r="BM372" s="40"/>
      <c r="BN372" s="5"/>
      <c r="BP372" s="40"/>
      <c r="BQ372" s="5"/>
      <c r="BS372" s="40"/>
      <c r="BT372" s="5"/>
      <c r="BV372" s="40"/>
      <c r="BW372" s="5"/>
      <c r="BY372" s="40"/>
      <c r="BZ372" s="5"/>
      <c r="CB372" s="40"/>
      <c r="CC372" s="5"/>
      <c r="CE372" s="40"/>
      <c r="CF372" s="5"/>
      <c r="CH372" s="40"/>
      <c r="CI372" s="5"/>
      <c r="CK372" s="40"/>
      <c r="CL372" s="5"/>
      <c r="CN372" s="40"/>
      <c r="CO372" s="5"/>
      <c r="CQ372" s="40"/>
      <c r="CR372" s="5"/>
    </row>
    <row r="373">
      <c r="AO373" s="40"/>
      <c r="AP373" s="5"/>
      <c r="AR373" s="40"/>
      <c r="AS373" s="5"/>
      <c r="AU373" s="40"/>
      <c r="AV373" s="5"/>
      <c r="AX373" s="40"/>
      <c r="AY373" s="5"/>
      <c r="BA373" s="40"/>
      <c r="BB373" s="5"/>
      <c r="BD373" s="40"/>
      <c r="BE373" s="5"/>
      <c r="BG373" s="40"/>
      <c r="BH373" s="5"/>
      <c r="BJ373" s="40"/>
      <c r="BK373" s="5"/>
      <c r="BM373" s="40"/>
      <c r="BN373" s="5"/>
      <c r="BP373" s="40"/>
      <c r="BQ373" s="5"/>
      <c r="BS373" s="40"/>
      <c r="BT373" s="5"/>
      <c r="BV373" s="40"/>
      <c r="BW373" s="5"/>
      <c r="BY373" s="40"/>
      <c r="BZ373" s="5"/>
      <c r="CB373" s="40"/>
      <c r="CC373" s="5"/>
      <c r="CE373" s="40"/>
      <c r="CF373" s="5"/>
      <c r="CH373" s="40"/>
      <c r="CI373" s="5"/>
      <c r="CK373" s="40"/>
      <c r="CL373" s="5"/>
      <c r="CN373" s="40"/>
      <c r="CO373" s="5"/>
      <c r="CQ373" s="40"/>
      <c r="CR373" s="5"/>
    </row>
    <row r="374">
      <c r="AO374" s="40"/>
      <c r="AP374" s="5"/>
      <c r="AR374" s="40"/>
      <c r="AS374" s="5"/>
      <c r="AU374" s="40"/>
      <c r="AV374" s="5"/>
      <c r="AX374" s="40"/>
      <c r="AY374" s="5"/>
      <c r="BA374" s="40"/>
      <c r="BB374" s="5"/>
      <c r="BD374" s="40"/>
      <c r="BE374" s="5"/>
      <c r="BG374" s="40"/>
      <c r="BH374" s="5"/>
      <c r="BJ374" s="40"/>
      <c r="BK374" s="5"/>
      <c r="BM374" s="40"/>
      <c r="BN374" s="5"/>
      <c r="BP374" s="40"/>
      <c r="BQ374" s="5"/>
      <c r="BS374" s="40"/>
      <c r="BT374" s="5"/>
      <c r="BV374" s="40"/>
      <c r="BW374" s="5"/>
      <c r="BY374" s="40"/>
      <c r="BZ374" s="5"/>
      <c r="CB374" s="40"/>
      <c r="CC374" s="5"/>
      <c r="CE374" s="40"/>
      <c r="CF374" s="5"/>
      <c r="CH374" s="40"/>
      <c r="CI374" s="5"/>
      <c r="CK374" s="40"/>
      <c r="CL374" s="5"/>
      <c r="CN374" s="40"/>
      <c r="CO374" s="5"/>
      <c r="CQ374" s="40"/>
      <c r="CR374" s="5"/>
    </row>
    <row r="375">
      <c r="AO375" s="40"/>
      <c r="AP375" s="5"/>
      <c r="AR375" s="40"/>
      <c r="AS375" s="5"/>
      <c r="AU375" s="40"/>
      <c r="AV375" s="5"/>
      <c r="AX375" s="40"/>
      <c r="AY375" s="5"/>
      <c r="BA375" s="40"/>
      <c r="BB375" s="5"/>
      <c r="BD375" s="40"/>
      <c r="BE375" s="5"/>
      <c r="BG375" s="40"/>
      <c r="BH375" s="5"/>
      <c r="BJ375" s="40"/>
      <c r="BK375" s="5"/>
      <c r="BM375" s="40"/>
      <c r="BN375" s="5"/>
      <c r="BP375" s="40"/>
      <c r="BQ375" s="5"/>
      <c r="BS375" s="40"/>
      <c r="BT375" s="5"/>
      <c r="BV375" s="40"/>
      <c r="BW375" s="5"/>
      <c r="BY375" s="40"/>
      <c r="BZ375" s="5"/>
      <c r="CB375" s="40"/>
      <c r="CC375" s="5"/>
      <c r="CE375" s="40"/>
      <c r="CF375" s="5"/>
      <c r="CH375" s="40"/>
      <c r="CI375" s="5"/>
      <c r="CK375" s="40"/>
      <c r="CL375" s="5"/>
      <c r="CN375" s="40"/>
      <c r="CO375" s="5"/>
      <c r="CQ375" s="40"/>
      <c r="CR375" s="5"/>
    </row>
    <row r="376">
      <c r="AO376" s="40"/>
      <c r="AP376" s="5"/>
      <c r="AR376" s="40"/>
      <c r="AS376" s="5"/>
      <c r="AU376" s="40"/>
      <c r="AV376" s="5"/>
      <c r="AX376" s="40"/>
      <c r="AY376" s="5"/>
      <c r="BA376" s="40"/>
      <c r="BB376" s="5"/>
      <c r="BD376" s="40"/>
      <c r="BE376" s="5"/>
      <c r="BG376" s="40"/>
      <c r="BH376" s="5"/>
      <c r="BJ376" s="40"/>
      <c r="BK376" s="5"/>
      <c r="BM376" s="40"/>
      <c r="BN376" s="5"/>
      <c r="BP376" s="40"/>
      <c r="BQ376" s="5"/>
      <c r="BS376" s="40"/>
      <c r="BT376" s="5"/>
      <c r="BV376" s="40"/>
      <c r="BW376" s="5"/>
      <c r="BY376" s="40"/>
      <c r="BZ376" s="5"/>
      <c r="CB376" s="40"/>
      <c r="CC376" s="5"/>
      <c r="CE376" s="40"/>
      <c r="CF376" s="5"/>
      <c r="CH376" s="40"/>
      <c r="CI376" s="5"/>
      <c r="CK376" s="40"/>
      <c r="CL376" s="5"/>
      <c r="CN376" s="40"/>
      <c r="CO376" s="5"/>
      <c r="CQ376" s="40"/>
      <c r="CR376" s="5"/>
    </row>
    <row r="377">
      <c r="AO377" s="40"/>
      <c r="AP377" s="5"/>
      <c r="AR377" s="40"/>
      <c r="AS377" s="5"/>
      <c r="AU377" s="40"/>
      <c r="AV377" s="5"/>
      <c r="AX377" s="40"/>
      <c r="AY377" s="5"/>
      <c r="BA377" s="40"/>
      <c r="BB377" s="5"/>
      <c r="BD377" s="40"/>
      <c r="BE377" s="5"/>
      <c r="BG377" s="40"/>
      <c r="BH377" s="5"/>
      <c r="BJ377" s="40"/>
      <c r="BK377" s="5"/>
      <c r="BM377" s="40"/>
      <c r="BN377" s="5"/>
      <c r="BP377" s="40"/>
      <c r="BQ377" s="5"/>
      <c r="BS377" s="40"/>
      <c r="BT377" s="5"/>
      <c r="BV377" s="40"/>
      <c r="BW377" s="5"/>
      <c r="BY377" s="40"/>
      <c r="BZ377" s="5"/>
      <c r="CB377" s="40"/>
      <c r="CC377" s="5"/>
      <c r="CE377" s="40"/>
      <c r="CF377" s="5"/>
      <c r="CH377" s="40"/>
      <c r="CI377" s="5"/>
      <c r="CK377" s="40"/>
      <c r="CL377" s="5"/>
      <c r="CN377" s="40"/>
      <c r="CO377" s="5"/>
      <c r="CQ377" s="40"/>
      <c r="CR377" s="5"/>
    </row>
    <row r="378">
      <c r="AO378" s="40"/>
      <c r="AP378" s="5"/>
      <c r="AR378" s="40"/>
      <c r="AS378" s="5"/>
      <c r="AU378" s="40"/>
      <c r="AV378" s="5"/>
      <c r="AX378" s="40"/>
      <c r="AY378" s="5"/>
      <c r="BA378" s="40"/>
      <c r="BB378" s="5"/>
      <c r="BD378" s="40"/>
      <c r="BE378" s="5"/>
      <c r="BG378" s="40"/>
      <c r="BH378" s="5"/>
      <c r="BJ378" s="40"/>
      <c r="BK378" s="5"/>
      <c r="BM378" s="40"/>
      <c r="BN378" s="5"/>
      <c r="BP378" s="40"/>
      <c r="BQ378" s="5"/>
      <c r="BS378" s="40"/>
      <c r="BT378" s="5"/>
      <c r="BV378" s="40"/>
      <c r="BW378" s="5"/>
      <c r="BY378" s="40"/>
      <c r="BZ378" s="5"/>
      <c r="CB378" s="40"/>
      <c r="CC378" s="5"/>
      <c r="CE378" s="40"/>
      <c r="CF378" s="5"/>
      <c r="CH378" s="40"/>
      <c r="CI378" s="5"/>
      <c r="CK378" s="40"/>
      <c r="CL378" s="5"/>
      <c r="CN378" s="40"/>
      <c r="CO378" s="5"/>
      <c r="CQ378" s="40"/>
      <c r="CR378" s="5"/>
    </row>
    <row r="379">
      <c r="AO379" s="40"/>
      <c r="AP379" s="5"/>
      <c r="AR379" s="40"/>
      <c r="AS379" s="5"/>
      <c r="AU379" s="40"/>
      <c r="AV379" s="5"/>
      <c r="AX379" s="40"/>
      <c r="AY379" s="5"/>
      <c r="BA379" s="40"/>
      <c r="BB379" s="5"/>
      <c r="BD379" s="40"/>
      <c r="BE379" s="5"/>
      <c r="BG379" s="40"/>
      <c r="BH379" s="5"/>
      <c r="BJ379" s="40"/>
      <c r="BK379" s="5"/>
      <c r="BM379" s="40"/>
      <c r="BN379" s="5"/>
      <c r="BP379" s="40"/>
      <c r="BQ379" s="5"/>
      <c r="BS379" s="40"/>
      <c r="BT379" s="5"/>
      <c r="BV379" s="40"/>
      <c r="BW379" s="5"/>
      <c r="BY379" s="40"/>
      <c r="BZ379" s="5"/>
      <c r="CB379" s="40"/>
      <c r="CC379" s="5"/>
      <c r="CE379" s="40"/>
      <c r="CF379" s="5"/>
      <c r="CH379" s="40"/>
      <c r="CI379" s="5"/>
      <c r="CK379" s="40"/>
      <c r="CL379" s="5"/>
      <c r="CN379" s="40"/>
      <c r="CO379" s="5"/>
      <c r="CQ379" s="40"/>
      <c r="CR379" s="5"/>
    </row>
    <row r="380">
      <c r="AO380" s="40"/>
      <c r="AP380" s="5"/>
      <c r="AR380" s="40"/>
      <c r="AS380" s="5"/>
      <c r="AU380" s="40"/>
      <c r="AV380" s="5"/>
      <c r="AX380" s="40"/>
      <c r="AY380" s="5"/>
      <c r="BA380" s="40"/>
      <c r="BB380" s="5"/>
      <c r="BD380" s="40"/>
      <c r="BE380" s="5"/>
      <c r="BG380" s="40"/>
      <c r="BH380" s="5"/>
      <c r="BJ380" s="40"/>
      <c r="BK380" s="5"/>
      <c r="BM380" s="40"/>
      <c r="BN380" s="5"/>
      <c r="BP380" s="40"/>
      <c r="BQ380" s="5"/>
      <c r="BS380" s="40"/>
      <c r="BT380" s="5"/>
      <c r="BV380" s="40"/>
      <c r="BW380" s="5"/>
      <c r="BY380" s="40"/>
      <c r="BZ380" s="5"/>
      <c r="CB380" s="40"/>
      <c r="CC380" s="5"/>
      <c r="CE380" s="40"/>
      <c r="CF380" s="5"/>
      <c r="CH380" s="40"/>
      <c r="CI380" s="5"/>
      <c r="CK380" s="40"/>
      <c r="CL380" s="5"/>
      <c r="CN380" s="40"/>
      <c r="CO380" s="5"/>
      <c r="CQ380" s="40"/>
      <c r="CR380" s="5"/>
    </row>
    <row r="381">
      <c r="AO381" s="40"/>
      <c r="AP381" s="5"/>
      <c r="AR381" s="40"/>
      <c r="AS381" s="5"/>
      <c r="AU381" s="40"/>
      <c r="AV381" s="5"/>
      <c r="AX381" s="40"/>
      <c r="AY381" s="5"/>
      <c r="BA381" s="40"/>
      <c r="BB381" s="5"/>
      <c r="BD381" s="40"/>
      <c r="BE381" s="5"/>
      <c r="BG381" s="40"/>
      <c r="BH381" s="5"/>
      <c r="BJ381" s="40"/>
      <c r="BK381" s="5"/>
      <c r="BM381" s="40"/>
      <c r="BN381" s="5"/>
      <c r="BP381" s="40"/>
      <c r="BQ381" s="5"/>
      <c r="BS381" s="40"/>
      <c r="BT381" s="5"/>
      <c r="BV381" s="40"/>
      <c r="BW381" s="5"/>
      <c r="BY381" s="40"/>
      <c r="BZ381" s="5"/>
      <c r="CB381" s="40"/>
      <c r="CC381" s="5"/>
      <c r="CE381" s="40"/>
      <c r="CF381" s="5"/>
      <c r="CH381" s="40"/>
      <c r="CI381" s="5"/>
      <c r="CK381" s="40"/>
      <c r="CL381" s="5"/>
      <c r="CN381" s="40"/>
      <c r="CO381" s="5"/>
      <c r="CQ381" s="40"/>
      <c r="CR381" s="5"/>
    </row>
    <row r="382">
      <c r="AO382" s="40"/>
      <c r="AP382" s="5"/>
      <c r="AR382" s="40"/>
      <c r="AS382" s="5"/>
      <c r="AU382" s="40"/>
      <c r="AV382" s="5"/>
      <c r="AX382" s="40"/>
      <c r="AY382" s="5"/>
      <c r="BA382" s="40"/>
      <c r="BB382" s="5"/>
      <c r="BD382" s="40"/>
      <c r="BE382" s="5"/>
      <c r="BG382" s="40"/>
      <c r="BH382" s="5"/>
      <c r="BJ382" s="40"/>
      <c r="BK382" s="5"/>
      <c r="BM382" s="40"/>
      <c r="BN382" s="5"/>
      <c r="BP382" s="40"/>
      <c r="BQ382" s="5"/>
      <c r="BS382" s="40"/>
      <c r="BT382" s="5"/>
      <c r="BV382" s="40"/>
      <c r="BW382" s="5"/>
      <c r="BY382" s="40"/>
      <c r="BZ382" s="5"/>
      <c r="CB382" s="40"/>
      <c r="CC382" s="5"/>
      <c r="CE382" s="40"/>
      <c r="CF382" s="5"/>
      <c r="CH382" s="40"/>
      <c r="CI382" s="5"/>
      <c r="CK382" s="40"/>
      <c r="CL382" s="5"/>
      <c r="CN382" s="40"/>
      <c r="CO382" s="5"/>
      <c r="CQ382" s="40"/>
      <c r="CR382" s="5"/>
    </row>
    <row r="383">
      <c r="AO383" s="40"/>
      <c r="AP383" s="5"/>
      <c r="AR383" s="40"/>
      <c r="AS383" s="5"/>
      <c r="AU383" s="40"/>
      <c r="AV383" s="5"/>
      <c r="AX383" s="40"/>
      <c r="AY383" s="5"/>
      <c r="BA383" s="40"/>
      <c r="BB383" s="5"/>
      <c r="BD383" s="40"/>
      <c r="BE383" s="5"/>
      <c r="BG383" s="40"/>
      <c r="BH383" s="5"/>
      <c r="BJ383" s="40"/>
      <c r="BK383" s="5"/>
      <c r="BM383" s="40"/>
      <c r="BN383" s="5"/>
      <c r="BP383" s="40"/>
      <c r="BQ383" s="5"/>
      <c r="BS383" s="40"/>
      <c r="BT383" s="5"/>
      <c r="BV383" s="40"/>
      <c r="BW383" s="5"/>
      <c r="BY383" s="40"/>
      <c r="BZ383" s="5"/>
      <c r="CB383" s="40"/>
      <c r="CC383" s="5"/>
      <c r="CE383" s="40"/>
      <c r="CF383" s="5"/>
      <c r="CH383" s="40"/>
      <c r="CI383" s="5"/>
      <c r="CK383" s="40"/>
      <c r="CL383" s="5"/>
      <c r="CN383" s="40"/>
      <c r="CO383" s="5"/>
      <c r="CQ383" s="40"/>
      <c r="CR383" s="5"/>
    </row>
    <row r="384">
      <c r="AO384" s="40"/>
      <c r="AP384" s="5"/>
      <c r="AR384" s="40"/>
      <c r="AS384" s="5"/>
      <c r="AU384" s="40"/>
      <c r="AV384" s="5"/>
      <c r="AX384" s="40"/>
      <c r="AY384" s="5"/>
      <c r="BA384" s="40"/>
      <c r="BB384" s="5"/>
      <c r="BD384" s="40"/>
      <c r="BE384" s="5"/>
      <c r="BG384" s="40"/>
      <c r="BH384" s="5"/>
      <c r="BJ384" s="40"/>
      <c r="BK384" s="5"/>
      <c r="BM384" s="40"/>
      <c r="BN384" s="5"/>
      <c r="BP384" s="40"/>
      <c r="BQ384" s="5"/>
      <c r="BS384" s="40"/>
      <c r="BT384" s="5"/>
      <c r="BV384" s="40"/>
      <c r="BW384" s="5"/>
      <c r="BY384" s="40"/>
      <c r="BZ384" s="5"/>
      <c r="CB384" s="40"/>
      <c r="CC384" s="5"/>
      <c r="CE384" s="40"/>
      <c r="CF384" s="5"/>
      <c r="CH384" s="40"/>
      <c r="CI384" s="5"/>
      <c r="CK384" s="40"/>
      <c r="CL384" s="5"/>
      <c r="CN384" s="40"/>
      <c r="CO384" s="5"/>
      <c r="CQ384" s="40"/>
      <c r="CR384" s="5"/>
    </row>
    <row r="385">
      <c r="AO385" s="40"/>
      <c r="AP385" s="5"/>
      <c r="AR385" s="40"/>
      <c r="AS385" s="5"/>
      <c r="AU385" s="40"/>
      <c r="AV385" s="5"/>
      <c r="AX385" s="40"/>
      <c r="AY385" s="5"/>
      <c r="BA385" s="40"/>
      <c r="BB385" s="5"/>
      <c r="BD385" s="40"/>
      <c r="BE385" s="5"/>
      <c r="BG385" s="40"/>
      <c r="BH385" s="5"/>
      <c r="BJ385" s="40"/>
      <c r="BK385" s="5"/>
      <c r="BM385" s="40"/>
      <c r="BN385" s="5"/>
      <c r="BP385" s="40"/>
      <c r="BQ385" s="5"/>
      <c r="BS385" s="40"/>
      <c r="BT385" s="5"/>
      <c r="BV385" s="40"/>
      <c r="BW385" s="5"/>
      <c r="BY385" s="40"/>
      <c r="BZ385" s="5"/>
      <c r="CB385" s="40"/>
      <c r="CC385" s="5"/>
      <c r="CE385" s="40"/>
      <c r="CF385" s="5"/>
      <c r="CH385" s="40"/>
      <c r="CI385" s="5"/>
      <c r="CK385" s="40"/>
      <c r="CL385" s="5"/>
      <c r="CN385" s="40"/>
      <c r="CO385" s="5"/>
      <c r="CQ385" s="40"/>
      <c r="CR385" s="5"/>
    </row>
    <row r="386">
      <c r="AO386" s="40"/>
      <c r="AP386" s="5"/>
      <c r="AR386" s="40"/>
      <c r="AS386" s="5"/>
      <c r="AU386" s="40"/>
      <c r="AV386" s="5"/>
      <c r="AX386" s="40"/>
      <c r="AY386" s="5"/>
      <c r="BA386" s="40"/>
      <c r="BB386" s="5"/>
      <c r="BD386" s="40"/>
      <c r="BE386" s="5"/>
      <c r="BG386" s="40"/>
      <c r="BH386" s="5"/>
      <c r="BJ386" s="40"/>
      <c r="BK386" s="5"/>
      <c r="BM386" s="40"/>
      <c r="BN386" s="5"/>
      <c r="BP386" s="40"/>
      <c r="BQ386" s="5"/>
      <c r="BS386" s="40"/>
      <c r="BT386" s="5"/>
      <c r="BV386" s="40"/>
      <c r="BW386" s="5"/>
      <c r="BY386" s="40"/>
      <c r="BZ386" s="5"/>
      <c r="CB386" s="40"/>
      <c r="CC386" s="5"/>
      <c r="CE386" s="40"/>
      <c r="CF386" s="5"/>
      <c r="CH386" s="40"/>
      <c r="CI386" s="5"/>
      <c r="CK386" s="40"/>
      <c r="CL386" s="5"/>
      <c r="CN386" s="40"/>
      <c r="CO386" s="5"/>
      <c r="CQ386" s="40"/>
      <c r="CR386" s="5"/>
    </row>
    <row r="387">
      <c r="AO387" s="40"/>
      <c r="AP387" s="5"/>
      <c r="AR387" s="40"/>
      <c r="AS387" s="5"/>
      <c r="AU387" s="40"/>
      <c r="AV387" s="5"/>
      <c r="AX387" s="40"/>
      <c r="AY387" s="5"/>
      <c r="BA387" s="40"/>
      <c r="BB387" s="5"/>
      <c r="BD387" s="40"/>
      <c r="BE387" s="5"/>
      <c r="BG387" s="40"/>
      <c r="BH387" s="5"/>
      <c r="BJ387" s="40"/>
      <c r="BK387" s="5"/>
      <c r="BM387" s="40"/>
      <c r="BN387" s="5"/>
      <c r="BP387" s="40"/>
      <c r="BQ387" s="5"/>
      <c r="BS387" s="40"/>
      <c r="BT387" s="5"/>
      <c r="BV387" s="40"/>
      <c r="BW387" s="5"/>
      <c r="BY387" s="40"/>
      <c r="BZ387" s="5"/>
      <c r="CB387" s="40"/>
      <c r="CC387" s="5"/>
      <c r="CE387" s="40"/>
      <c r="CF387" s="5"/>
      <c r="CH387" s="40"/>
      <c r="CI387" s="5"/>
      <c r="CK387" s="40"/>
      <c r="CL387" s="5"/>
      <c r="CN387" s="40"/>
      <c r="CO387" s="5"/>
      <c r="CQ387" s="40"/>
      <c r="CR387" s="5"/>
    </row>
    <row r="388">
      <c r="AO388" s="40"/>
      <c r="AP388" s="5"/>
      <c r="AR388" s="40"/>
      <c r="AS388" s="5"/>
      <c r="AU388" s="40"/>
      <c r="AV388" s="5"/>
      <c r="AX388" s="40"/>
      <c r="AY388" s="5"/>
      <c r="BA388" s="40"/>
      <c r="BB388" s="5"/>
      <c r="BD388" s="40"/>
      <c r="BE388" s="5"/>
      <c r="BG388" s="40"/>
      <c r="BH388" s="5"/>
      <c r="BJ388" s="40"/>
      <c r="BK388" s="5"/>
      <c r="BM388" s="40"/>
      <c r="BN388" s="5"/>
      <c r="BP388" s="40"/>
      <c r="BQ388" s="5"/>
      <c r="BS388" s="40"/>
      <c r="BT388" s="5"/>
      <c r="BV388" s="40"/>
      <c r="BW388" s="5"/>
      <c r="BY388" s="40"/>
      <c r="BZ388" s="5"/>
      <c r="CB388" s="40"/>
      <c r="CC388" s="5"/>
      <c r="CE388" s="40"/>
      <c r="CF388" s="5"/>
      <c r="CH388" s="40"/>
      <c r="CI388" s="5"/>
      <c r="CK388" s="40"/>
      <c r="CL388" s="5"/>
      <c r="CN388" s="40"/>
      <c r="CO388" s="5"/>
      <c r="CQ388" s="40"/>
      <c r="CR388" s="5"/>
    </row>
    <row r="389">
      <c r="AO389" s="40"/>
      <c r="AP389" s="5"/>
      <c r="AR389" s="40"/>
      <c r="AS389" s="5"/>
      <c r="AU389" s="40"/>
      <c r="AV389" s="5"/>
      <c r="AX389" s="40"/>
      <c r="AY389" s="5"/>
      <c r="BA389" s="40"/>
      <c r="BB389" s="5"/>
      <c r="BD389" s="40"/>
      <c r="BE389" s="5"/>
      <c r="BG389" s="40"/>
      <c r="BH389" s="5"/>
      <c r="BJ389" s="40"/>
      <c r="BK389" s="5"/>
      <c r="BM389" s="40"/>
      <c r="BN389" s="5"/>
      <c r="BP389" s="40"/>
      <c r="BQ389" s="5"/>
      <c r="BS389" s="40"/>
      <c r="BT389" s="5"/>
      <c r="BV389" s="40"/>
      <c r="BW389" s="5"/>
      <c r="BY389" s="40"/>
      <c r="BZ389" s="5"/>
      <c r="CB389" s="40"/>
      <c r="CC389" s="5"/>
      <c r="CE389" s="40"/>
      <c r="CF389" s="5"/>
      <c r="CH389" s="40"/>
      <c r="CI389" s="5"/>
      <c r="CK389" s="40"/>
      <c r="CL389" s="5"/>
      <c r="CN389" s="40"/>
      <c r="CO389" s="5"/>
      <c r="CQ389" s="40"/>
      <c r="CR389" s="5"/>
    </row>
    <row r="390">
      <c r="AO390" s="40"/>
      <c r="AP390" s="5"/>
      <c r="AR390" s="40"/>
      <c r="AS390" s="5"/>
      <c r="AU390" s="40"/>
      <c r="AV390" s="5"/>
      <c r="AX390" s="40"/>
      <c r="AY390" s="5"/>
      <c r="BA390" s="40"/>
      <c r="BB390" s="5"/>
      <c r="BD390" s="40"/>
      <c r="BE390" s="5"/>
      <c r="BG390" s="40"/>
      <c r="BH390" s="5"/>
      <c r="BJ390" s="40"/>
      <c r="BK390" s="5"/>
      <c r="BM390" s="40"/>
      <c r="BN390" s="5"/>
      <c r="BP390" s="40"/>
      <c r="BQ390" s="5"/>
      <c r="BS390" s="40"/>
      <c r="BT390" s="5"/>
      <c r="BV390" s="40"/>
      <c r="BW390" s="5"/>
      <c r="BY390" s="40"/>
      <c r="BZ390" s="5"/>
      <c r="CB390" s="40"/>
      <c r="CC390" s="5"/>
      <c r="CE390" s="40"/>
      <c r="CF390" s="5"/>
      <c r="CH390" s="40"/>
      <c r="CI390" s="5"/>
      <c r="CK390" s="40"/>
      <c r="CL390" s="5"/>
      <c r="CN390" s="40"/>
      <c r="CO390" s="5"/>
      <c r="CQ390" s="40"/>
      <c r="CR390" s="5"/>
    </row>
    <row r="391">
      <c r="AO391" s="40"/>
      <c r="AP391" s="5"/>
      <c r="AR391" s="40"/>
      <c r="AS391" s="5"/>
      <c r="AU391" s="40"/>
      <c r="AV391" s="5"/>
      <c r="AX391" s="40"/>
      <c r="AY391" s="5"/>
      <c r="BA391" s="40"/>
      <c r="BB391" s="5"/>
      <c r="BD391" s="40"/>
      <c r="BE391" s="5"/>
      <c r="BG391" s="40"/>
      <c r="BH391" s="5"/>
      <c r="BJ391" s="40"/>
      <c r="BK391" s="5"/>
      <c r="BM391" s="40"/>
      <c r="BN391" s="5"/>
      <c r="BP391" s="40"/>
      <c r="BQ391" s="5"/>
      <c r="BS391" s="40"/>
      <c r="BT391" s="5"/>
      <c r="BV391" s="40"/>
      <c r="BW391" s="5"/>
      <c r="BY391" s="40"/>
      <c r="BZ391" s="5"/>
      <c r="CB391" s="40"/>
      <c r="CC391" s="5"/>
      <c r="CE391" s="40"/>
      <c r="CF391" s="5"/>
      <c r="CH391" s="40"/>
      <c r="CI391" s="5"/>
      <c r="CK391" s="40"/>
      <c r="CL391" s="5"/>
      <c r="CN391" s="40"/>
      <c r="CO391" s="5"/>
      <c r="CQ391" s="40"/>
      <c r="CR391" s="5"/>
    </row>
    <row r="392">
      <c r="AO392" s="40"/>
      <c r="AP392" s="5"/>
      <c r="AR392" s="40"/>
      <c r="AS392" s="5"/>
      <c r="AU392" s="40"/>
      <c r="AV392" s="5"/>
      <c r="AX392" s="40"/>
      <c r="AY392" s="5"/>
      <c r="BA392" s="40"/>
      <c r="BB392" s="5"/>
      <c r="BD392" s="40"/>
      <c r="BE392" s="5"/>
      <c r="BG392" s="40"/>
      <c r="BH392" s="5"/>
      <c r="BJ392" s="40"/>
      <c r="BK392" s="5"/>
      <c r="BM392" s="40"/>
      <c r="BN392" s="5"/>
      <c r="BP392" s="40"/>
      <c r="BQ392" s="5"/>
      <c r="BS392" s="40"/>
      <c r="BT392" s="5"/>
      <c r="BV392" s="40"/>
      <c r="BW392" s="5"/>
      <c r="BY392" s="40"/>
      <c r="BZ392" s="5"/>
      <c r="CB392" s="40"/>
      <c r="CC392" s="5"/>
      <c r="CE392" s="40"/>
      <c r="CF392" s="5"/>
      <c r="CH392" s="40"/>
      <c r="CI392" s="5"/>
      <c r="CK392" s="40"/>
      <c r="CL392" s="5"/>
      <c r="CN392" s="40"/>
      <c r="CO392" s="5"/>
      <c r="CQ392" s="40"/>
      <c r="CR392" s="5"/>
    </row>
    <row r="393">
      <c r="AO393" s="40"/>
      <c r="AP393" s="5"/>
      <c r="AR393" s="40"/>
      <c r="AS393" s="5"/>
      <c r="AU393" s="40"/>
      <c r="AV393" s="5"/>
      <c r="AX393" s="40"/>
      <c r="AY393" s="5"/>
      <c r="BA393" s="40"/>
      <c r="BB393" s="5"/>
      <c r="BD393" s="40"/>
      <c r="BE393" s="5"/>
      <c r="BG393" s="40"/>
      <c r="BH393" s="5"/>
      <c r="BJ393" s="40"/>
      <c r="BK393" s="5"/>
      <c r="BM393" s="40"/>
      <c r="BN393" s="5"/>
      <c r="BP393" s="40"/>
      <c r="BQ393" s="5"/>
      <c r="BS393" s="40"/>
      <c r="BT393" s="5"/>
      <c r="BV393" s="40"/>
      <c r="BW393" s="5"/>
      <c r="BY393" s="40"/>
      <c r="BZ393" s="5"/>
      <c r="CB393" s="40"/>
      <c r="CC393" s="5"/>
      <c r="CE393" s="40"/>
      <c r="CF393" s="5"/>
      <c r="CH393" s="40"/>
      <c r="CI393" s="5"/>
      <c r="CK393" s="40"/>
      <c r="CL393" s="5"/>
      <c r="CN393" s="40"/>
      <c r="CO393" s="5"/>
      <c r="CQ393" s="40"/>
      <c r="CR393" s="5"/>
    </row>
    <row r="394">
      <c r="AO394" s="40"/>
      <c r="AP394" s="5"/>
      <c r="AR394" s="40"/>
      <c r="AS394" s="5"/>
      <c r="AU394" s="40"/>
      <c r="AV394" s="5"/>
      <c r="AX394" s="40"/>
      <c r="AY394" s="5"/>
      <c r="BA394" s="40"/>
      <c r="BB394" s="5"/>
      <c r="BD394" s="40"/>
      <c r="BE394" s="5"/>
      <c r="BG394" s="40"/>
      <c r="BH394" s="5"/>
      <c r="BJ394" s="40"/>
      <c r="BK394" s="5"/>
      <c r="BM394" s="40"/>
      <c r="BN394" s="5"/>
      <c r="BP394" s="40"/>
      <c r="BQ394" s="5"/>
      <c r="BS394" s="40"/>
      <c r="BT394" s="5"/>
      <c r="BV394" s="40"/>
      <c r="BW394" s="5"/>
      <c r="BY394" s="40"/>
      <c r="BZ394" s="5"/>
      <c r="CB394" s="40"/>
      <c r="CC394" s="5"/>
      <c r="CE394" s="40"/>
      <c r="CF394" s="5"/>
      <c r="CH394" s="40"/>
      <c r="CI394" s="5"/>
      <c r="CK394" s="40"/>
      <c r="CL394" s="5"/>
      <c r="CN394" s="40"/>
      <c r="CO394" s="5"/>
      <c r="CQ394" s="40"/>
      <c r="CR394" s="5"/>
    </row>
    <row r="395">
      <c r="AO395" s="40"/>
      <c r="AP395" s="5"/>
      <c r="AR395" s="40"/>
      <c r="AS395" s="5"/>
      <c r="AU395" s="40"/>
      <c r="AV395" s="5"/>
      <c r="AX395" s="40"/>
      <c r="AY395" s="5"/>
      <c r="BA395" s="40"/>
      <c r="BB395" s="5"/>
      <c r="BD395" s="40"/>
      <c r="BE395" s="5"/>
      <c r="BG395" s="40"/>
      <c r="BH395" s="5"/>
      <c r="BJ395" s="40"/>
      <c r="BK395" s="5"/>
      <c r="BM395" s="40"/>
      <c r="BN395" s="5"/>
      <c r="BP395" s="40"/>
      <c r="BQ395" s="5"/>
      <c r="BS395" s="40"/>
      <c r="BT395" s="5"/>
      <c r="BV395" s="40"/>
      <c r="BW395" s="5"/>
      <c r="BY395" s="40"/>
      <c r="BZ395" s="5"/>
      <c r="CB395" s="40"/>
      <c r="CC395" s="5"/>
      <c r="CE395" s="40"/>
      <c r="CF395" s="5"/>
      <c r="CH395" s="40"/>
      <c r="CI395" s="5"/>
      <c r="CK395" s="40"/>
      <c r="CL395" s="5"/>
      <c r="CN395" s="40"/>
      <c r="CO395" s="5"/>
      <c r="CQ395" s="40"/>
      <c r="CR395" s="5"/>
    </row>
    <row r="396">
      <c r="AO396" s="40"/>
      <c r="AP396" s="5"/>
      <c r="AR396" s="40"/>
      <c r="AS396" s="5"/>
      <c r="AU396" s="40"/>
      <c r="AV396" s="5"/>
      <c r="AX396" s="40"/>
      <c r="AY396" s="5"/>
      <c r="BA396" s="40"/>
      <c r="BB396" s="5"/>
      <c r="BD396" s="40"/>
      <c r="BE396" s="5"/>
      <c r="BG396" s="40"/>
      <c r="BH396" s="5"/>
      <c r="BJ396" s="40"/>
      <c r="BK396" s="5"/>
      <c r="BM396" s="40"/>
      <c r="BN396" s="5"/>
      <c r="BP396" s="40"/>
      <c r="BQ396" s="5"/>
      <c r="BS396" s="40"/>
      <c r="BT396" s="5"/>
      <c r="BV396" s="40"/>
      <c r="BW396" s="5"/>
      <c r="BY396" s="40"/>
      <c r="BZ396" s="5"/>
      <c r="CB396" s="40"/>
      <c r="CC396" s="5"/>
      <c r="CE396" s="40"/>
      <c r="CF396" s="5"/>
      <c r="CH396" s="40"/>
      <c r="CI396" s="5"/>
      <c r="CK396" s="40"/>
      <c r="CL396" s="5"/>
      <c r="CN396" s="40"/>
      <c r="CO396" s="5"/>
      <c r="CQ396" s="40"/>
      <c r="CR396" s="5"/>
    </row>
    <row r="397">
      <c r="AO397" s="40"/>
      <c r="AP397" s="5"/>
      <c r="AR397" s="40"/>
      <c r="AS397" s="5"/>
      <c r="AU397" s="40"/>
      <c r="AV397" s="5"/>
      <c r="AX397" s="40"/>
      <c r="AY397" s="5"/>
      <c r="BA397" s="40"/>
      <c r="BB397" s="5"/>
      <c r="BD397" s="40"/>
      <c r="BE397" s="5"/>
      <c r="BG397" s="40"/>
      <c r="BH397" s="5"/>
      <c r="BJ397" s="40"/>
      <c r="BK397" s="5"/>
      <c r="BM397" s="40"/>
      <c r="BN397" s="5"/>
      <c r="BP397" s="40"/>
      <c r="BQ397" s="5"/>
      <c r="BS397" s="40"/>
      <c r="BT397" s="5"/>
      <c r="BV397" s="40"/>
      <c r="BW397" s="5"/>
      <c r="BY397" s="40"/>
      <c r="BZ397" s="5"/>
      <c r="CB397" s="40"/>
      <c r="CC397" s="5"/>
      <c r="CE397" s="40"/>
      <c r="CF397" s="5"/>
      <c r="CH397" s="40"/>
      <c r="CI397" s="5"/>
      <c r="CK397" s="40"/>
      <c r="CL397" s="5"/>
      <c r="CN397" s="40"/>
      <c r="CO397" s="5"/>
      <c r="CQ397" s="40"/>
      <c r="CR397" s="5"/>
    </row>
    <row r="398">
      <c r="AO398" s="40"/>
      <c r="AP398" s="5"/>
      <c r="AR398" s="40"/>
      <c r="AS398" s="5"/>
      <c r="AU398" s="40"/>
      <c r="AV398" s="5"/>
      <c r="AX398" s="40"/>
      <c r="AY398" s="5"/>
      <c r="BA398" s="40"/>
      <c r="BB398" s="5"/>
      <c r="BD398" s="40"/>
      <c r="BE398" s="5"/>
      <c r="BG398" s="40"/>
      <c r="BH398" s="5"/>
      <c r="BJ398" s="40"/>
      <c r="BK398" s="5"/>
      <c r="BM398" s="40"/>
      <c r="BN398" s="5"/>
      <c r="BP398" s="40"/>
      <c r="BQ398" s="5"/>
      <c r="BS398" s="40"/>
      <c r="BT398" s="5"/>
      <c r="BV398" s="40"/>
      <c r="BW398" s="5"/>
      <c r="BY398" s="40"/>
      <c r="BZ398" s="5"/>
      <c r="CB398" s="40"/>
      <c r="CC398" s="5"/>
      <c r="CE398" s="40"/>
      <c r="CF398" s="5"/>
      <c r="CH398" s="40"/>
      <c r="CI398" s="5"/>
      <c r="CK398" s="40"/>
      <c r="CL398" s="5"/>
      <c r="CN398" s="40"/>
      <c r="CO398" s="5"/>
      <c r="CQ398" s="40"/>
      <c r="CR398" s="5"/>
    </row>
    <row r="399">
      <c r="AO399" s="40"/>
      <c r="AP399" s="5"/>
      <c r="AR399" s="40"/>
      <c r="AS399" s="5"/>
      <c r="AU399" s="40"/>
      <c r="AV399" s="5"/>
      <c r="AX399" s="40"/>
      <c r="AY399" s="5"/>
      <c r="BA399" s="40"/>
      <c r="BB399" s="5"/>
      <c r="BD399" s="40"/>
      <c r="BE399" s="5"/>
      <c r="BG399" s="40"/>
      <c r="BH399" s="5"/>
      <c r="BJ399" s="40"/>
      <c r="BK399" s="5"/>
      <c r="BM399" s="40"/>
      <c r="BN399" s="5"/>
      <c r="BP399" s="40"/>
      <c r="BQ399" s="5"/>
      <c r="BS399" s="40"/>
      <c r="BT399" s="5"/>
      <c r="BV399" s="40"/>
      <c r="BW399" s="5"/>
      <c r="BY399" s="40"/>
      <c r="BZ399" s="5"/>
      <c r="CB399" s="40"/>
      <c r="CC399" s="5"/>
      <c r="CE399" s="40"/>
      <c r="CF399" s="5"/>
      <c r="CH399" s="40"/>
      <c r="CI399" s="5"/>
      <c r="CK399" s="40"/>
      <c r="CL399" s="5"/>
      <c r="CN399" s="40"/>
      <c r="CO399" s="5"/>
      <c r="CQ399" s="40"/>
      <c r="CR399" s="5"/>
    </row>
    <row r="400">
      <c r="AO400" s="40"/>
      <c r="AP400" s="5"/>
      <c r="AR400" s="40"/>
      <c r="AS400" s="5"/>
      <c r="AU400" s="40"/>
      <c r="AV400" s="5"/>
      <c r="AX400" s="40"/>
      <c r="AY400" s="5"/>
      <c r="BA400" s="40"/>
      <c r="BB400" s="5"/>
      <c r="BD400" s="40"/>
      <c r="BE400" s="5"/>
      <c r="BG400" s="40"/>
      <c r="BH400" s="5"/>
      <c r="BJ400" s="40"/>
      <c r="BK400" s="5"/>
      <c r="BM400" s="40"/>
      <c r="BN400" s="5"/>
      <c r="BP400" s="40"/>
      <c r="BQ400" s="5"/>
      <c r="BS400" s="40"/>
      <c r="BT400" s="5"/>
      <c r="BV400" s="40"/>
      <c r="BW400" s="5"/>
      <c r="BY400" s="40"/>
      <c r="BZ400" s="5"/>
      <c r="CB400" s="40"/>
      <c r="CC400" s="5"/>
      <c r="CE400" s="40"/>
      <c r="CF400" s="5"/>
      <c r="CH400" s="40"/>
      <c r="CI400" s="5"/>
      <c r="CK400" s="40"/>
      <c r="CL400" s="5"/>
      <c r="CN400" s="40"/>
      <c r="CO400" s="5"/>
      <c r="CQ400" s="40"/>
      <c r="CR400" s="5"/>
    </row>
    <row r="401">
      <c r="AO401" s="40"/>
      <c r="AP401" s="5"/>
      <c r="AR401" s="40"/>
      <c r="AS401" s="5"/>
      <c r="AU401" s="40"/>
      <c r="AV401" s="5"/>
      <c r="AX401" s="40"/>
      <c r="AY401" s="5"/>
      <c r="BA401" s="40"/>
      <c r="BB401" s="5"/>
      <c r="BD401" s="40"/>
      <c r="BE401" s="5"/>
      <c r="BG401" s="40"/>
      <c r="BH401" s="5"/>
      <c r="BJ401" s="40"/>
      <c r="BK401" s="5"/>
      <c r="BM401" s="40"/>
      <c r="BN401" s="5"/>
      <c r="BP401" s="40"/>
      <c r="BQ401" s="5"/>
      <c r="BS401" s="40"/>
      <c r="BT401" s="5"/>
      <c r="BV401" s="40"/>
      <c r="BW401" s="5"/>
      <c r="BY401" s="40"/>
      <c r="BZ401" s="5"/>
      <c r="CB401" s="40"/>
      <c r="CC401" s="5"/>
      <c r="CE401" s="40"/>
      <c r="CF401" s="5"/>
      <c r="CH401" s="40"/>
      <c r="CI401" s="5"/>
      <c r="CK401" s="40"/>
      <c r="CL401" s="5"/>
      <c r="CN401" s="40"/>
      <c r="CO401" s="5"/>
      <c r="CQ401" s="40"/>
      <c r="CR401" s="5"/>
    </row>
    <row r="402">
      <c r="AO402" s="40"/>
      <c r="AP402" s="5"/>
      <c r="AR402" s="40"/>
      <c r="AS402" s="5"/>
      <c r="AU402" s="40"/>
      <c r="AV402" s="5"/>
      <c r="AX402" s="40"/>
      <c r="AY402" s="5"/>
      <c r="BA402" s="40"/>
      <c r="BB402" s="5"/>
      <c r="BD402" s="40"/>
      <c r="BE402" s="5"/>
      <c r="BG402" s="40"/>
      <c r="BH402" s="5"/>
      <c r="BJ402" s="40"/>
      <c r="BK402" s="5"/>
      <c r="BM402" s="40"/>
      <c r="BN402" s="5"/>
      <c r="BP402" s="40"/>
      <c r="BQ402" s="5"/>
      <c r="BS402" s="40"/>
      <c r="BT402" s="5"/>
      <c r="BV402" s="40"/>
      <c r="BW402" s="5"/>
      <c r="BY402" s="40"/>
      <c r="BZ402" s="5"/>
      <c r="CB402" s="40"/>
      <c r="CC402" s="5"/>
      <c r="CE402" s="40"/>
      <c r="CF402" s="5"/>
      <c r="CH402" s="40"/>
      <c r="CI402" s="5"/>
      <c r="CK402" s="40"/>
      <c r="CL402" s="5"/>
      <c r="CN402" s="40"/>
      <c r="CO402" s="5"/>
      <c r="CQ402" s="40"/>
      <c r="CR402" s="5"/>
    </row>
    <row r="403">
      <c r="AO403" s="40"/>
      <c r="AP403" s="5"/>
      <c r="AR403" s="40"/>
      <c r="AS403" s="5"/>
      <c r="AU403" s="40"/>
      <c r="AV403" s="5"/>
      <c r="AX403" s="40"/>
      <c r="AY403" s="5"/>
      <c r="BA403" s="40"/>
      <c r="BB403" s="5"/>
      <c r="BD403" s="40"/>
      <c r="BE403" s="5"/>
      <c r="BG403" s="40"/>
      <c r="BH403" s="5"/>
      <c r="BJ403" s="40"/>
      <c r="BK403" s="5"/>
      <c r="BM403" s="40"/>
      <c r="BN403" s="5"/>
      <c r="BP403" s="40"/>
      <c r="BQ403" s="5"/>
      <c r="BS403" s="40"/>
      <c r="BT403" s="5"/>
      <c r="BV403" s="40"/>
      <c r="BW403" s="5"/>
      <c r="BY403" s="40"/>
      <c r="BZ403" s="5"/>
      <c r="CB403" s="40"/>
      <c r="CC403" s="5"/>
      <c r="CE403" s="40"/>
      <c r="CF403" s="5"/>
      <c r="CH403" s="40"/>
      <c r="CI403" s="5"/>
      <c r="CK403" s="40"/>
      <c r="CL403" s="5"/>
      <c r="CN403" s="40"/>
      <c r="CO403" s="5"/>
      <c r="CQ403" s="40"/>
      <c r="CR403" s="5"/>
    </row>
    <row r="404">
      <c r="AO404" s="40"/>
      <c r="AP404" s="5"/>
      <c r="AR404" s="40"/>
      <c r="AS404" s="5"/>
      <c r="AU404" s="40"/>
      <c r="AV404" s="5"/>
      <c r="AX404" s="40"/>
      <c r="AY404" s="5"/>
      <c r="BA404" s="40"/>
      <c r="BB404" s="5"/>
      <c r="BD404" s="40"/>
      <c r="BE404" s="5"/>
      <c r="BG404" s="40"/>
      <c r="BH404" s="5"/>
      <c r="BJ404" s="40"/>
      <c r="BK404" s="5"/>
      <c r="BM404" s="40"/>
      <c r="BN404" s="5"/>
      <c r="BP404" s="40"/>
      <c r="BQ404" s="5"/>
      <c r="BS404" s="40"/>
      <c r="BT404" s="5"/>
      <c r="BV404" s="40"/>
      <c r="BW404" s="5"/>
      <c r="BY404" s="40"/>
      <c r="BZ404" s="5"/>
      <c r="CB404" s="40"/>
      <c r="CC404" s="5"/>
      <c r="CE404" s="40"/>
      <c r="CF404" s="5"/>
      <c r="CH404" s="40"/>
      <c r="CI404" s="5"/>
      <c r="CK404" s="40"/>
      <c r="CL404" s="5"/>
      <c r="CN404" s="40"/>
      <c r="CO404" s="5"/>
      <c r="CQ404" s="40"/>
      <c r="CR404" s="5"/>
    </row>
    <row r="405">
      <c r="AO405" s="40"/>
      <c r="AP405" s="5"/>
      <c r="AR405" s="40"/>
      <c r="AS405" s="5"/>
      <c r="AU405" s="40"/>
      <c r="AV405" s="5"/>
      <c r="AX405" s="40"/>
      <c r="AY405" s="5"/>
      <c r="BA405" s="40"/>
      <c r="BB405" s="5"/>
      <c r="BD405" s="40"/>
      <c r="BE405" s="5"/>
      <c r="BG405" s="40"/>
      <c r="BH405" s="5"/>
      <c r="BJ405" s="40"/>
      <c r="BK405" s="5"/>
      <c r="BM405" s="40"/>
      <c r="BN405" s="5"/>
      <c r="BP405" s="40"/>
      <c r="BQ405" s="5"/>
      <c r="BS405" s="40"/>
      <c r="BT405" s="5"/>
      <c r="BV405" s="40"/>
      <c r="BW405" s="5"/>
      <c r="BY405" s="40"/>
      <c r="BZ405" s="5"/>
      <c r="CB405" s="40"/>
      <c r="CC405" s="5"/>
      <c r="CE405" s="40"/>
      <c r="CF405" s="5"/>
      <c r="CH405" s="40"/>
      <c r="CI405" s="5"/>
      <c r="CK405" s="40"/>
      <c r="CL405" s="5"/>
      <c r="CN405" s="40"/>
      <c r="CO405" s="5"/>
      <c r="CQ405" s="40"/>
      <c r="CR405" s="5"/>
    </row>
    <row r="406">
      <c r="AO406" s="40"/>
      <c r="AP406" s="5"/>
      <c r="AR406" s="40"/>
      <c r="AS406" s="5"/>
      <c r="AU406" s="40"/>
      <c r="AV406" s="5"/>
      <c r="AX406" s="40"/>
      <c r="AY406" s="5"/>
      <c r="BA406" s="40"/>
      <c r="BB406" s="5"/>
      <c r="BD406" s="40"/>
      <c r="BE406" s="5"/>
      <c r="BG406" s="40"/>
      <c r="BH406" s="5"/>
      <c r="BJ406" s="40"/>
      <c r="BK406" s="5"/>
      <c r="BM406" s="40"/>
      <c r="BN406" s="5"/>
      <c r="BP406" s="40"/>
      <c r="BQ406" s="5"/>
      <c r="BS406" s="40"/>
      <c r="BT406" s="5"/>
      <c r="BV406" s="40"/>
      <c r="BW406" s="5"/>
      <c r="BY406" s="40"/>
      <c r="BZ406" s="5"/>
      <c r="CB406" s="40"/>
      <c r="CC406" s="5"/>
      <c r="CE406" s="40"/>
      <c r="CF406" s="5"/>
      <c r="CH406" s="40"/>
      <c r="CI406" s="5"/>
      <c r="CK406" s="40"/>
      <c r="CL406" s="5"/>
      <c r="CN406" s="40"/>
      <c r="CO406" s="5"/>
      <c r="CQ406" s="40"/>
      <c r="CR406" s="5"/>
    </row>
    <row r="407">
      <c r="AO407" s="40"/>
      <c r="AP407" s="5"/>
      <c r="AR407" s="40"/>
      <c r="AS407" s="5"/>
      <c r="AU407" s="40"/>
      <c r="AV407" s="5"/>
      <c r="AX407" s="40"/>
      <c r="AY407" s="5"/>
      <c r="BA407" s="40"/>
      <c r="BB407" s="5"/>
      <c r="BD407" s="40"/>
      <c r="BE407" s="5"/>
      <c r="BG407" s="40"/>
      <c r="BH407" s="5"/>
      <c r="BJ407" s="40"/>
      <c r="BK407" s="5"/>
      <c r="BM407" s="40"/>
      <c r="BN407" s="5"/>
      <c r="BP407" s="40"/>
      <c r="BQ407" s="5"/>
      <c r="BS407" s="40"/>
      <c r="BT407" s="5"/>
      <c r="BV407" s="40"/>
      <c r="BW407" s="5"/>
      <c r="BY407" s="40"/>
      <c r="BZ407" s="5"/>
      <c r="CB407" s="40"/>
      <c r="CC407" s="5"/>
      <c r="CE407" s="40"/>
      <c r="CF407" s="5"/>
      <c r="CH407" s="40"/>
      <c r="CI407" s="5"/>
      <c r="CK407" s="40"/>
      <c r="CL407" s="5"/>
      <c r="CN407" s="40"/>
      <c r="CO407" s="5"/>
      <c r="CQ407" s="40"/>
      <c r="CR407" s="5"/>
    </row>
    <row r="408">
      <c r="AO408" s="40"/>
      <c r="AP408" s="5"/>
      <c r="AR408" s="40"/>
      <c r="AS408" s="5"/>
      <c r="AU408" s="40"/>
      <c r="AV408" s="5"/>
      <c r="AX408" s="40"/>
      <c r="AY408" s="5"/>
      <c r="BA408" s="40"/>
      <c r="BB408" s="5"/>
      <c r="BD408" s="40"/>
      <c r="BE408" s="5"/>
      <c r="BG408" s="40"/>
      <c r="BH408" s="5"/>
      <c r="BJ408" s="40"/>
      <c r="BK408" s="5"/>
      <c r="BM408" s="40"/>
      <c r="BN408" s="5"/>
      <c r="BP408" s="40"/>
      <c r="BQ408" s="5"/>
      <c r="BS408" s="40"/>
      <c r="BT408" s="5"/>
      <c r="BV408" s="40"/>
      <c r="BW408" s="5"/>
      <c r="BY408" s="40"/>
      <c r="BZ408" s="5"/>
      <c r="CB408" s="40"/>
      <c r="CC408" s="5"/>
      <c r="CE408" s="40"/>
      <c r="CF408" s="5"/>
      <c r="CH408" s="40"/>
      <c r="CI408" s="5"/>
      <c r="CK408" s="40"/>
      <c r="CL408" s="5"/>
      <c r="CN408" s="40"/>
      <c r="CO408" s="5"/>
      <c r="CQ408" s="40"/>
      <c r="CR408" s="5"/>
    </row>
    <row r="409">
      <c r="AO409" s="40"/>
      <c r="AP409" s="5"/>
      <c r="AR409" s="40"/>
      <c r="AS409" s="5"/>
      <c r="AU409" s="40"/>
      <c r="AV409" s="5"/>
      <c r="AX409" s="40"/>
      <c r="AY409" s="5"/>
      <c r="BA409" s="40"/>
      <c r="BB409" s="5"/>
      <c r="BD409" s="40"/>
      <c r="BE409" s="5"/>
      <c r="BG409" s="40"/>
      <c r="BH409" s="5"/>
      <c r="BJ409" s="40"/>
      <c r="BK409" s="5"/>
      <c r="BM409" s="40"/>
      <c r="BN409" s="5"/>
      <c r="BP409" s="40"/>
      <c r="BQ409" s="5"/>
      <c r="BS409" s="40"/>
      <c r="BT409" s="5"/>
      <c r="BV409" s="40"/>
      <c r="BW409" s="5"/>
      <c r="BY409" s="40"/>
      <c r="BZ409" s="5"/>
      <c r="CB409" s="40"/>
      <c r="CC409" s="5"/>
      <c r="CE409" s="40"/>
      <c r="CF409" s="5"/>
      <c r="CH409" s="40"/>
      <c r="CI409" s="5"/>
      <c r="CK409" s="40"/>
      <c r="CL409" s="5"/>
      <c r="CN409" s="40"/>
      <c r="CO409" s="5"/>
      <c r="CQ409" s="40"/>
      <c r="CR409" s="5"/>
    </row>
    <row r="410">
      <c r="AO410" s="40"/>
      <c r="AP410" s="5"/>
      <c r="AR410" s="40"/>
      <c r="AS410" s="5"/>
      <c r="AU410" s="40"/>
      <c r="AV410" s="5"/>
      <c r="AX410" s="40"/>
      <c r="AY410" s="5"/>
      <c r="BA410" s="40"/>
      <c r="BB410" s="5"/>
      <c r="BD410" s="40"/>
      <c r="BE410" s="5"/>
      <c r="BG410" s="40"/>
      <c r="BH410" s="5"/>
      <c r="BJ410" s="40"/>
      <c r="BK410" s="5"/>
      <c r="BM410" s="40"/>
      <c r="BN410" s="5"/>
      <c r="BP410" s="40"/>
      <c r="BQ410" s="5"/>
      <c r="BS410" s="40"/>
      <c r="BT410" s="5"/>
      <c r="BV410" s="40"/>
      <c r="BW410" s="5"/>
      <c r="BY410" s="40"/>
      <c r="BZ410" s="5"/>
      <c r="CB410" s="40"/>
      <c r="CC410" s="5"/>
      <c r="CE410" s="40"/>
      <c r="CF410" s="5"/>
      <c r="CH410" s="40"/>
      <c r="CI410" s="5"/>
      <c r="CK410" s="40"/>
      <c r="CL410" s="5"/>
      <c r="CN410" s="40"/>
      <c r="CO410" s="5"/>
      <c r="CQ410" s="40"/>
      <c r="CR410" s="5"/>
    </row>
    <row r="411">
      <c r="AO411" s="40"/>
      <c r="AP411" s="5"/>
      <c r="AR411" s="40"/>
      <c r="AS411" s="5"/>
      <c r="AU411" s="40"/>
      <c r="AV411" s="5"/>
      <c r="AX411" s="40"/>
      <c r="AY411" s="5"/>
      <c r="BA411" s="40"/>
      <c r="BB411" s="5"/>
      <c r="BD411" s="40"/>
      <c r="BE411" s="5"/>
      <c r="BG411" s="40"/>
      <c r="BH411" s="5"/>
      <c r="BJ411" s="40"/>
      <c r="BK411" s="5"/>
      <c r="BM411" s="40"/>
      <c r="BN411" s="5"/>
      <c r="BP411" s="40"/>
      <c r="BQ411" s="5"/>
      <c r="BS411" s="40"/>
      <c r="BT411" s="5"/>
      <c r="BV411" s="40"/>
      <c r="BW411" s="5"/>
      <c r="BY411" s="40"/>
      <c r="BZ411" s="5"/>
      <c r="CB411" s="40"/>
      <c r="CC411" s="5"/>
      <c r="CE411" s="40"/>
      <c r="CF411" s="5"/>
      <c r="CH411" s="40"/>
      <c r="CI411" s="5"/>
      <c r="CK411" s="40"/>
      <c r="CL411" s="5"/>
      <c r="CN411" s="40"/>
      <c r="CO411" s="5"/>
      <c r="CQ411" s="40"/>
      <c r="CR411" s="5"/>
    </row>
    <row r="412">
      <c r="AO412" s="40"/>
      <c r="AP412" s="5"/>
      <c r="AR412" s="40"/>
      <c r="AS412" s="5"/>
      <c r="AU412" s="40"/>
      <c r="AV412" s="5"/>
      <c r="AX412" s="40"/>
      <c r="AY412" s="5"/>
      <c r="BA412" s="40"/>
      <c r="BB412" s="5"/>
      <c r="BD412" s="40"/>
      <c r="BE412" s="5"/>
      <c r="BG412" s="40"/>
      <c r="BH412" s="5"/>
      <c r="BJ412" s="40"/>
      <c r="BK412" s="5"/>
      <c r="BM412" s="40"/>
      <c r="BN412" s="5"/>
      <c r="BP412" s="40"/>
      <c r="BQ412" s="5"/>
      <c r="BS412" s="40"/>
      <c r="BT412" s="5"/>
      <c r="BV412" s="40"/>
      <c r="BW412" s="5"/>
      <c r="BY412" s="40"/>
      <c r="BZ412" s="5"/>
      <c r="CB412" s="40"/>
      <c r="CC412" s="5"/>
      <c r="CE412" s="40"/>
      <c r="CF412" s="5"/>
      <c r="CH412" s="40"/>
      <c r="CI412" s="5"/>
      <c r="CK412" s="40"/>
      <c r="CL412" s="5"/>
      <c r="CN412" s="40"/>
      <c r="CO412" s="5"/>
      <c r="CQ412" s="40"/>
      <c r="CR412" s="5"/>
    </row>
    <row r="413">
      <c r="AO413" s="40"/>
      <c r="AP413" s="5"/>
      <c r="AR413" s="40"/>
      <c r="AS413" s="5"/>
      <c r="AU413" s="40"/>
      <c r="AV413" s="5"/>
      <c r="AX413" s="40"/>
      <c r="AY413" s="5"/>
      <c r="BA413" s="40"/>
      <c r="BB413" s="5"/>
      <c r="BD413" s="40"/>
      <c r="BE413" s="5"/>
      <c r="BG413" s="40"/>
      <c r="BH413" s="5"/>
      <c r="BJ413" s="40"/>
      <c r="BK413" s="5"/>
      <c r="BM413" s="40"/>
      <c r="BN413" s="5"/>
      <c r="BP413" s="40"/>
      <c r="BQ413" s="5"/>
      <c r="BS413" s="40"/>
      <c r="BT413" s="5"/>
      <c r="BV413" s="40"/>
      <c r="BW413" s="5"/>
      <c r="BY413" s="40"/>
      <c r="BZ413" s="5"/>
      <c r="CB413" s="40"/>
      <c r="CC413" s="5"/>
      <c r="CE413" s="40"/>
      <c r="CF413" s="5"/>
      <c r="CH413" s="40"/>
      <c r="CI413" s="5"/>
      <c r="CK413" s="40"/>
      <c r="CL413" s="5"/>
      <c r="CN413" s="40"/>
      <c r="CO413" s="5"/>
      <c r="CQ413" s="40"/>
      <c r="CR413" s="5"/>
    </row>
    <row r="414">
      <c r="AO414" s="40"/>
      <c r="AP414" s="5"/>
      <c r="AR414" s="40"/>
      <c r="AS414" s="5"/>
      <c r="AU414" s="40"/>
      <c r="AV414" s="5"/>
      <c r="AX414" s="40"/>
      <c r="AY414" s="5"/>
      <c r="BA414" s="40"/>
      <c r="BB414" s="5"/>
      <c r="BD414" s="40"/>
      <c r="BE414" s="5"/>
      <c r="BG414" s="40"/>
      <c r="BH414" s="5"/>
      <c r="BJ414" s="40"/>
      <c r="BK414" s="5"/>
      <c r="BM414" s="40"/>
      <c r="BN414" s="5"/>
      <c r="BP414" s="40"/>
      <c r="BQ414" s="5"/>
      <c r="BS414" s="40"/>
      <c r="BT414" s="5"/>
      <c r="BV414" s="40"/>
      <c r="BW414" s="5"/>
      <c r="BY414" s="40"/>
      <c r="BZ414" s="5"/>
      <c r="CB414" s="40"/>
      <c r="CC414" s="5"/>
      <c r="CE414" s="40"/>
      <c r="CF414" s="5"/>
      <c r="CH414" s="40"/>
      <c r="CI414" s="5"/>
      <c r="CK414" s="40"/>
      <c r="CL414" s="5"/>
      <c r="CN414" s="40"/>
      <c r="CO414" s="5"/>
      <c r="CQ414" s="40"/>
      <c r="CR414" s="5"/>
    </row>
    <row r="415">
      <c r="AO415" s="40"/>
      <c r="AP415" s="5"/>
      <c r="AR415" s="40"/>
      <c r="AS415" s="5"/>
      <c r="AU415" s="40"/>
      <c r="AV415" s="5"/>
      <c r="AX415" s="40"/>
      <c r="AY415" s="5"/>
      <c r="BA415" s="40"/>
      <c r="BB415" s="5"/>
      <c r="BD415" s="40"/>
      <c r="BE415" s="5"/>
      <c r="BG415" s="40"/>
      <c r="BH415" s="5"/>
      <c r="BJ415" s="40"/>
      <c r="BK415" s="5"/>
      <c r="BM415" s="40"/>
      <c r="BN415" s="5"/>
      <c r="BP415" s="40"/>
      <c r="BQ415" s="5"/>
      <c r="BS415" s="40"/>
      <c r="BT415" s="5"/>
      <c r="BV415" s="40"/>
      <c r="BW415" s="5"/>
      <c r="BY415" s="40"/>
      <c r="BZ415" s="5"/>
      <c r="CB415" s="40"/>
      <c r="CC415" s="5"/>
      <c r="CE415" s="40"/>
      <c r="CF415" s="5"/>
      <c r="CH415" s="40"/>
      <c r="CI415" s="5"/>
      <c r="CK415" s="40"/>
      <c r="CL415" s="5"/>
      <c r="CN415" s="40"/>
      <c r="CO415" s="5"/>
      <c r="CQ415" s="40"/>
      <c r="CR415" s="5"/>
    </row>
    <row r="416">
      <c r="AO416" s="40"/>
      <c r="AP416" s="5"/>
      <c r="AR416" s="40"/>
      <c r="AS416" s="5"/>
      <c r="AU416" s="40"/>
      <c r="AV416" s="5"/>
      <c r="AX416" s="40"/>
      <c r="AY416" s="5"/>
      <c r="BA416" s="40"/>
      <c r="BB416" s="5"/>
      <c r="BD416" s="40"/>
      <c r="BE416" s="5"/>
      <c r="BG416" s="40"/>
      <c r="BH416" s="5"/>
      <c r="BJ416" s="40"/>
      <c r="BK416" s="5"/>
      <c r="BM416" s="40"/>
      <c r="BN416" s="5"/>
      <c r="BP416" s="40"/>
      <c r="BQ416" s="5"/>
      <c r="BS416" s="40"/>
      <c r="BT416" s="5"/>
      <c r="BV416" s="40"/>
      <c r="BW416" s="5"/>
      <c r="BY416" s="40"/>
      <c r="BZ416" s="5"/>
      <c r="CB416" s="40"/>
      <c r="CC416" s="5"/>
      <c r="CE416" s="40"/>
      <c r="CF416" s="5"/>
      <c r="CH416" s="40"/>
      <c r="CI416" s="5"/>
      <c r="CK416" s="40"/>
      <c r="CL416" s="5"/>
      <c r="CN416" s="40"/>
      <c r="CO416" s="5"/>
      <c r="CQ416" s="40"/>
      <c r="CR416" s="5"/>
    </row>
    <row r="417">
      <c r="AO417" s="40"/>
      <c r="AP417" s="5"/>
      <c r="AR417" s="40"/>
      <c r="AS417" s="5"/>
      <c r="AU417" s="40"/>
      <c r="AV417" s="5"/>
      <c r="AX417" s="40"/>
      <c r="AY417" s="5"/>
      <c r="BA417" s="40"/>
      <c r="BB417" s="5"/>
      <c r="BD417" s="40"/>
      <c r="BE417" s="5"/>
      <c r="BG417" s="40"/>
      <c r="BH417" s="5"/>
      <c r="BJ417" s="40"/>
      <c r="BK417" s="5"/>
      <c r="BM417" s="40"/>
      <c r="BN417" s="5"/>
      <c r="BP417" s="40"/>
      <c r="BQ417" s="5"/>
      <c r="BS417" s="40"/>
      <c r="BT417" s="5"/>
      <c r="BV417" s="40"/>
      <c r="BW417" s="5"/>
      <c r="BY417" s="40"/>
      <c r="BZ417" s="5"/>
      <c r="CB417" s="40"/>
      <c r="CC417" s="5"/>
      <c r="CE417" s="40"/>
      <c r="CF417" s="5"/>
      <c r="CH417" s="40"/>
      <c r="CI417" s="5"/>
      <c r="CK417" s="40"/>
      <c r="CL417" s="5"/>
      <c r="CN417" s="40"/>
      <c r="CO417" s="5"/>
      <c r="CQ417" s="40"/>
      <c r="CR417" s="5"/>
    </row>
    <row r="418">
      <c r="AO418" s="40"/>
      <c r="AP418" s="5"/>
      <c r="AR418" s="40"/>
      <c r="AS418" s="5"/>
      <c r="AU418" s="40"/>
      <c r="AV418" s="5"/>
      <c r="AX418" s="40"/>
      <c r="AY418" s="5"/>
      <c r="BA418" s="40"/>
      <c r="BB418" s="5"/>
      <c r="BD418" s="40"/>
      <c r="BE418" s="5"/>
      <c r="BG418" s="40"/>
      <c r="BH418" s="5"/>
      <c r="BJ418" s="40"/>
      <c r="BK418" s="5"/>
      <c r="BM418" s="40"/>
      <c r="BN418" s="5"/>
      <c r="BP418" s="40"/>
      <c r="BQ418" s="5"/>
      <c r="BS418" s="40"/>
      <c r="BT418" s="5"/>
      <c r="BV418" s="40"/>
      <c r="BW418" s="5"/>
      <c r="BY418" s="40"/>
      <c r="BZ418" s="5"/>
      <c r="CB418" s="40"/>
      <c r="CC418" s="5"/>
      <c r="CE418" s="40"/>
      <c r="CF418" s="5"/>
      <c r="CH418" s="40"/>
      <c r="CI418" s="5"/>
      <c r="CK418" s="40"/>
      <c r="CL418" s="5"/>
      <c r="CN418" s="40"/>
      <c r="CO418" s="5"/>
      <c r="CQ418" s="40"/>
      <c r="CR418" s="5"/>
    </row>
    <row r="419">
      <c r="AO419" s="40"/>
      <c r="AP419" s="5"/>
      <c r="AR419" s="40"/>
      <c r="AS419" s="5"/>
      <c r="AU419" s="40"/>
      <c r="AV419" s="5"/>
      <c r="AX419" s="40"/>
      <c r="AY419" s="5"/>
      <c r="BA419" s="40"/>
      <c r="BB419" s="5"/>
      <c r="BD419" s="40"/>
      <c r="BE419" s="5"/>
      <c r="BG419" s="40"/>
      <c r="BH419" s="5"/>
      <c r="BJ419" s="40"/>
      <c r="BK419" s="5"/>
      <c r="BM419" s="40"/>
      <c r="BN419" s="5"/>
      <c r="BP419" s="40"/>
      <c r="BQ419" s="5"/>
      <c r="BS419" s="40"/>
      <c r="BT419" s="5"/>
      <c r="BV419" s="40"/>
      <c r="BW419" s="5"/>
      <c r="BY419" s="40"/>
      <c r="BZ419" s="5"/>
      <c r="CB419" s="40"/>
      <c r="CC419" s="5"/>
      <c r="CE419" s="40"/>
      <c r="CF419" s="5"/>
      <c r="CH419" s="40"/>
      <c r="CI419" s="5"/>
      <c r="CK419" s="40"/>
      <c r="CL419" s="5"/>
      <c r="CN419" s="40"/>
      <c r="CO419" s="5"/>
      <c r="CQ419" s="40"/>
      <c r="CR419" s="5"/>
    </row>
    <row r="420">
      <c r="AO420" s="40"/>
      <c r="AP420" s="5"/>
      <c r="AR420" s="40"/>
      <c r="AS420" s="5"/>
      <c r="AU420" s="40"/>
      <c r="AV420" s="5"/>
      <c r="AX420" s="40"/>
      <c r="AY420" s="5"/>
      <c r="BA420" s="40"/>
      <c r="BB420" s="5"/>
      <c r="BD420" s="40"/>
      <c r="BE420" s="5"/>
      <c r="BG420" s="40"/>
      <c r="BH420" s="5"/>
      <c r="BJ420" s="40"/>
      <c r="BK420" s="5"/>
      <c r="BM420" s="40"/>
      <c r="BN420" s="5"/>
      <c r="BP420" s="40"/>
      <c r="BQ420" s="5"/>
      <c r="BS420" s="40"/>
      <c r="BT420" s="5"/>
      <c r="BV420" s="40"/>
      <c r="BW420" s="5"/>
      <c r="BY420" s="40"/>
      <c r="BZ420" s="5"/>
      <c r="CB420" s="40"/>
      <c r="CC420" s="5"/>
      <c r="CE420" s="40"/>
      <c r="CF420" s="5"/>
      <c r="CH420" s="40"/>
      <c r="CI420" s="5"/>
      <c r="CK420" s="40"/>
      <c r="CL420" s="5"/>
      <c r="CN420" s="40"/>
      <c r="CO420" s="5"/>
      <c r="CQ420" s="40"/>
      <c r="CR420" s="5"/>
    </row>
    <row r="421">
      <c r="AO421" s="40"/>
      <c r="AP421" s="5"/>
      <c r="AR421" s="40"/>
      <c r="AS421" s="5"/>
      <c r="AU421" s="40"/>
      <c r="AV421" s="5"/>
      <c r="AX421" s="40"/>
      <c r="AY421" s="5"/>
      <c r="BA421" s="40"/>
      <c r="BB421" s="5"/>
      <c r="BD421" s="40"/>
      <c r="BE421" s="5"/>
      <c r="BG421" s="40"/>
      <c r="BH421" s="5"/>
      <c r="BJ421" s="40"/>
      <c r="BK421" s="5"/>
      <c r="BM421" s="40"/>
      <c r="BN421" s="5"/>
      <c r="BP421" s="40"/>
      <c r="BQ421" s="5"/>
      <c r="BS421" s="40"/>
      <c r="BT421" s="5"/>
      <c r="BV421" s="40"/>
      <c r="BW421" s="5"/>
      <c r="BY421" s="40"/>
      <c r="BZ421" s="5"/>
      <c r="CB421" s="40"/>
      <c r="CC421" s="5"/>
      <c r="CE421" s="40"/>
      <c r="CF421" s="5"/>
      <c r="CH421" s="40"/>
      <c r="CI421" s="5"/>
      <c r="CK421" s="40"/>
      <c r="CL421" s="5"/>
      <c r="CN421" s="40"/>
      <c r="CO421" s="5"/>
      <c r="CQ421" s="40"/>
      <c r="CR421" s="5"/>
    </row>
    <row r="422">
      <c r="AO422" s="40"/>
      <c r="AP422" s="5"/>
      <c r="AR422" s="40"/>
      <c r="AS422" s="5"/>
      <c r="AU422" s="40"/>
      <c r="AV422" s="5"/>
      <c r="AX422" s="40"/>
      <c r="AY422" s="5"/>
      <c r="BA422" s="40"/>
      <c r="BB422" s="5"/>
      <c r="BD422" s="40"/>
      <c r="BE422" s="5"/>
      <c r="BG422" s="40"/>
      <c r="BH422" s="5"/>
      <c r="BJ422" s="40"/>
      <c r="BK422" s="5"/>
      <c r="BM422" s="40"/>
      <c r="BN422" s="5"/>
      <c r="BP422" s="40"/>
      <c r="BQ422" s="5"/>
      <c r="BS422" s="40"/>
      <c r="BT422" s="5"/>
      <c r="BV422" s="40"/>
      <c r="BW422" s="5"/>
      <c r="BY422" s="40"/>
      <c r="BZ422" s="5"/>
      <c r="CB422" s="40"/>
      <c r="CC422" s="5"/>
      <c r="CE422" s="40"/>
      <c r="CF422" s="5"/>
      <c r="CH422" s="40"/>
      <c r="CI422" s="5"/>
      <c r="CK422" s="40"/>
      <c r="CL422" s="5"/>
      <c r="CN422" s="40"/>
      <c r="CO422" s="5"/>
      <c r="CQ422" s="40"/>
      <c r="CR422" s="5"/>
    </row>
    <row r="423">
      <c r="AO423" s="40"/>
      <c r="AP423" s="5"/>
      <c r="AR423" s="40"/>
      <c r="AS423" s="5"/>
      <c r="AU423" s="40"/>
      <c r="AV423" s="5"/>
      <c r="AX423" s="40"/>
      <c r="AY423" s="5"/>
      <c r="BA423" s="40"/>
      <c r="BB423" s="5"/>
      <c r="BD423" s="40"/>
      <c r="BE423" s="5"/>
      <c r="BG423" s="40"/>
      <c r="BH423" s="5"/>
      <c r="BJ423" s="40"/>
      <c r="BK423" s="5"/>
      <c r="BM423" s="40"/>
      <c r="BN423" s="5"/>
      <c r="BP423" s="40"/>
      <c r="BQ423" s="5"/>
      <c r="BS423" s="40"/>
      <c r="BT423" s="5"/>
      <c r="BV423" s="40"/>
      <c r="BW423" s="5"/>
      <c r="BY423" s="40"/>
      <c r="BZ423" s="5"/>
      <c r="CB423" s="40"/>
      <c r="CC423" s="5"/>
      <c r="CE423" s="40"/>
      <c r="CF423" s="5"/>
      <c r="CH423" s="40"/>
      <c r="CI423" s="5"/>
      <c r="CK423" s="40"/>
      <c r="CL423" s="5"/>
      <c r="CN423" s="40"/>
      <c r="CO423" s="5"/>
      <c r="CQ423" s="40"/>
      <c r="CR423" s="5"/>
    </row>
    <row r="424">
      <c r="AO424" s="40"/>
      <c r="AP424" s="5"/>
      <c r="AR424" s="40"/>
      <c r="AS424" s="5"/>
      <c r="AU424" s="40"/>
      <c r="AV424" s="5"/>
      <c r="AX424" s="40"/>
      <c r="AY424" s="5"/>
      <c r="BA424" s="40"/>
      <c r="BB424" s="5"/>
      <c r="BD424" s="40"/>
      <c r="BE424" s="5"/>
      <c r="BG424" s="40"/>
      <c r="BH424" s="5"/>
      <c r="BJ424" s="40"/>
      <c r="BK424" s="5"/>
      <c r="BM424" s="40"/>
      <c r="BN424" s="5"/>
      <c r="BP424" s="40"/>
      <c r="BQ424" s="5"/>
      <c r="BS424" s="40"/>
      <c r="BT424" s="5"/>
      <c r="BV424" s="40"/>
      <c r="BW424" s="5"/>
      <c r="BY424" s="40"/>
      <c r="BZ424" s="5"/>
      <c r="CB424" s="40"/>
      <c r="CC424" s="5"/>
      <c r="CE424" s="40"/>
      <c r="CF424" s="5"/>
      <c r="CH424" s="40"/>
      <c r="CI424" s="5"/>
      <c r="CK424" s="40"/>
      <c r="CL424" s="5"/>
      <c r="CN424" s="40"/>
      <c r="CO424" s="5"/>
      <c r="CQ424" s="40"/>
      <c r="CR424" s="5"/>
    </row>
    <row r="425">
      <c r="AO425" s="40"/>
      <c r="AP425" s="5"/>
      <c r="AR425" s="40"/>
      <c r="AS425" s="5"/>
      <c r="AU425" s="40"/>
      <c r="AV425" s="5"/>
      <c r="AX425" s="40"/>
      <c r="AY425" s="5"/>
      <c r="BA425" s="40"/>
      <c r="BB425" s="5"/>
      <c r="BD425" s="40"/>
      <c r="BE425" s="5"/>
      <c r="BG425" s="40"/>
      <c r="BH425" s="5"/>
      <c r="BJ425" s="40"/>
      <c r="BK425" s="5"/>
      <c r="BM425" s="40"/>
      <c r="BN425" s="5"/>
      <c r="BP425" s="40"/>
      <c r="BQ425" s="5"/>
      <c r="BS425" s="40"/>
      <c r="BT425" s="5"/>
      <c r="BV425" s="40"/>
      <c r="BW425" s="5"/>
      <c r="BY425" s="40"/>
      <c r="BZ425" s="5"/>
      <c r="CB425" s="40"/>
      <c r="CC425" s="5"/>
      <c r="CE425" s="40"/>
      <c r="CF425" s="5"/>
      <c r="CH425" s="40"/>
      <c r="CI425" s="5"/>
      <c r="CK425" s="40"/>
      <c r="CL425" s="5"/>
      <c r="CN425" s="40"/>
      <c r="CO425" s="5"/>
      <c r="CQ425" s="40"/>
      <c r="CR425" s="5"/>
    </row>
    <row r="426">
      <c r="AO426" s="40"/>
      <c r="AP426" s="5"/>
      <c r="AR426" s="40"/>
      <c r="AS426" s="5"/>
      <c r="AU426" s="40"/>
      <c r="AV426" s="5"/>
      <c r="AX426" s="40"/>
      <c r="AY426" s="5"/>
      <c r="BA426" s="40"/>
      <c r="BB426" s="5"/>
      <c r="BD426" s="40"/>
      <c r="BE426" s="5"/>
      <c r="BG426" s="40"/>
      <c r="BH426" s="5"/>
      <c r="BJ426" s="40"/>
      <c r="BK426" s="5"/>
      <c r="BM426" s="40"/>
      <c r="BN426" s="5"/>
      <c r="BP426" s="40"/>
      <c r="BQ426" s="5"/>
      <c r="BS426" s="40"/>
      <c r="BT426" s="5"/>
      <c r="BV426" s="40"/>
      <c r="BW426" s="5"/>
      <c r="BY426" s="40"/>
      <c r="BZ426" s="5"/>
      <c r="CB426" s="40"/>
      <c r="CC426" s="5"/>
      <c r="CE426" s="40"/>
      <c r="CF426" s="5"/>
      <c r="CH426" s="40"/>
      <c r="CI426" s="5"/>
      <c r="CK426" s="40"/>
      <c r="CL426" s="5"/>
      <c r="CN426" s="40"/>
      <c r="CO426" s="5"/>
      <c r="CQ426" s="40"/>
      <c r="CR426" s="5"/>
    </row>
    <row r="427">
      <c r="AO427" s="40"/>
      <c r="AP427" s="5"/>
      <c r="AR427" s="40"/>
      <c r="AS427" s="5"/>
      <c r="AU427" s="40"/>
      <c r="AV427" s="5"/>
      <c r="AX427" s="40"/>
      <c r="AY427" s="5"/>
      <c r="BA427" s="40"/>
      <c r="BB427" s="5"/>
      <c r="BD427" s="40"/>
      <c r="BE427" s="5"/>
      <c r="BG427" s="40"/>
      <c r="BH427" s="5"/>
      <c r="BJ427" s="40"/>
      <c r="BK427" s="5"/>
      <c r="BM427" s="40"/>
      <c r="BN427" s="5"/>
      <c r="BP427" s="40"/>
      <c r="BQ427" s="5"/>
      <c r="BS427" s="40"/>
      <c r="BT427" s="5"/>
      <c r="BV427" s="40"/>
      <c r="BW427" s="5"/>
      <c r="BY427" s="40"/>
      <c r="BZ427" s="5"/>
      <c r="CB427" s="40"/>
      <c r="CC427" s="5"/>
      <c r="CE427" s="40"/>
      <c r="CF427" s="5"/>
      <c r="CH427" s="40"/>
      <c r="CI427" s="5"/>
      <c r="CK427" s="40"/>
      <c r="CL427" s="5"/>
      <c r="CN427" s="40"/>
      <c r="CO427" s="5"/>
      <c r="CQ427" s="40"/>
      <c r="CR427" s="5"/>
    </row>
    <row r="428">
      <c r="AO428" s="40"/>
      <c r="AP428" s="5"/>
      <c r="AR428" s="40"/>
      <c r="AS428" s="5"/>
      <c r="AU428" s="40"/>
      <c r="AV428" s="5"/>
      <c r="AX428" s="40"/>
      <c r="AY428" s="5"/>
      <c r="BA428" s="40"/>
      <c r="BB428" s="5"/>
      <c r="BD428" s="40"/>
      <c r="BE428" s="5"/>
      <c r="BG428" s="40"/>
      <c r="BH428" s="5"/>
      <c r="BJ428" s="40"/>
      <c r="BK428" s="5"/>
      <c r="BM428" s="40"/>
      <c r="BN428" s="5"/>
      <c r="BP428" s="40"/>
      <c r="BQ428" s="5"/>
      <c r="BS428" s="40"/>
      <c r="BT428" s="5"/>
      <c r="BV428" s="40"/>
      <c r="BW428" s="5"/>
      <c r="BY428" s="40"/>
      <c r="BZ428" s="5"/>
      <c r="CB428" s="40"/>
      <c r="CC428" s="5"/>
      <c r="CE428" s="40"/>
      <c r="CF428" s="5"/>
      <c r="CH428" s="40"/>
      <c r="CI428" s="5"/>
      <c r="CK428" s="40"/>
      <c r="CL428" s="5"/>
      <c r="CN428" s="40"/>
      <c r="CO428" s="5"/>
      <c r="CQ428" s="40"/>
      <c r="CR428" s="5"/>
    </row>
    <row r="429">
      <c r="AO429" s="40"/>
      <c r="AP429" s="5"/>
      <c r="AR429" s="40"/>
      <c r="AS429" s="5"/>
      <c r="AU429" s="40"/>
      <c r="AV429" s="5"/>
      <c r="AX429" s="40"/>
      <c r="AY429" s="5"/>
      <c r="BA429" s="40"/>
      <c r="BB429" s="5"/>
      <c r="BD429" s="40"/>
      <c r="BE429" s="5"/>
      <c r="BG429" s="40"/>
      <c r="BH429" s="5"/>
      <c r="BJ429" s="40"/>
      <c r="BK429" s="5"/>
      <c r="BM429" s="40"/>
      <c r="BN429" s="5"/>
      <c r="BP429" s="40"/>
      <c r="BQ429" s="5"/>
      <c r="BS429" s="40"/>
      <c r="BT429" s="5"/>
      <c r="BV429" s="40"/>
      <c r="BW429" s="5"/>
      <c r="BY429" s="40"/>
      <c r="BZ429" s="5"/>
      <c r="CB429" s="40"/>
      <c r="CC429" s="5"/>
      <c r="CE429" s="40"/>
      <c r="CF429" s="5"/>
      <c r="CH429" s="40"/>
      <c r="CI429" s="5"/>
      <c r="CK429" s="40"/>
      <c r="CL429" s="5"/>
      <c r="CN429" s="40"/>
      <c r="CO429" s="5"/>
      <c r="CQ429" s="40"/>
      <c r="CR429" s="5"/>
    </row>
    <row r="430">
      <c r="AO430" s="40"/>
      <c r="AP430" s="5"/>
      <c r="AR430" s="40"/>
      <c r="AS430" s="5"/>
      <c r="AU430" s="40"/>
      <c r="AV430" s="5"/>
      <c r="AX430" s="40"/>
      <c r="AY430" s="5"/>
      <c r="BA430" s="40"/>
      <c r="BB430" s="5"/>
      <c r="BD430" s="40"/>
      <c r="BE430" s="5"/>
      <c r="BG430" s="40"/>
      <c r="BH430" s="5"/>
      <c r="BJ430" s="40"/>
      <c r="BK430" s="5"/>
      <c r="BM430" s="40"/>
      <c r="BN430" s="5"/>
      <c r="BP430" s="40"/>
      <c r="BQ430" s="5"/>
      <c r="BS430" s="40"/>
      <c r="BT430" s="5"/>
      <c r="BV430" s="40"/>
      <c r="BW430" s="5"/>
      <c r="BY430" s="40"/>
      <c r="BZ430" s="5"/>
      <c r="CB430" s="40"/>
      <c r="CC430" s="5"/>
      <c r="CE430" s="40"/>
      <c r="CF430" s="5"/>
      <c r="CH430" s="40"/>
      <c r="CI430" s="5"/>
      <c r="CK430" s="40"/>
      <c r="CL430" s="5"/>
      <c r="CN430" s="40"/>
      <c r="CO430" s="5"/>
      <c r="CQ430" s="40"/>
      <c r="CR430" s="5"/>
    </row>
    <row r="431">
      <c r="AO431" s="40"/>
      <c r="AP431" s="5"/>
      <c r="AR431" s="40"/>
      <c r="AS431" s="5"/>
      <c r="AU431" s="40"/>
      <c r="AV431" s="5"/>
      <c r="AX431" s="40"/>
      <c r="AY431" s="5"/>
      <c r="BA431" s="40"/>
      <c r="BB431" s="5"/>
      <c r="BD431" s="40"/>
      <c r="BE431" s="5"/>
      <c r="BG431" s="40"/>
      <c r="BH431" s="5"/>
      <c r="BJ431" s="40"/>
      <c r="BK431" s="5"/>
      <c r="BM431" s="40"/>
      <c r="BN431" s="5"/>
      <c r="BP431" s="40"/>
      <c r="BQ431" s="5"/>
      <c r="BS431" s="40"/>
      <c r="BT431" s="5"/>
      <c r="BV431" s="40"/>
      <c r="BW431" s="5"/>
      <c r="BY431" s="40"/>
      <c r="BZ431" s="5"/>
      <c r="CB431" s="40"/>
      <c r="CC431" s="5"/>
      <c r="CE431" s="40"/>
      <c r="CF431" s="5"/>
      <c r="CH431" s="40"/>
      <c r="CI431" s="5"/>
      <c r="CK431" s="40"/>
      <c r="CL431" s="5"/>
      <c r="CN431" s="40"/>
      <c r="CO431" s="5"/>
      <c r="CQ431" s="40"/>
      <c r="CR431" s="5"/>
    </row>
    <row r="432">
      <c r="AO432" s="40"/>
      <c r="AP432" s="5"/>
      <c r="AR432" s="40"/>
      <c r="AS432" s="5"/>
      <c r="AU432" s="40"/>
      <c r="AV432" s="5"/>
      <c r="AX432" s="40"/>
      <c r="AY432" s="5"/>
      <c r="BA432" s="40"/>
      <c r="BB432" s="5"/>
      <c r="BD432" s="40"/>
      <c r="BE432" s="5"/>
      <c r="BG432" s="40"/>
      <c r="BH432" s="5"/>
      <c r="BJ432" s="40"/>
      <c r="BK432" s="5"/>
      <c r="BM432" s="40"/>
      <c r="BN432" s="5"/>
      <c r="BP432" s="40"/>
      <c r="BQ432" s="5"/>
      <c r="BS432" s="40"/>
      <c r="BT432" s="5"/>
      <c r="BV432" s="40"/>
      <c r="BW432" s="5"/>
      <c r="BY432" s="40"/>
      <c r="BZ432" s="5"/>
      <c r="CB432" s="40"/>
      <c r="CC432" s="5"/>
      <c r="CE432" s="40"/>
      <c r="CF432" s="5"/>
      <c r="CH432" s="40"/>
      <c r="CI432" s="5"/>
      <c r="CK432" s="40"/>
      <c r="CL432" s="5"/>
      <c r="CN432" s="40"/>
      <c r="CO432" s="5"/>
      <c r="CQ432" s="40"/>
      <c r="CR432" s="5"/>
    </row>
    <row r="433">
      <c r="AO433" s="40"/>
      <c r="AP433" s="5"/>
      <c r="AR433" s="40"/>
      <c r="AS433" s="5"/>
      <c r="AU433" s="40"/>
      <c r="AV433" s="5"/>
      <c r="AX433" s="40"/>
      <c r="AY433" s="5"/>
      <c r="BA433" s="40"/>
      <c r="BB433" s="5"/>
      <c r="BD433" s="40"/>
      <c r="BE433" s="5"/>
      <c r="BG433" s="40"/>
      <c r="BH433" s="5"/>
      <c r="BJ433" s="40"/>
      <c r="BK433" s="5"/>
      <c r="BM433" s="40"/>
      <c r="BN433" s="5"/>
      <c r="BP433" s="40"/>
      <c r="BQ433" s="5"/>
      <c r="BS433" s="40"/>
      <c r="BT433" s="5"/>
      <c r="BV433" s="40"/>
      <c r="BW433" s="5"/>
      <c r="BY433" s="40"/>
      <c r="BZ433" s="5"/>
      <c r="CB433" s="40"/>
      <c r="CC433" s="5"/>
      <c r="CE433" s="40"/>
      <c r="CF433" s="5"/>
      <c r="CH433" s="40"/>
      <c r="CI433" s="5"/>
      <c r="CK433" s="40"/>
      <c r="CL433" s="5"/>
      <c r="CN433" s="40"/>
      <c r="CO433" s="5"/>
      <c r="CQ433" s="40"/>
      <c r="CR433" s="5"/>
    </row>
    <row r="434">
      <c r="AO434" s="40"/>
      <c r="AP434" s="5"/>
      <c r="AR434" s="40"/>
      <c r="AS434" s="5"/>
      <c r="AU434" s="40"/>
      <c r="AV434" s="5"/>
      <c r="AX434" s="40"/>
      <c r="AY434" s="5"/>
      <c r="BA434" s="40"/>
      <c r="BB434" s="5"/>
      <c r="BD434" s="40"/>
      <c r="BE434" s="5"/>
      <c r="BG434" s="40"/>
      <c r="BH434" s="5"/>
      <c r="BJ434" s="40"/>
      <c r="BK434" s="5"/>
      <c r="BM434" s="40"/>
      <c r="BN434" s="5"/>
      <c r="BP434" s="40"/>
      <c r="BQ434" s="5"/>
      <c r="BS434" s="40"/>
      <c r="BT434" s="5"/>
      <c r="BV434" s="40"/>
      <c r="BW434" s="5"/>
      <c r="BY434" s="40"/>
      <c r="BZ434" s="5"/>
      <c r="CB434" s="40"/>
      <c r="CC434" s="5"/>
      <c r="CE434" s="40"/>
      <c r="CF434" s="5"/>
      <c r="CH434" s="40"/>
      <c r="CI434" s="5"/>
      <c r="CK434" s="40"/>
      <c r="CL434" s="5"/>
      <c r="CN434" s="40"/>
      <c r="CO434" s="5"/>
      <c r="CQ434" s="40"/>
      <c r="CR434" s="5"/>
    </row>
    <row r="435">
      <c r="AO435" s="40"/>
      <c r="AP435" s="5"/>
      <c r="AR435" s="40"/>
      <c r="AS435" s="5"/>
      <c r="AU435" s="40"/>
      <c r="AV435" s="5"/>
      <c r="AX435" s="40"/>
      <c r="AY435" s="5"/>
      <c r="BA435" s="40"/>
      <c r="BB435" s="5"/>
      <c r="BD435" s="40"/>
      <c r="BE435" s="5"/>
      <c r="BG435" s="40"/>
      <c r="BH435" s="5"/>
      <c r="BJ435" s="40"/>
      <c r="BK435" s="5"/>
      <c r="BM435" s="40"/>
      <c r="BN435" s="5"/>
      <c r="BP435" s="40"/>
      <c r="BQ435" s="5"/>
      <c r="BS435" s="40"/>
      <c r="BT435" s="5"/>
      <c r="BV435" s="40"/>
      <c r="BW435" s="5"/>
      <c r="BY435" s="40"/>
      <c r="BZ435" s="5"/>
      <c r="CB435" s="40"/>
      <c r="CC435" s="5"/>
      <c r="CE435" s="40"/>
      <c r="CF435" s="5"/>
      <c r="CH435" s="40"/>
      <c r="CI435" s="5"/>
      <c r="CK435" s="40"/>
      <c r="CL435" s="5"/>
      <c r="CN435" s="40"/>
      <c r="CO435" s="5"/>
      <c r="CQ435" s="40"/>
      <c r="CR435" s="5"/>
    </row>
    <row r="436">
      <c r="AO436" s="40"/>
      <c r="AP436" s="5"/>
      <c r="AR436" s="40"/>
      <c r="AS436" s="5"/>
      <c r="AU436" s="40"/>
      <c r="AV436" s="5"/>
      <c r="AX436" s="40"/>
      <c r="AY436" s="5"/>
      <c r="BA436" s="40"/>
      <c r="BB436" s="5"/>
      <c r="BD436" s="40"/>
      <c r="BE436" s="5"/>
      <c r="BG436" s="40"/>
      <c r="BH436" s="5"/>
      <c r="BJ436" s="40"/>
      <c r="BK436" s="5"/>
      <c r="BM436" s="40"/>
      <c r="BN436" s="5"/>
      <c r="BP436" s="40"/>
      <c r="BQ436" s="5"/>
      <c r="BS436" s="40"/>
      <c r="BT436" s="5"/>
      <c r="BV436" s="40"/>
      <c r="BW436" s="5"/>
      <c r="BY436" s="40"/>
      <c r="BZ436" s="5"/>
      <c r="CB436" s="40"/>
      <c r="CC436" s="5"/>
      <c r="CE436" s="40"/>
      <c r="CF436" s="5"/>
      <c r="CH436" s="40"/>
      <c r="CI436" s="5"/>
      <c r="CK436" s="40"/>
      <c r="CL436" s="5"/>
      <c r="CN436" s="40"/>
      <c r="CO436" s="5"/>
      <c r="CQ436" s="40"/>
      <c r="CR436" s="5"/>
    </row>
    <row r="437">
      <c r="AO437" s="40"/>
      <c r="AP437" s="5"/>
      <c r="AR437" s="40"/>
      <c r="AS437" s="5"/>
      <c r="AU437" s="40"/>
      <c r="AV437" s="5"/>
      <c r="AX437" s="40"/>
      <c r="AY437" s="5"/>
      <c r="BA437" s="40"/>
      <c r="BB437" s="5"/>
      <c r="BD437" s="40"/>
      <c r="BE437" s="5"/>
      <c r="BG437" s="40"/>
      <c r="BH437" s="5"/>
      <c r="BJ437" s="40"/>
      <c r="BK437" s="5"/>
      <c r="BM437" s="40"/>
      <c r="BN437" s="5"/>
      <c r="BP437" s="40"/>
      <c r="BQ437" s="5"/>
      <c r="BS437" s="40"/>
      <c r="BT437" s="5"/>
      <c r="BV437" s="40"/>
      <c r="BW437" s="5"/>
      <c r="BY437" s="40"/>
      <c r="BZ437" s="5"/>
      <c r="CB437" s="40"/>
      <c r="CC437" s="5"/>
      <c r="CE437" s="40"/>
      <c r="CF437" s="5"/>
      <c r="CH437" s="40"/>
      <c r="CI437" s="5"/>
      <c r="CK437" s="40"/>
      <c r="CL437" s="5"/>
      <c r="CN437" s="40"/>
      <c r="CO437" s="5"/>
      <c r="CQ437" s="40"/>
      <c r="CR437" s="5"/>
    </row>
    <row r="438">
      <c r="AO438" s="40"/>
      <c r="AP438" s="5"/>
      <c r="AR438" s="40"/>
      <c r="AS438" s="5"/>
      <c r="AU438" s="40"/>
      <c r="AV438" s="5"/>
      <c r="AX438" s="40"/>
      <c r="AY438" s="5"/>
      <c r="BA438" s="40"/>
      <c r="BB438" s="5"/>
      <c r="BD438" s="40"/>
      <c r="BE438" s="5"/>
      <c r="BG438" s="40"/>
      <c r="BH438" s="5"/>
      <c r="BJ438" s="40"/>
      <c r="BK438" s="5"/>
      <c r="BM438" s="40"/>
      <c r="BN438" s="5"/>
      <c r="BP438" s="40"/>
      <c r="BQ438" s="5"/>
      <c r="BS438" s="40"/>
      <c r="BT438" s="5"/>
      <c r="BV438" s="40"/>
      <c r="BW438" s="5"/>
      <c r="BY438" s="40"/>
      <c r="BZ438" s="5"/>
      <c r="CB438" s="40"/>
      <c r="CC438" s="5"/>
      <c r="CE438" s="40"/>
      <c r="CF438" s="5"/>
      <c r="CH438" s="40"/>
      <c r="CI438" s="5"/>
      <c r="CK438" s="40"/>
      <c r="CL438" s="5"/>
      <c r="CN438" s="40"/>
      <c r="CO438" s="5"/>
      <c r="CQ438" s="40"/>
      <c r="CR438" s="5"/>
    </row>
    <row r="439">
      <c r="AO439" s="40"/>
      <c r="AP439" s="5"/>
      <c r="AR439" s="40"/>
      <c r="AS439" s="5"/>
      <c r="AU439" s="40"/>
      <c r="AV439" s="5"/>
      <c r="AX439" s="40"/>
      <c r="AY439" s="5"/>
      <c r="BA439" s="40"/>
      <c r="BB439" s="5"/>
      <c r="BD439" s="40"/>
      <c r="BE439" s="5"/>
      <c r="BG439" s="40"/>
      <c r="BH439" s="5"/>
      <c r="BJ439" s="40"/>
      <c r="BK439" s="5"/>
      <c r="BM439" s="40"/>
      <c r="BN439" s="5"/>
      <c r="BP439" s="40"/>
      <c r="BQ439" s="5"/>
      <c r="BS439" s="40"/>
      <c r="BT439" s="5"/>
      <c r="BV439" s="40"/>
      <c r="BW439" s="5"/>
      <c r="BY439" s="40"/>
      <c r="BZ439" s="5"/>
      <c r="CB439" s="40"/>
      <c r="CC439" s="5"/>
      <c r="CE439" s="40"/>
      <c r="CF439" s="5"/>
      <c r="CH439" s="40"/>
      <c r="CI439" s="5"/>
      <c r="CK439" s="40"/>
      <c r="CL439" s="5"/>
      <c r="CN439" s="40"/>
      <c r="CO439" s="5"/>
      <c r="CQ439" s="40"/>
      <c r="CR439" s="5"/>
    </row>
    <row r="440">
      <c r="AO440" s="40"/>
      <c r="AP440" s="5"/>
      <c r="AR440" s="40"/>
      <c r="AS440" s="5"/>
      <c r="AU440" s="40"/>
      <c r="AV440" s="5"/>
      <c r="AX440" s="40"/>
      <c r="AY440" s="5"/>
      <c r="BA440" s="40"/>
      <c r="BB440" s="5"/>
      <c r="BD440" s="40"/>
      <c r="BE440" s="5"/>
      <c r="BG440" s="40"/>
      <c r="BH440" s="5"/>
      <c r="BJ440" s="40"/>
      <c r="BK440" s="5"/>
      <c r="BM440" s="40"/>
      <c r="BN440" s="5"/>
      <c r="BP440" s="40"/>
      <c r="BQ440" s="5"/>
      <c r="BS440" s="40"/>
      <c r="BT440" s="5"/>
      <c r="BV440" s="40"/>
      <c r="BW440" s="5"/>
      <c r="BY440" s="40"/>
      <c r="BZ440" s="5"/>
      <c r="CB440" s="40"/>
      <c r="CC440" s="5"/>
      <c r="CE440" s="40"/>
      <c r="CF440" s="5"/>
      <c r="CH440" s="40"/>
      <c r="CI440" s="5"/>
      <c r="CK440" s="40"/>
      <c r="CL440" s="5"/>
      <c r="CN440" s="40"/>
      <c r="CO440" s="5"/>
      <c r="CQ440" s="40"/>
      <c r="CR440" s="5"/>
    </row>
    <row r="441">
      <c r="AO441" s="40"/>
      <c r="AP441" s="5"/>
      <c r="AR441" s="40"/>
      <c r="AS441" s="5"/>
      <c r="AU441" s="40"/>
      <c r="AV441" s="5"/>
      <c r="AX441" s="40"/>
      <c r="AY441" s="5"/>
      <c r="BA441" s="40"/>
      <c r="BB441" s="5"/>
      <c r="BD441" s="40"/>
      <c r="BE441" s="5"/>
      <c r="BG441" s="40"/>
      <c r="BH441" s="5"/>
      <c r="BJ441" s="40"/>
      <c r="BK441" s="5"/>
      <c r="BM441" s="40"/>
      <c r="BN441" s="5"/>
      <c r="BP441" s="40"/>
      <c r="BQ441" s="5"/>
      <c r="BS441" s="40"/>
      <c r="BT441" s="5"/>
      <c r="BV441" s="40"/>
      <c r="BW441" s="5"/>
      <c r="BY441" s="40"/>
      <c r="BZ441" s="5"/>
      <c r="CB441" s="40"/>
      <c r="CC441" s="5"/>
      <c r="CE441" s="40"/>
      <c r="CF441" s="5"/>
      <c r="CH441" s="40"/>
      <c r="CI441" s="5"/>
      <c r="CK441" s="40"/>
      <c r="CL441" s="5"/>
      <c r="CN441" s="40"/>
      <c r="CO441" s="5"/>
      <c r="CQ441" s="40"/>
      <c r="CR441" s="5"/>
    </row>
    <row r="442">
      <c r="AO442" s="40"/>
      <c r="AP442" s="5"/>
      <c r="AR442" s="40"/>
      <c r="AS442" s="5"/>
      <c r="AU442" s="40"/>
      <c r="AV442" s="5"/>
      <c r="AX442" s="40"/>
      <c r="AY442" s="5"/>
      <c r="BA442" s="40"/>
      <c r="BB442" s="5"/>
      <c r="BD442" s="40"/>
      <c r="BE442" s="5"/>
      <c r="BG442" s="40"/>
      <c r="BH442" s="5"/>
      <c r="BJ442" s="40"/>
      <c r="BK442" s="5"/>
      <c r="BM442" s="40"/>
      <c r="BN442" s="5"/>
      <c r="BP442" s="40"/>
      <c r="BQ442" s="5"/>
      <c r="BS442" s="40"/>
      <c r="BT442" s="5"/>
      <c r="BV442" s="40"/>
      <c r="BW442" s="5"/>
      <c r="BY442" s="40"/>
      <c r="BZ442" s="5"/>
      <c r="CB442" s="40"/>
      <c r="CC442" s="5"/>
      <c r="CE442" s="40"/>
      <c r="CF442" s="5"/>
      <c r="CH442" s="40"/>
      <c r="CI442" s="5"/>
      <c r="CK442" s="40"/>
      <c r="CL442" s="5"/>
      <c r="CN442" s="40"/>
      <c r="CO442" s="5"/>
      <c r="CQ442" s="40"/>
      <c r="CR442" s="5"/>
    </row>
    <row r="443">
      <c r="AO443" s="40"/>
      <c r="AP443" s="5"/>
      <c r="AR443" s="40"/>
      <c r="AS443" s="5"/>
      <c r="AU443" s="40"/>
      <c r="AV443" s="5"/>
      <c r="AX443" s="40"/>
      <c r="AY443" s="5"/>
      <c r="BA443" s="40"/>
      <c r="BB443" s="5"/>
      <c r="BD443" s="40"/>
      <c r="BE443" s="5"/>
      <c r="BG443" s="40"/>
      <c r="BH443" s="5"/>
      <c r="BJ443" s="40"/>
      <c r="BK443" s="5"/>
      <c r="BM443" s="40"/>
      <c r="BN443" s="5"/>
      <c r="BP443" s="40"/>
      <c r="BQ443" s="5"/>
      <c r="BS443" s="40"/>
      <c r="BT443" s="5"/>
      <c r="BV443" s="40"/>
      <c r="BW443" s="5"/>
      <c r="BY443" s="40"/>
      <c r="BZ443" s="5"/>
      <c r="CB443" s="40"/>
      <c r="CC443" s="5"/>
      <c r="CE443" s="40"/>
      <c r="CF443" s="5"/>
      <c r="CH443" s="40"/>
      <c r="CI443" s="5"/>
      <c r="CK443" s="40"/>
      <c r="CL443" s="5"/>
      <c r="CN443" s="40"/>
      <c r="CO443" s="5"/>
      <c r="CQ443" s="40"/>
      <c r="CR443" s="5"/>
    </row>
    <row r="444">
      <c r="AO444" s="40"/>
      <c r="AP444" s="5"/>
      <c r="AR444" s="40"/>
      <c r="AS444" s="5"/>
      <c r="AU444" s="40"/>
      <c r="AV444" s="5"/>
      <c r="AX444" s="40"/>
      <c r="AY444" s="5"/>
      <c r="BA444" s="40"/>
      <c r="BB444" s="5"/>
      <c r="BD444" s="40"/>
      <c r="BE444" s="5"/>
      <c r="BG444" s="40"/>
      <c r="BH444" s="5"/>
      <c r="BJ444" s="40"/>
      <c r="BK444" s="5"/>
      <c r="BM444" s="40"/>
      <c r="BN444" s="5"/>
      <c r="BP444" s="40"/>
      <c r="BQ444" s="5"/>
      <c r="BS444" s="40"/>
      <c r="BT444" s="5"/>
      <c r="BV444" s="40"/>
      <c r="BW444" s="5"/>
      <c r="BY444" s="40"/>
      <c r="BZ444" s="5"/>
      <c r="CB444" s="40"/>
      <c r="CC444" s="5"/>
      <c r="CE444" s="40"/>
      <c r="CF444" s="5"/>
      <c r="CH444" s="40"/>
      <c r="CI444" s="5"/>
      <c r="CK444" s="40"/>
      <c r="CL444" s="5"/>
      <c r="CN444" s="40"/>
      <c r="CO444" s="5"/>
      <c r="CQ444" s="40"/>
      <c r="CR444" s="5"/>
    </row>
    <row r="445">
      <c r="AO445" s="40"/>
      <c r="AP445" s="5"/>
      <c r="AR445" s="40"/>
      <c r="AS445" s="5"/>
      <c r="AU445" s="40"/>
      <c r="AV445" s="5"/>
      <c r="AX445" s="40"/>
      <c r="AY445" s="5"/>
      <c r="BA445" s="40"/>
      <c r="BB445" s="5"/>
      <c r="BD445" s="40"/>
      <c r="BE445" s="5"/>
      <c r="BG445" s="40"/>
      <c r="BH445" s="5"/>
      <c r="BJ445" s="40"/>
      <c r="BK445" s="5"/>
      <c r="BM445" s="40"/>
      <c r="BN445" s="5"/>
      <c r="BP445" s="40"/>
      <c r="BQ445" s="5"/>
      <c r="BS445" s="40"/>
      <c r="BT445" s="5"/>
      <c r="BV445" s="40"/>
      <c r="BW445" s="5"/>
      <c r="BY445" s="40"/>
      <c r="BZ445" s="5"/>
      <c r="CB445" s="40"/>
      <c r="CC445" s="5"/>
      <c r="CE445" s="40"/>
      <c r="CF445" s="5"/>
      <c r="CH445" s="40"/>
      <c r="CI445" s="5"/>
      <c r="CK445" s="40"/>
      <c r="CL445" s="5"/>
      <c r="CN445" s="40"/>
      <c r="CO445" s="5"/>
      <c r="CQ445" s="40"/>
      <c r="CR445" s="5"/>
    </row>
    <row r="446">
      <c r="AO446" s="40"/>
      <c r="AP446" s="5"/>
      <c r="AR446" s="40"/>
      <c r="AS446" s="5"/>
      <c r="AU446" s="40"/>
      <c r="AV446" s="5"/>
      <c r="AX446" s="40"/>
      <c r="AY446" s="5"/>
      <c r="BA446" s="40"/>
      <c r="BB446" s="5"/>
      <c r="BD446" s="40"/>
      <c r="BE446" s="5"/>
      <c r="BG446" s="40"/>
      <c r="BH446" s="5"/>
      <c r="BJ446" s="40"/>
      <c r="BK446" s="5"/>
      <c r="BM446" s="40"/>
      <c r="BN446" s="5"/>
      <c r="BP446" s="40"/>
      <c r="BQ446" s="5"/>
      <c r="BS446" s="40"/>
      <c r="BT446" s="5"/>
      <c r="BV446" s="40"/>
      <c r="BW446" s="5"/>
      <c r="BY446" s="40"/>
      <c r="BZ446" s="5"/>
      <c r="CB446" s="40"/>
      <c r="CC446" s="5"/>
      <c r="CE446" s="40"/>
      <c r="CF446" s="5"/>
      <c r="CH446" s="40"/>
      <c r="CI446" s="5"/>
      <c r="CK446" s="40"/>
      <c r="CL446" s="5"/>
      <c r="CN446" s="40"/>
      <c r="CO446" s="5"/>
      <c r="CQ446" s="40"/>
      <c r="CR446" s="5"/>
    </row>
    <row r="447">
      <c r="AO447" s="40"/>
      <c r="AP447" s="5"/>
      <c r="AR447" s="40"/>
      <c r="AS447" s="5"/>
      <c r="AU447" s="40"/>
      <c r="AV447" s="5"/>
      <c r="AX447" s="40"/>
      <c r="AY447" s="5"/>
      <c r="BA447" s="40"/>
      <c r="BB447" s="5"/>
      <c r="BD447" s="40"/>
      <c r="BE447" s="5"/>
      <c r="BG447" s="40"/>
      <c r="BH447" s="5"/>
      <c r="BJ447" s="40"/>
      <c r="BK447" s="5"/>
      <c r="BM447" s="40"/>
      <c r="BN447" s="5"/>
      <c r="BP447" s="40"/>
      <c r="BQ447" s="5"/>
      <c r="BS447" s="40"/>
      <c r="BT447" s="5"/>
      <c r="BV447" s="40"/>
      <c r="BW447" s="5"/>
      <c r="BY447" s="40"/>
      <c r="BZ447" s="5"/>
      <c r="CB447" s="40"/>
      <c r="CC447" s="5"/>
      <c r="CE447" s="40"/>
      <c r="CF447" s="5"/>
      <c r="CH447" s="40"/>
      <c r="CI447" s="5"/>
      <c r="CK447" s="40"/>
      <c r="CL447" s="5"/>
      <c r="CN447" s="40"/>
      <c r="CO447" s="5"/>
      <c r="CQ447" s="40"/>
      <c r="CR447" s="5"/>
    </row>
    <row r="448">
      <c r="AO448" s="40"/>
      <c r="AP448" s="5"/>
      <c r="AR448" s="40"/>
      <c r="AS448" s="5"/>
      <c r="AU448" s="40"/>
      <c r="AV448" s="5"/>
      <c r="AX448" s="40"/>
      <c r="AY448" s="5"/>
      <c r="BA448" s="40"/>
      <c r="BB448" s="5"/>
      <c r="BD448" s="40"/>
      <c r="BE448" s="5"/>
      <c r="BG448" s="40"/>
      <c r="BH448" s="5"/>
      <c r="BJ448" s="40"/>
      <c r="BK448" s="5"/>
      <c r="BM448" s="40"/>
      <c r="BN448" s="5"/>
      <c r="BP448" s="40"/>
      <c r="BQ448" s="5"/>
      <c r="BS448" s="40"/>
      <c r="BT448" s="5"/>
      <c r="BV448" s="40"/>
      <c r="BW448" s="5"/>
      <c r="BY448" s="40"/>
      <c r="BZ448" s="5"/>
      <c r="CB448" s="40"/>
      <c r="CC448" s="5"/>
      <c r="CE448" s="40"/>
      <c r="CF448" s="5"/>
      <c r="CH448" s="40"/>
      <c r="CI448" s="5"/>
      <c r="CK448" s="40"/>
      <c r="CL448" s="5"/>
      <c r="CN448" s="40"/>
      <c r="CO448" s="5"/>
      <c r="CQ448" s="40"/>
      <c r="CR448" s="5"/>
    </row>
    <row r="449">
      <c r="AO449" s="40"/>
      <c r="AP449" s="5"/>
      <c r="AR449" s="40"/>
      <c r="AS449" s="5"/>
      <c r="AU449" s="40"/>
      <c r="AV449" s="5"/>
      <c r="AX449" s="40"/>
      <c r="AY449" s="5"/>
      <c r="BA449" s="40"/>
      <c r="BB449" s="5"/>
      <c r="BD449" s="40"/>
      <c r="BE449" s="5"/>
      <c r="BG449" s="40"/>
      <c r="BH449" s="5"/>
      <c r="BJ449" s="40"/>
      <c r="BK449" s="5"/>
      <c r="BM449" s="40"/>
      <c r="BN449" s="5"/>
      <c r="BP449" s="40"/>
      <c r="BQ449" s="5"/>
      <c r="BS449" s="40"/>
      <c r="BT449" s="5"/>
      <c r="BV449" s="40"/>
      <c r="BW449" s="5"/>
      <c r="BY449" s="40"/>
      <c r="BZ449" s="5"/>
      <c r="CB449" s="40"/>
      <c r="CC449" s="5"/>
      <c r="CE449" s="40"/>
      <c r="CF449" s="5"/>
      <c r="CH449" s="40"/>
      <c r="CI449" s="5"/>
      <c r="CK449" s="40"/>
      <c r="CL449" s="5"/>
      <c r="CN449" s="40"/>
      <c r="CO449" s="5"/>
      <c r="CQ449" s="40"/>
      <c r="CR449" s="5"/>
    </row>
    <row r="450">
      <c r="AO450" s="40"/>
      <c r="AP450" s="5"/>
      <c r="AR450" s="40"/>
      <c r="AS450" s="5"/>
      <c r="AU450" s="40"/>
      <c r="AV450" s="5"/>
      <c r="AX450" s="40"/>
      <c r="AY450" s="5"/>
      <c r="BA450" s="40"/>
      <c r="BB450" s="5"/>
      <c r="BD450" s="40"/>
      <c r="BE450" s="5"/>
      <c r="BG450" s="40"/>
      <c r="BH450" s="5"/>
      <c r="BJ450" s="40"/>
      <c r="BK450" s="5"/>
      <c r="BM450" s="40"/>
      <c r="BN450" s="5"/>
      <c r="BP450" s="40"/>
      <c r="BQ450" s="5"/>
      <c r="BS450" s="40"/>
      <c r="BT450" s="5"/>
      <c r="BV450" s="40"/>
      <c r="BW450" s="5"/>
      <c r="BY450" s="40"/>
      <c r="BZ450" s="5"/>
      <c r="CB450" s="40"/>
      <c r="CC450" s="5"/>
      <c r="CE450" s="40"/>
      <c r="CF450" s="5"/>
      <c r="CH450" s="40"/>
      <c r="CI450" s="5"/>
      <c r="CK450" s="40"/>
      <c r="CL450" s="5"/>
      <c r="CN450" s="40"/>
      <c r="CO450" s="5"/>
      <c r="CQ450" s="40"/>
      <c r="CR450" s="5"/>
    </row>
    <row r="451">
      <c r="AO451" s="40"/>
      <c r="AP451" s="5"/>
      <c r="AR451" s="40"/>
      <c r="AS451" s="5"/>
      <c r="AU451" s="40"/>
      <c r="AV451" s="5"/>
      <c r="AX451" s="40"/>
      <c r="AY451" s="5"/>
      <c r="BA451" s="40"/>
      <c r="BB451" s="5"/>
      <c r="BD451" s="40"/>
      <c r="BE451" s="5"/>
      <c r="BG451" s="40"/>
      <c r="BH451" s="5"/>
      <c r="BJ451" s="40"/>
      <c r="BK451" s="5"/>
      <c r="BM451" s="40"/>
      <c r="BN451" s="5"/>
      <c r="BP451" s="40"/>
      <c r="BQ451" s="5"/>
      <c r="BS451" s="40"/>
      <c r="BT451" s="5"/>
      <c r="BV451" s="40"/>
      <c r="BW451" s="5"/>
      <c r="BY451" s="40"/>
      <c r="BZ451" s="5"/>
      <c r="CB451" s="40"/>
      <c r="CC451" s="5"/>
      <c r="CE451" s="40"/>
      <c r="CF451" s="5"/>
      <c r="CH451" s="40"/>
      <c r="CI451" s="5"/>
      <c r="CK451" s="40"/>
      <c r="CL451" s="5"/>
      <c r="CN451" s="40"/>
      <c r="CO451" s="5"/>
      <c r="CQ451" s="40"/>
      <c r="CR451" s="5"/>
    </row>
    <row r="452">
      <c r="AO452" s="40"/>
      <c r="AP452" s="5"/>
      <c r="AR452" s="40"/>
      <c r="AS452" s="5"/>
      <c r="AU452" s="40"/>
      <c r="AV452" s="5"/>
      <c r="AX452" s="40"/>
      <c r="AY452" s="5"/>
      <c r="BA452" s="40"/>
      <c r="BB452" s="5"/>
      <c r="BD452" s="40"/>
      <c r="BE452" s="5"/>
      <c r="BG452" s="40"/>
      <c r="BH452" s="5"/>
      <c r="BJ452" s="40"/>
      <c r="BK452" s="5"/>
      <c r="BM452" s="40"/>
      <c r="BN452" s="5"/>
      <c r="BP452" s="40"/>
      <c r="BQ452" s="5"/>
      <c r="BS452" s="40"/>
      <c r="BT452" s="5"/>
      <c r="BV452" s="40"/>
      <c r="BW452" s="5"/>
      <c r="BY452" s="40"/>
      <c r="BZ452" s="5"/>
      <c r="CB452" s="40"/>
      <c r="CC452" s="5"/>
      <c r="CE452" s="40"/>
      <c r="CF452" s="5"/>
      <c r="CH452" s="40"/>
      <c r="CI452" s="5"/>
      <c r="CK452" s="40"/>
      <c r="CL452" s="5"/>
      <c r="CN452" s="40"/>
      <c r="CO452" s="5"/>
      <c r="CQ452" s="40"/>
      <c r="CR452" s="5"/>
    </row>
    <row r="453">
      <c r="AO453" s="40"/>
      <c r="AP453" s="5"/>
      <c r="AR453" s="40"/>
      <c r="AS453" s="5"/>
      <c r="AU453" s="40"/>
      <c r="AV453" s="5"/>
      <c r="AX453" s="40"/>
      <c r="AY453" s="5"/>
      <c r="BA453" s="40"/>
      <c r="BB453" s="5"/>
      <c r="BD453" s="40"/>
      <c r="BE453" s="5"/>
      <c r="BG453" s="40"/>
      <c r="BH453" s="5"/>
      <c r="BJ453" s="40"/>
      <c r="BK453" s="5"/>
      <c r="BM453" s="40"/>
      <c r="BN453" s="5"/>
      <c r="BP453" s="40"/>
      <c r="BQ453" s="5"/>
      <c r="BS453" s="40"/>
      <c r="BT453" s="5"/>
      <c r="BV453" s="40"/>
      <c r="BW453" s="5"/>
      <c r="BY453" s="40"/>
      <c r="BZ453" s="5"/>
      <c r="CB453" s="40"/>
      <c r="CC453" s="5"/>
      <c r="CE453" s="40"/>
      <c r="CF453" s="5"/>
      <c r="CH453" s="40"/>
      <c r="CI453" s="5"/>
      <c r="CK453" s="40"/>
      <c r="CL453" s="5"/>
      <c r="CN453" s="40"/>
      <c r="CO453" s="5"/>
      <c r="CQ453" s="40"/>
      <c r="CR453" s="5"/>
    </row>
    <row r="454">
      <c r="AO454" s="40"/>
      <c r="AP454" s="5"/>
      <c r="AR454" s="40"/>
      <c r="AS454" s="5"/>
      <c r="AU454" s="40"/>
      <c r="AV454" s="5"/>
      <c r="AX454" s="40"/>
      <c r="AY454" s="5"/>
      <c r="BA454" s="40"/>
      <c r="BB454" s="5"/>
      <c r="BD454" s="40"/>
      <c r="BE454" s="5"/>
      <c r="BG454" s="40"/>
      <c r="BH454" s="5"/>
      <c r="BJ454" s="40"/>
      <c r="BK454" s="5"/>
      <c r="BM454" s="40"/>
      <c r="BN454" s="5"/>
      <c r="BP454" s="40"/>
      <c r="BQ454" s="5"/>
      <c r="BS454" s="40"/>
      <c r="BT454" s="5"/>
      <c r="BV454" s="40"/>
      <c r="BW454" s="5"/>
      <c r="BY454" s="40"/>
      <c r="BZ454" s="5"/>
      <c r="CB454" s="40"/>
      <c r="CC454" s="5"/>
      <c r="CE454" s="40"/>
      <c r="CF454" s="5"/>
      <c r="CH454" s="40"/>
      <c r="CI454" s="5"/>
      <c r="CK454" s="40"/>
      <c r="CL454" s="5"/>
      <c r="CN454" s="40"/>
      <c r="CO454" s="5"/>
      <c r="CQ454" s="40"/>
      <c r="CR454" s="5"/>
    </row>
    <row r="455">
      <c r="AO455" s="40"/>
      <c r="AP455" s="5"/>
      <c r="AR455" s="40"/>
      <c r="AS455" s="5"/>
      <c r="AU455" s="40"/>
      <c r="AV455" s="5"/>
      <c r="AX455" s="40"/>
      <c r="AY455" s="5"/>
      <c r="BA455" s="40"/>
      <c r="BB455" s="5"/>
      <c r="BD455" s="40"/>
      <c r="BE455" s="5"/>
      <c r="BG455" s="40"/>
      <c r="BH455" s="5"/>
      <c r="BJ455" s="40"/>
      <c r="BK455" s="5"/>
      <c r="BM455" s="40"/>
      <c r="BN455" s="5"/>
      <c r="BP455" s="40"/>
      <c r="BQ455" s="5"/>
      <c r="BS455" s="40"/>
      <c r="BT455" s="5"/>
      <c r="BV455" s="40"/>
      <c r="BW455" s="5"/>
      <c r="BY455" s="40"/>
      <c r="BZ455" s="5"/>
      <c r="CB455" s="40"/>
      <c r="CC455" s="5"/>
      <c r="CE455" s="40"/>
      <c r="CF455" s="5"/>
      <c r="CH455" s="40"/>
      <c r="CI455" s="5"/>
      <c r="CK455" s="40"/>
      <c r="CL455" s="5"/>
      <c r="CN455" s="40"/>
      <c r="CO455" s="5"/>
      <c r="CQ455" s="40"/>
      <c r="CR455" s="5"/>
    </row>
    <row r="456">
      <c r="AO456" s="40"/>
      <c r="AP456" s="5"/>
      <c r="AR456" s="40"/>
      <c r="AS456" s="5"/>
      <c r="AU456" s="40"/>
      <c r="AV456" s="5"/>
      <c r="AX456" s="40"/>
      <c r="AY456" s="5"/>
      <c r="BA456" s="40"/>
      <c r="BB456" s="5"/>
      <c r="BD456" s="40"/>
      <c r="BE456" s="5"/>
      <c r="BG456" s="40"/>
      <c r="BH456" s="5"/>
      <c r="BJ456" s="40"/>
      <c r="BK456" s="5"/>
      <c r="BM456" s="40"/>
      <c r="BN456" s="5"/>
      <c r="BP456" s="40"/>
      <c r="BQ456" s="5"/>
      <c r="BS456" s="40"/>
      <c r="BT456" s="5"/>
      <c r="BV456" s="40"/>
      <c r="BW456" s="5"/>
      <c r="BY456" s="40"/>
      <c r="BZ456" s="5"/>
      <c r="CB456" s="40"/>
      <c r="CC456" s="5"/>
      <c r="CE456" s="40"/>
      <c r="CF456" s="5"/>
      <c r="CH456" s="40"/>
      <c r="CI456" s="5"/>
      <c r="CK456" s="40"/>
      <c r="CL456" s="5"/>
      <c r="CN456" s="40"/>
      <c r="CO456" s="5"/>
      <c r="CQ456" s="40"/>
      <c r="CR456" s="5"/>
    </row>
    <row r="457">
      <c r="AO457" s="40"/>
      <c r="AP457" s="5"/>
      <c r="AR457" s="40"/>
      <c r="AS457" s="5"/>
      <c r="AU457" s="40"/>
      <c r="AV457" s="5"/>
      <c r="AX457" s="40"/>
      <c r="AY457" s="5"/>
      <c r="BA457" s="40"/>
      <c r="BB457" s="5"/>
      <c r="BD457" s="40"/>
      <c r="BE457" s="5"/>
      <c r="BG457" s="40"/>
      <c r="BH457" s="5"/>
      <c r="BJ457" s="40"/>
      <c r="BK457" s="5"/>
      <c r="BM457" s="40"/>
      <c r="BN457" s="5"/>
      <c r="BP457" s="40"/>
      <c r="BQ457" s="5"/>
      <c r="BS457" s="40"/>
      <c r="BT457" s="5"/>
      <c r="BV457" s="40"/>
      <c r="BW457" s="5"/>
      <c r="BY457" s="40"/>
      <c r="BZ457" s="5"/>
      <c r="CB457" s="40"/>
      <c r="CC457" s="5"/>
      <c r="CE457" s="40"/>
      <c r="CF457" s="5"/>
      <c r="CH457" s="40"/>
      <c r="CI457" s="5"/>
      <c r="CK457" s="40"/>
      <c r="CL457" s="5"/>
      <c r="CN457" s="40"/>
      <c r="CO457" s="5"/>
      <c r="CQ457" s="40"/>
      <c r="CR457" s="5"/>
    </row>
    <row r="458">
      <c r="AO458" s="40"/>
      <c r="AP458" s="5"/>
      <c r="AR458" s="40"/>
      <c r="AS458" s="5"/>
      <c r="AU458" s="40"/>
      <c r="AV458" s="5"/>
      <c r="AX458" s="40"/>
      <c r="AY458" s="5"/>
      <c r="BA458" s="40"/>
      <c r="BB458" s="5"/>
      <c r="BD458" s="40"/>
      <c r="BE458" s="5"/>
      <c r="BG458" s="40"/>
      <c r="BH458" s="5"/>
      <c r="BJ458" s="40"/>
      <c r="BK458" s="5"/>
      <c r="BM458" s="40"/>
      <c r="BN458" s="5"/>
      <c r="BP458" s="40"/>
      <c r="BQ458" s="5"/>
      <c r="BS458" s="40"/>
      <c r="BT458" s="5"/>
      <c r="BV458" s="40"/>
      <c r="BW458" s="5"/>
      <c r="BY458" s="40"/>
      <c r="BZ458" s="5"/>
      <c r="CB458" s="40"/>
      <c r="CC458" s="5"/>
      <c r="CE458" s="40"/>
      <c r="CF458" s="5"/>
      <c r="CH458" s="40"/>
      <c r="CI458" s="5"/>
      <c r="CK458" s="40"/>
      <c r="CL458" s="5"/>
      <c r="CN458" s="40"/>
      <c r="CO458" s="5"/>
      <c r="CQ458" s="40"/>
      <c r="CR458" s="5"/>
    </row>
    <row r="459">
      <c r="AO459" s="40"/>
      <c r="AP459" s="5"/>
      <c r="AR459" s="40"/>
      <c r="AS459" s="5"/>
      <c r="AU459" s="40"/>
      <c r="AV459" s="5"/>
      <c r="AX459" s="40"/>
      <c r="AY459" s="5"/>
      <c r="BA459" s="40"/>
      <c r="BB459" s="5"/>
      <c r="BD459" s="40"/>
      <c r="BE459" s="5"/>
      <c r="BG459" s="40"/>
      <c r="BH459" s="5"/>
      <c r="BJ459" s="40"/>
      <c r="BK459" s="5"/>
      <c r="BM459" s="40"/>
      <c r="BN459" s="5"/>
      <c r="BP459" s="40"/>
      <c r="BQ459" s="5"/>
      <c r="BS459" s="40"/>
      <c r="BT459" s="5"/>
      <c r="BV459" s="40"/>
      <c r="BW459" s="5"/>
      <c r="BY459" s="40"/>
      <c r="BZ459" s="5"/>
      <c r="CB459" s="40"/>
      <c r="CC459" s="5"/>
      <c r="CE459" s="40"/>
      <c r="CF459" s="5"/>
      <c r="CH459" s="40"/>
      <c r="CI459" s="5"/>
      <c r="CK459" s="40"/>
      <c r="CL459" s="5"/>
      <c r="CN459" s="40"/>
      <c r="CO459" s="5"/>
      <c r="CQ459" s="40"/>
      <c r="CR459" s="5"/>
    </row>
    <row r="460">
      <c r="AO460" s="40"/>
      <c r="AP460" s="5"/>
      <c r="AR460" s="40"/>
      <c r="AS460" s="5"/>
      <c r="AU460" s="40"/>
      <c r="AV460" s="5"/>
      <c r="AX460" s="40"/>
      <c r="AY460" s="5"/>
      <c r="BA460" s="40"/>
      <c r="BB460" s="5"/>
      <c r="BD460" s="40"/>
      <c r="BE460" s="5"/>
      <c r="BG460" s="40"/>
      <c r="BH460" s="5"/>
      <c r="BJ460" s="40"/>
      <c r="BK460" s="5"/>
      <c r="BM460" s="40"/>
      <c r="BN460" s="5"/>
      <c r="BP460" s="40"/>
      <c r="BQ460" s="5"/>
      <c r="BS460" s="40"/>
      <c r="BT460" s="5"/>
      <c r="BV460" s="40"/>
      <c r="BW460" s="5"/>
      <c r="BY460" s="40"/>
      <c r="BZ460" s="5"/>
      <c r="CB460" s="40"/>
      <c r="CC460" s="5"/>
      <c r="CE460" s="40"/>
      <c r="CF460" s="5"/>
      <c r="CH460" s="40"/>
      <c r="CI460" s="5"/>
      <c r="CK460" s="40"/>
      <c r="CL460" s="5"/>
      <c r="CN460" s="40"/>
      <c r="CO460" s="5"/>
      <c r="CQ460" s="40"/>
      <c r="CR460" s="5"/>
    </row>
    <row r="461">
      <c r="AO461" s="40"/>
      <c r="AP461" s="5"/>
      <c r="AR461" s="40"/>
      <c r="AS461" s="5"/>
      <c r="AU461" s="40"/>
      <c r="AV461" s="5"/>
      <c r="AX461" s="40"/>
      <c r="AY461" s="5"/>
      <c r="BA461" s="40"/>
      <c r="BB461" s="5"/>
      <c r="BD461" s="40"/>
      <c r="BE461" s="5"/>
      <c r="BG461" s="40"/>
      <c r="BH461" s="5"/>
      <c r="BJ461" s="40"/>
      <c r="BK461" s="5"/>
      <c r="BM461" s="40"/>
      <c r="BN461" s="5"/>
      <c r="BP461" s="40"/>
      <c r="BQ461" s="5"/>
      <c r="BS461" s="40"/>
      <c r="BT461" s="5"/>
      <c r="BV461" s="40"/>
      <c r="BW461" s="5"/>
      <c r="BY461" s="40"/>
      <c r="BZ461" s="5"/>
      <c r="CB461" s="40"/>
      <c r="CC461" s="5"/>
      <c r="CE461" s="40"/>
      <c r="CF461" s="5"/>
      <c r="CH461" s="40"/>
      <c r="CI461" s="5"/>
      <c r="CK461" s="40"/>
      <c r="CL461" s="5"/>
      <c r="CN461" s="40"/>
      <c r="CO461" s="5"/>
      <c r="CQ461" s="40"/>
      <c r="CR461" s="5"/>
    </row>
    <row r="462">
      <c r="AO462" s="40"/>
      <c r="AP462" s="5"/>
      <c r="AR462" s="40"/>
      <c r="AS462" s="5"/>
      <c r="AU462" s="40"/>
      <c r="AV462" s="5"/>
      <c r="AX462" s="40"/>
      <c r="AY462" s="5"/>
      <c r="BA462" s="40"/>
      <c r="BB462" s="5"/>
      <c r="BD462" s="40"/>
      <c r="BE462" s="5"/>
      <c r="BG462" s="40"/>
      <c r="BH462" s="5"/>
      <c r="BJ462" s="40"/>
      <c r="BK462" s="5"/>
      <c r="BM462" s="40"/>
      <c r="BN462" s="5"/>
      <c r="BP462" s="40"/>
      <c r="BQ462" s="5"/>
      <c r="BS462" s="40"/>
      <c r="BT462" s="5"/>
      <c r="BV462" s="40"/>
      <c r="BW462" s="5"/>
      <c r="BY462" s="40"/>
      <c r="BZ462" s="5"/>
      <c r="CB462" s="40"/>
      <c r="CC462" s="5"/>
      <c r="CE462" s="40"/>
      <c r="CF462" s="5"/>
      <c r="CH462" s="40"/>
      <c r="CI462" s="5"/>
      <c r="CK462" s="40"/>
      <c r="CL462" s="5"/>
      <c r="CN462" s="40"/>
      <c r="CO462" s="5"/>
      <c r="CQ462" s="40"/>
      <c r="CR462" s="5"/>
    </row>
    <row r="463">
      <c r="AO463" s="40"/>
      <c r="AP463" s="5"/>
      <c r="AR463" s="40"/>
      <c r="AS463" s="5"/>
      <c r="AU463" s="40"/>
      <c r="AV463" s="5"/>
      <c r="AX463" s="40"/>
      <c r="AY463" s="5"/>
      <c r="BA463" s="40"/>
      <c r="BB463" s="5"/>
      <c r="BD463" s="40"/>
      <c r="BE463" s="5"/>
      <c r="BG463" s="40"/>
      <c r="BH463" s="5"/>
      <c r="BJ463" s="40"/>
      <c r="BK463" s="5"/>
      <c r="BM463" s="40"/>
      <c r="BN463" s="5"/>
      <c r="BP463" s="40"/>
      <c r="BQ463" s="5"/>
      <c r="BS463" s="40"/>
      <c r="BT463" s="5"/>
      <c r="BV463" s="40"/>
      <c r="BW463" s="5"/>
      <c r="BY463" s="40"/>
      <c r="BZ463" s="5"/>
      <c r="CB463" s="40"/>
      <c r="CC463" s="5"/>
      <c r="CE463" s="40"/>
      <c r="CF463" s="5"/>
      <c r="CH463" s="40"/>
      <c r="CI463" s="5"/>
      <c r="CK463" s="40"/>
      <c r="CL463" s="5"/>
      <c r="CN463" s="40"/>
      <c r="CO463" s="5"/>
      <c r="CQ463" s="40"/>
      <c r="CR463" s="5"/>
    </row>
    <row r="464">
      <c r="AO464" s="40"/>
      <c r="AP464" s="5"/>
      <c r="AR464" s="40"/>
      <c r="AS464" s="5"/>
      <c r="AU464" s="40"/>
      <c r="AV464" s="5"/>
      <c r="AX464" s="40"/>
      <c r="AY464" s="5"/>
      <c r="BA464" s="40"/>
      <c r="BB464" s="5"/>
      <c r="BD464" s="40"/>
      <c r="BE464" s="5"/>
      <c r="BG464" s="40"/>
      <c r="BH464" s="5"/>
      <c r="BJ464" s="40"/>
      <c r="BK464" s="5"/>
      <c r="BM464" s="40"/>
      <c r="BN464" s="5"/>
      <c r="BP464" s="40"/>
      <c r="BQ464" s="5"/>
      <c r="BS464" s="40"/>
      <c r="BT464" s="5"/>
      <c r="BV464" s="40"/>
      <c r="BW464" s="5"/>
      <c r="BY464" s="40"/>
      <c r="BZ464" s="5"/>
      <c r="CB464" s="40"/>
      <c r="CC464" s="5"/>
      <c r="CE464" s="40"/>
      <c r="CF464" s="5"/>
      <c r="CH464" s="40"/>
      <c r="CI464" s="5"/>
      <c r="CK464" s="40"/>
      <c r="CL464" s="5"/>
      <c r="CN464" s="40"/>
      <c r="CO464" s="5"/>
      <c r="CQ464" s="40"/>
      <c r="CR464" s="5"/>
    </row>
    <row r="465">
      <c r="AO465" s="40"/>
      <c r="AP465" s="5"/>
      <c r="AR465" s="40"/>
      <c r="AS465" s="5"/>
      <c r="AU465" s="40"/>
      <c r="AV465" s="5"/>
      <c r="AX465" s="40"/>
      <c r="AY465" s="5"/>
      <c r="BA465" s="40"/>
      <c r="BB465" s="5"/>
      <c r="BD465" s="40"/>
      <c r="BE465" s="5"/>
      <c r="BG465" s="40"/>
      <c r="BH465" s="5"/>
      <c r="BJ465" s="40"/>
      <c r="BK465" s="5"/>
      <c r="BM465" s="40"/>
      <c r="BN465" s="5"/>
      <c r="BP465" s="40"/>
      <c r="BQ465" s="5"/>
      <c r="BS465" s="40"/>
      <c r="BT465" s="5"/>
      <c r="BV465" s="40"/>
      <c r="BW465" s="5"/>
      <c r="BY465" s="40"/>
      <c r="BZ465" s="5"/>
      <c r="CB465" s="40"/>
      <c r="CC465" s="5"/>
      <c r="CE465" s="40"/>
      <c r="CF465" s="5"/>
      <c r="CH465" s="40"/>
      <c r="CI465" s="5"/>
      <c r="CK465" s="40"/>
      <c r="CL465" s="5"/>
      <c r="CN465" s="40"/>
      <c r="CO465" s="5"/>
      <c r="CQ465" s="40"/>
      <c r="CR465" s="5"/>
    </row>
    <row r="466">
      <c r="AO466" s="40"/>
      <c r="AP466" s="5"/>
      <c r="AR466" s="40"/>
      <c r="AS466" s="5"/>
      <c r="AU466" s="40"/>
      <c r="AV466" s="5"/>
      <c r="AX466" s="40"/>
      <c r="AY466" s="5"/>
      <c r="BA466" s="40"/>
      <c r="BB466" s="5"/>
      <c r="BD466" s="40"/>
      <c r="BE466" s="5"/>
      <c r="BG466" s="40"/>
      <c r="BH466" s="5"/>
      <c r="BJ466" s="40"/>
      <c r="BK466" s="5"/>
      <c r="BM466" s="40"/>
      <c r="BN466" s="5"/>
      <c r="BP466" s="40"/>
      <c r="BQ466" s="5"/>
      <c r="BS466" s="40"/>
      <c r="BT466" s="5"/>
      <c r="BV466" s="40"/>
      <c r="BW466" s="5"/>
      <c r="BY466" s="40"/>
      <c r="BZ466" s="5"/>
      <c r="CB466" s="40"/>
      <c r="CC466" s="5"/>
      <c r="CE466" s="40"/>
      <c r="CF466" s="5"/>
      <c r="CH466" s="40"/>
      <c r="CI466" s="5"/>
      <c r="CK466" s="40"/>
      <c r="CL466" s="5"/>
      <c r="CN466" s="40"/>
      <c r="CO466" s="5"/>
      <c r="CQ466" s="40"/>
      <c r="CR466" s="5"/>
    </row>
    <row r="467">
      <c r="AO467" s="40"/>
      <c r="AP467" s="5"/>
      <c r="AR467" s="40"/>
      <c r="AS467" s="5"/>
      <c r="AU467" s="40"/>
      <c r="AV467" s="5"/>
      <c r="AX467" s="40"/>
      <c r="AY467" s="5"/>
      <c r="BA467" s="40"/>
      <c r="BB467" s="5"/>
      <c r="BD467" s="40"/>
      <c r="BE467" s="5"/>
      <c r="BG467" s="40"/>
      <c r="BH467" s="5"/>
      <c r="BJ467" s="40"/>
      <c r="BK467" s="5"/>
      <c r="BM467" s="40"/>
      <c r="BN467" s="5"/>
      <c r="BP467" s="40"/>
      <c r="BQ467" s="5"/>
      <c r="BS467" s="40"/>
      <c r="BT467" s="5"/>
      <c r="BV467" s="40"/>
      <c r="BW467" s="5"/>
      <c r="BY467" s="40"/>
      <c r="BZ467" s="5"/>
      <c r="CB467" s="40"/>
      <c r="CC467" s="5"/>
      <c r="CE467" s="40"/>
      <c r="CF467" s="5"/>
      <c r="CH467" s="40"/>
      <c r="CI467" s="5"/>
      <c r="CK467" s="40"/>
      <c r="CL467" s="5"/>
      <c r="CN467" s="40"/>
      <c r="CO467" s="5"/>
      <c r="CQ467" s="40"/>
      <c r="CR467" s="5"/>
    </row>
    <row r="468">
      <c r="AO468" s="40"/>
      <c r="AP468" s="5"/>
      <c r="AR468" s="40"/>
      <c r="AS468" s="5"/>
      <c r="AU468" s="40"/>
      <c r="AV468" s="5"/>
      <c r="AX468" s="40"/>
      <c r="AY468" s="5"/>
      <c r="BA468" s="40"/>
      <c r="BB468" s="5"/>
      <c r="BD468" s="40"/>
      <c r="BE468" s="5"/>
      <c r="BG468" s="40"/>
      <c r="BH468" s="5"/>
      <c r="BJ468" s="40"/>
      <c r="BK468" s="5"/>
      <c r="BM468" s="40"/>
      <c r="BN468" s="5"/>
      <c r="BP468" s="40"/>
      <c r="BQ468" s="5"/>
      <c r="BS468" s="40"/>
      <c r="BT468" s="5"/>
      <c r="BV468" s="40"/>
      <c r="BW468" s="5"/>
      <c r="BY468" s="40"/>
      <c r="BZ468" s="5"/>
      <c r="CB468" s="40"/>
      <c r="CC468" s="5"/>
      <c r="CE468" s="40"/>
      <c r="CF468" s="5"/>
      <c r="CH468" s="40"/>
      <c r="CI468" s="5"/>
      <c r="CK468" s="40"/>
      <c r="CL468" s="5"/>
      <c r="CN468" s="40"/>
      <c r="CO468" s="5"/>
      <c r="CQ468" s="40"/>
      <c r="CR468" s="5"/>
    </row>
    <row r="469">
      <c r="AO469" s="40"/>
      <c r="AP469" s="5"/>
      <c r="AR469" s="40"/>
      <c r="AS469" s="5"/>
      <c r="AU469" s="40"/>
      <c r="AV469" s="5"/>
      <c r="AX469" s="40"/>
      <c r="AY469" s="5"/>
      <c r="BA469" s="40"/>
      <c r="BB469" s="5"/>
      <c r="BD469" s="40"/>
      <c r="BE469" s="5"/>
      <c r="BG469" s="40"/>
      <c r="BH469" s="5"/>
      <c r="BJ469" s="40"/>
      <c r="BK469" s="5"/>
      <c r="BM469" s="40"/>
      <c r="BN469" s="5"/>
      <c r="BP469" s="40"/>
      <c r="BQ469" s="5"/>
      <c r="BS469" s="40"/>
      <c r="BT469" s="5"/>
      <c r="BV469" s="40"/>
      <c r="BW469" s="5"/>
      <c r="BY469" s="40"/>
      <c r="BZ469" s="5"/>
      <c r="CB469" s="40"/>
      <c r="CC469" s="5"/>
      <c r="CE469" s="40"/>
      <c r="CF469" s="5"/>
      <c r="CH469" s="40"/>
      <c r="CI469" s="5"/>
      <c r="CK469" s="40"/>
      <c r="CL469" s="5"/>
      <c r="CN469" s="40"/>
      <c r="CO469" s="5"/>
      <c r="CQ469" s="40"/>
      <c r="CR469" s="5"/>
    </row>
    <row r="470">
      <c r="AO470" s="40"/>
      <c r="AP470" s="5"/>
      <c r="AR470" s="40"/>
      <c r="AS470" s="5"/>
      <c r="AU470" s="40"/>
      <c r="AV470" s="5"/>
      <c r="AX470" s="40"/>
      <c r="AY470" s="5"/>
      <c r="BA470" s="40"/>
      <c r="BB470" s="5"/>
      <c r="BD470" s="40"/>
      <c r="BE470" s="5"/>
      <c r="BG470" s="40"/>
      <c r="BH470" s="5"/>
      <c r="BJ470" s="40"/>
      <c r="BK470" s="5"/>
      <c r="BM470" s="40"/>
      <c r="BN470" s="5"/>
      <c r="BP470" s="40"/>
      <c r="BQ470" s="5"/>
      <c r="BS470" s="40"/>
      <c r="BT470" s="5"/>
      <c r="BV470" s="40"/>
      <c r="BW470" s="5"/>
      <c r="BY470" s="40"/>
      <c r="BZ470" s="5"/>
      <c r="CB470" s="40"/>
      <c r="CC470" s="5"/>
      <c r="CE470" s="40"/>
      <c r="CF470" s="5"/>
      <c r="CH470" s="40"/>
      <c r="CI470" s="5"/>
      <c r="CK470" s="40"/>
      <c r="CL470" s="5"/>
      <c r="CN470" s="40"/>
      <c r="CO470" s="5"/>
      <c r="CQ470" s="40"/>
      <c r="CR470" s="5"/>
    </row>
    <row r="471">
      <c r="AO471" s="40"/>
      <c r="AP471" s="5"/>
      <c r="AR471" s="40"/>
      <c r="AS471" s="5"/>
      <c r="AU471" s="40"/>
      <c r="AV471" s="5"/>
      <c r="AX471" s="40"/>
      <c r="AY471" s="5"/>
      <c r="BA471" s="40"/>
      <c r="BB471" s="5"/>
      <c r="BD471" s="40"/>
      <c r="BE471" s="5"/>
      <c r="BG471" s="40"/>
      <c r="BH471" s="5"/>
      <c r="BJ471" s="40"/>
      <c r="BK471" s="5"/>
      <c r="BM471" s="40"/>
      <c r="BN471" s="5"/>
      <c r="BP471" s="40"/>
      <c r="BQ471" s="5"/>
      <c r="BS471" s="40"/>
      <c r="BT471" s="5"/>
      <c r="BV471" s="40"/>
      <c r="BW471" s="5"/>
      <c r="BY471" s="40"/>
      <c r="BZ471" s="5"/>
      <c r="CB471" s="40"/>
      <c r="CC471" s="5"/>
      <c r="CE471" s="40"/>
      <c r="CF471" s="5"/>
      <c r="CH471" s="40"/>
      <c r="CI471" s="5"/>
      <c r="CK471" s="40"/>
      <c r="CL471" s="5"/>
      <c r="CN471" s="40"/>
      <c r="CO471" s="5"/>
      <c r="CQ471" s="40"/>
      <c r="CR471" s="5"/>
    </row>
    <row r="472">
      <c r="AO472" s="40"/>
      <c r="AP472" s="5"/>
      <c r="AR472" s="40"/>
      <c r="AS472" s="5"/>
      <c r="AU472" s="40"/>
      <c r="AV472" s="5"/>
      <c r="AX472" s="40"/>
      <c r="AY472" s="5"/>
      <c r="BA472" s="40"/>
      <c r="BB472" s="5"/>
      <c r="BD472" s="40"/>
      <c r="BE472" s="5"/>
      <c r="BG472" s="40"/>
      <c r="BH472" s="5"/>
      <c r="BJ472" s="40"/>
      <c r="BK472" s="5"/>
      <c r="BM472" s="40"/>
      <c r="BN472" s="5"/>
      <c r="BP472" s="40"/>
      <c r="BQ472" s="5"/>
      <c r="BS472" s="40"/>
      <c r="BT472" s="5"/>
      <c r="BV472" s="40"/>
      <c r="BW472" s="5"/>
      <c r="BY472" s="40"/>
      <c r="BZ472" s="5"/>
      <c r="CB472" s="40"/>
      <c r="CC472" s="5"/>
      <c r="CE472" s="40"/>
      <c r="CF472" s="5"/>
      <c r="CH472" s="40"/>
      <c r="CI472" s="5"/>
      <c r="CK472" s="40"/>
      <c r="CL472" s="5"/>
      <c r="CN472" s="40"/>
      <c r="CO472" s="5"/>
      <c r="CQ472" s="40"/>
      <c r="CR472" s="5"/>
    </row>
    <row r="473">
      <c r="AO473" s="40"/>
      <c r="AP473" s="5"/>
      <c r="AR473" s="40"/>
      <c r="AS473" s="5"/>
      <c r="AU473" s="40"/>
      <c r="AV473" s="5"/>
      <c r="AX473" s="40"/>
      <c r="AY473" s="5"/>
      <c r="BA473" s="40"/>
      <c r="BB473" s="5"/>
      <c r="BD473" s="40"/>
      <c r="BE473" s="5"/>
      <c r="BG473" s="40"/>
      <c r="BH473" s="5"/>
      <c r="BJ473" s="40"/>
      <c r="BK473" s="5"/>
      <c r="BM473" s="40"/>
      <c r="BN473" s="5"/>
      <c r="BP473" s="40"/>
      <c r="BQ473" s="5"/>
      <c r="BS473" s="40"/>
      <c r="BT473" s="5"/>
      <c r="BV473" s="40"/>
      <c r="BW473" s="5"/>
      <c r="BY473" s="40"/>
      <c r="BZ473" s="5"/>
      <c r="CB473" s="40"/>
      <c r="CC473" s="5"/>
      <c r="CE473" s="40"/>
      <c r="CF473" s="5"/>
      <c r="CH473" s="40"/>
      <c r="CI473" s="5"/>
      <c r="CK473" s="40"/>
      <c r="CL473" s="5"/>
      <c r="CN473" s="40"/>
      <c r="CO473" s="5"/>
      <c r="CQ473" s="40"/>
      <c r="CR473" s="5"/>
    </row>
    <row r="474">
      <c r="AO474" s="40"/>
      <c r="AP474" s="5"/>
      <c r="AR474" s="40"/>
      <c r="AS474" s="5"/>
      <c r="AU474" s="40"/>
      <c r="AV474" s="5"/>
      <c r="AX474" s="40"/>
      <c r="AY474" s="5"/>
      <c r="BA474" s="40"/>
      <c r="BB474" s="5"/>
      <c r="BD474" s="40"/>
      <c r="BE474" s="5"/>
      <c r="BG474" s="40"/>
      <c r="BH474" s="5"/>
      <c r="BJ474" s="40"/>
      <c r="BK474" s="5"/>
      <c r="BM474" s="40"/>
      <c r="BN474" s="5"/>
      <c r="BP474" s="40"/>
      <c r="BQ474" s="5"/>
      <c r="BS474" s="40"/>
      <c r="BT474" s="5"/>
      <c r="BV474" s="40"/>
      <c r="BW474" s="5"/>
      <c r="BY474" s="40"/>
      <c r="BZ474" s="5"/>
      <c r="CB474" s="40"/>
      <c r="CC474" s="5"/>
      <c r="CE474" s="40"/>
      <c r="CF474" s="5"/>
      <c r="CH474" s="40"/>
      <c r="CI474" s="5"/>
      <c r="CK474" s="40"/>
      <c r="CL474" s="5"/>
      <c r="CN474" s="40"/>
      <c r="CO474" s="5"/>
      <c r="CQ474" s="40"/>
      <c r="CR474" s="5"/>
    </row>
    <row r="475">
      <c r="AO475" s="40"/>
      <c r="AP475" s="5"/>
      <c r="AR475" s="40"/>
      <c r="AS475" s="5"/>
      <c r="AU475" s="40"/>
      <c r="AV475" s="5"/>
      <c r="AX475" s="40"/>
      <c r="AY475" s="5"/>
      <c r="BA475" s="40"/>
      <c r="BB475" s="5"/>
      <c r="BD475" s="40"/>
      <c r="BE475" s="5"/>
      <c r="BG475" s="40"/>
      <c r="BH475" s="5"/>
      <c r="BJ475" s="40"/>
      <c r="BK475" s="5"/>
      <c r="BM475" s="40"/>
      <c r="BN475" s="5"/>
      <c r="BP475" s="40"/>
      <c r="BQ475" s="5"/>
      <c r="BS475" s="40"/>
      <c r="BT475" s="5"/>
      <c r="BV475" s="40"/>
      <c r="BW475" s="5"/>
      <c r="BY475" s="40"/>
      <c r="BZ475" s="5"/>
      <c r="CB475" s="40"/>
      <c r="CC475" s="5"/>
      <c r="CE475" s="40"/>
      <c r="CF475" s="5"/>
      <c r="CH475" s="40"/>
      <c r="CI475" s="5"/>
      <c r="CK475" s="40"/>
      <c r="CL475" s="5"/>
      <c r="CN475" s="40"/>
      <c r="CO475" s="5"/>
      <c r="CQ475" s="40"/>
      <c r="CR475" s="5"/>
    </row>
    <row r="476">
      <c r="AO476" s="40"/>
      <c r="AP476" s="5"/>
      <c r="AR476" s="40"/>
      <c r="AS476" s="5"/>
      <c r="AU476" s="40"/>
      <c r="AV476" s="5"/>
      <c r="AX476" s="40"/>
      <c r="AY476" s="5"/>
      <c r="BA476" s="40"/>
      <c r="BB476" s="5"/>
      <c r="BD476" s="40"/>
      <c r="BE476" s="5"/>
      <c r="BG476" s="40"/>
      <c r="BH476" s="5"/>
      <c r="BJ476" s="40"/>
      <c r="BK476" s="5"/>
      <c r="BM476" s="40"/>
      <c r="BN476" s="5"/>
      <c r="BP476" s="40"/>
      <c r="BQ476" s="5"/>
      <c r="BS476" s="40"/>
      <c r="BT476" s="5"/>
      <c r="BV476" s="40"/>
      <c r="BW476" s="5"/>
      <c r="BY476" s="40"/>
      <c r="BZ476" s="5"/>
      <c r="CB476" s="40"/>
      <c r="CC476" s="5"/>
      <c r="CE476" s="40"/>
      <c r="CF476" s="5"/>
      <c r="CH476" s="40"/>
      <c r="CI476" s="5"/>
      <c r="CK476" s="40"/>
      <c r="CL476" s="5"/>
      <c r="CN476" s="40"/>
      <c r="CO476" s="5"/>
      <c r="CQ476" s="40"/>
      <c r="CR476" s="5"/>
    </row>
    <row r="477">
      <c r="AO477" s="40"/>
      <c r="AP477" s="5"/>
      <c r="AR477" s="40"/>
      <c r="AS477" s="5"/>
      <c r="AU477" s="40"/>
      <c r="AV477" s="5"/>
      <c r="AX477" s="40"/>
      <c r="AY477" s="5"/>
      <c r="BA477" s="40"/>
      <c r="BB477" s="5"/>
      <c r="BD477" s="40"/>
      <c r="BE477" s="5"/>
      <c r="BG477" s="40"/>
      <c r="BH477" s="5"/>
      <c r="BJ477" s="40"/>
      <c r="BK477" s="5"/>
      <c r="BM477" s="40"/>
      <c r="BN477" s="5"/>
      <c r="BP477" s="40"/>
      <c r="BQ477" s="5"/>
      <c r="BS477" s="40"/>
      <c r="BT477" s="5"/>
      <c r="BV477" s="40"/>
      <c r="BW477" s="5"/>
      <c r="BY477" s="40"/>
      <c r="BZ477" s="5"/>
      <c r="CB477" s="40"/>
      <c r="CC477" s="5"/>
      <c r="CE477" s="40"/>
      <c r="CF477" s="5"/>
      <c r="CH477" s="40"/>
      <c r="CI477" s="5"/>
      <c r="CK477" s="40"/>
      <c r="CL477" s="5"/>
      <c r="CN477" s="40"/>
      <c r="CO477" s="5"/>
      <c r="CQ477" s="40"/>
      <c r="CR477" s="5"/>
    </row>
    <row r="478">
      <c r="AO478" s="40"/>
      <c r="AP478" s="5"/>
      <c r="AR478" s="40"/>
      <c r="AS478" s="5"/>
      <c r="AU478" s="40"/>
      <c r="AV478" s="5"/>
      <c r="AX478" s="40"/>
      <c r="AY478" s="5"/>
      <c r="BA478" s="40"/>
      <c r="BB478" s="5"/>
      <c r="BD478" s="40"/>
      <c r="BE478" s="5"/>
      <c r="BG478" s="40"/>
      <c r="BH478" s="5"/>
      <c r="BJ478" s="40"/>
      <c r="BK478" s="5"/>
      <c r="BM478" s="40"/>
      <c r="BN478" s="5"/>
      <c r="BP478" s="40"/>
      <c r="BQ478" s="5"/>
      <c r="BS478" s="40"/>
      <c r="BT478" s="5"/>
      <c r="BV478" s="40"/>
      <c r="BW478" s="5"/>
      <c r="BY478" s="40"/>
      <c r="BZ478" s="5"/>
      <c r="CB478" s="40"/>
      <c r="CC478" s="5"/>
      <c r="CE478" s="40"/>
      <c r="CF478" s="5"/>
      <c r="CH478" s="40"/>
      <c r="CI478" s="5"/>
      <c r="CK478" s="40"/>
      <c r="CL478" s="5"/>
      <c r="CN478" s="40"/>
      <c r="CO478" s="5"/>
      <c r="CQ478" s="40"/>
      <c r="CR478" s="5"/>
    </row>
    <row r="479">
      <c r="AO479" s="40"/>
      <c r="AP479" s="5"/>
      <c r="AR479" s="40"/>
      <c r="AS479" s="5"/>
      <c r="AU479" s="40"/>
      <c r="AV479" s="5"/>
      <c r="AX479" s="40"/>
      <c r="AY479" s="5"/>
      <c r="BA479" s="40"/>
      <c r="BB479" s="5"/>
      <c r="BD479" s="40"/>
      <c r="BE479" s="5"/>
      <c r="BG479" s="40"/>
      <c r="BH479" s="5"/>
      <c r="BJ479" s="40"/>
      <c r="BK479" s="5"/>
      <c r="BM479" s="40"/>
      <c r="BN479" s="5"/>
      <c r="BP479" s="40"/>
      <c r="BQ479" s="5"/>
      <c r="BS479" s="40"/>
      <c r="BT479" s="5"/>
      <c r="BV479" s="40"/>
      <c r="BW479" s="5"/>
      <c r="BY479" s="40"/>
      <c r="BZ479" s="5"/>
      <c r="CB479" s="40"/>
      <c r="CC479" s="5"/>
      <c r="CE479" s="40"/>
      <c r="CF479" s="5"/>
      <c r="CH479" s="40"/>
      <c r="CI479" s="5"/>
      <c r="CK479" s="40"/>
      <c r="CL479" s="5"/>
      <c r="CN479" s="40"/>
      <c r="CO479" s="5"/>
      <c r="CQ479" s="40"/>
      <c r="CR479" s="5"/>
    </row>
    <row r="480">
      <c r="AO480" s="40"/>
      <c r="AP480" s="5"/>
      <c r="AR480" s="40"/>
      <c r="AS480" s="5"/>
      <c r="AU480" s="40"/>
      <c r="AV480" s="5"/>
      <c r="AX480" s="40"/>
      <c r="AY480" s="5"/>
      <c r="BA480" s="40"/>
      <c r="BB480" s="5"/>
      <c r="BD480" s="40"/>
      <c r="BE480" s="5"/>
      <c r="BG480" s="40"/>
      <c r="BH480" s="5"/>
      <c r="BJ480" s="40"/>
      <c r="BK480" s="5"/>
      <c r="BM480" s="40"/>
      <c r="BN480" s="5"/>
      <c r="BP480" s="40"/>
      <c r="BQ480" s="5"/>
      <c r="BS480" s="40"/>
      <c r="BT480" s="5"/>
      <c r="BV480" s="40"/>
      <c r="BW480" s="5"/>
      <c r="BY480" s="40"/>
      <c r="BZ480" s="5"/>
      <c r="CB480" s="40"/>
      <c r="CC480" s="5"/>
      <c r="CE480" s="40"/>
      <c r="CF480" s="5"/>
      <c r="CH480" s="40"/>
      <c r="CI480" s="5"/>
      <c r="CK480" s="40"/>
      <c r="CL480" s="5"/>
      <c r="CN480" s="40"/>
      <c r="CO480" s="5"/>
      <c r="CQ480" s="40"/>
      <c r="CR480" s="5"/>
    </row>
    <row r="481">
      <c r="AO481" s="40"/>
      <c r="AP481" s="5"/>
      <c r="AR481" s="40"/>
      <c r="AS481" s="5"/>
      <c r="AU481" s="40"/>
      <c r="AV481" s="5"/>
      <c r="AX481" s="40"/>
      <c r="AY481" s="5"/>
      <c r="BA481" s="40"/>
      <c r="BB481" s="5"/>
      <c r="BD481" s="40"/>
      <c r="BE481" s="5"/>
      <c r="BG481" s="40"/>
      <c r="BH481" s="5"/>
      <c r="BJ481" s="40"/>
      <c r="BK481" s="5"/>
      <c r="BM481" s="40"/>
      <c r="BN481" s="5"/>
      <c r="BP481" s="40"/>
      <c r="BQ481" s="5"/>
      <c r="BS481" s="40"/>
      <c r="BT481" s="5"/>
      <c r="BV481" s="40"/>
      <c r="BW481" s="5"/>
      <c r="BY481" s="40"/>
      <c r="BZ481" s="5"/>
      <c r="CB481" s="40"/>
      <c r="CC481" s="5"/>
      <c r="CE481" s="40"/>
      <c r="CF481" s="5"/>
      <c r="CH481" s="40"/>
      <c r="CI481" s="5"/>
      <c r="CK481" s="40"/>
      <c r="CL481" s="5"/>
      <c r="CN481" s="40"/>
      <c r="CO481" s="5"/>
      <c r="CQ481" s="40"/>
      <c r="CR481" s="5"/>
    </row>
    <row r="482">
      <c r="AO482" s="40"/>
      <c r="AP482" s="5"/>
      <c r="AR482" s="40"/>
      <c r="AS482" s="5"/>
      <c r="AU482" s="40"/>
      <c r="AV482" s="5"/>
      <c r="AX482" s="40"/>
      <c r="AY482" s="5"/>
      <c r="BA482" s="40"/>
      <c r="BB482" s="5"/>
      <c r="BD482" s="40"/>
      <c r="BE482" s="5"/>
      <c r="BG482" s="40"/>
      <c r="BH482" s="5"/>
      <c r="BJ482" s="40"/>
      <c r="BK482" s="5"/>
      <c r="BM482" s="40"/>
      <c r="BN482" s="5"/>
      <c r="BP482" s="40"/>
      <c r="BQ482" s="5"/>
      <c r="BS482" s="40"/>
      <c r="BT482" s="5"/>
      <c r="BV482" s="40"/>
      <c r="BW482" s="5"/>
      <c r="BY482" s="40"/>
      <c r="BZ482" s="5"/>
      <c r="CB482" s="40"/>
      <c r="CC482" s="5"/>
      <c r="CE482" s="40"/>
      <c r="CF482" s="5"/>
      <c r="CH482" s="40"/>
      <c r="CI482" s="5"/>
      <c r="CK482" s="40"/>
      <c r="CL482" s="5"/>
      <c r="CN482" s="40"/>
      <c r="CO482" s="5"/>
      <c r="CQ482" s="40"/>
      <c r="CR482" s="5"/>
    </row>
    <row r="483">
      <c r="AO483" s="40"/>
      <c r="AP483" s="5"/>
      <c r="AR483" s="40"/>
      <c r="AS483" s="5"/>
      <c r="AU483" s="40"/>
      <c r="AV483" s="5"/>
      <c r="AX483" s="40"/>
      <c r="AY483" s="5"/>
      <c r="BA483" s="40"/>
      <c r="BB483" s="5"/>
      <c r="BD483" s="40"/>
      <c r="BE483" s="5"/>
      <c r="BG483" s="40"/>
      <c r="BH483" s="5"/>
      <c r="BJ483" s="40"/>
      <c r="BK483" s="5"/>
      <c r="BM483" s="40"/>
      <c r="BN483" s="5"/>
      <c r="BP483" s="40"/>
      <c r="BQ483" s="5"/>
      <c r="BS483" s="40"/>
      <c r="BT483" s="5"/>
      <c r="BV483" s="40"/>
      <c r="BW483" s="5"/>
      <c r="BY483" s="40"/>
      <c r="BZ483" s="5"/>
      <c r="CB483" s="40"/>
      <c r="CC483" s="5"/>
      <c r="CE483" s="40"/>
      <c r="CF483" s="5"/>
      <c r="CH483" s="40"/>
      <c r="CI483" s="5"/>
      <c r="CK483" s="40"/>
      <c r="CL483" s="5"/>
      <c r="CN483" s="40"/>
      <c r="CO483" s="5"/>
      <c r="CQ483" s="40"/>
      <c r="CR483" s="5"/>
    </row>
    <row r="484">
      <c r="AO484" s="40"/>
      <c r="AP484" s="5"/>
      <c r="AR484" s="40"/>
      <c r="AS484" s="5"/>
      <c r="AU484" s="40"/>
      <c r="AV484" s="5"/>
      <c r="AX484" s="40"/>
      <c r="AY484" s="5"/>
      <c r="BA484" s="40"/>
      <c r="BB484" s="5"/>
      <c r="BD484" s="40"/>
      <c r="BE484" s="5"/>
      <c r="BG484" s="40"/>
      <c r="BH484" s="5"/>
      <c r="BJ484" s="40"/>
      <c r="BK484" s="5"/>
      <c r="BM484" s="40"/>
      <c r="BN484" s="5"/>
      <c r="BP484" s="40"/>
      <c r="BQ484" s="5"/>
      <c r="BS484" s="40"/>
      <c r="BT484" s="5"/>
      <c r="BV484" s="40"/>
      <c r="BW484" s="5"/>
      <c r="BY484" s="40"/>
      <c r="BZ484" s="5"/>
      <c r="CB484" s="40"/>
      <c r="CC484" s="5"/>
      <c r="CE484" s="40"/>
      <c r="CF484" s="5"/>
      <c r="CH484" s="40"/>
      <c r="CI484" s="5"/>
      <c r="CK484" s="40"/>
      <c r="CL484" s="5"/>
      <c r="CN484" s="40"/>
      <c r="CO484" s="5"/>
      <c r="CQ484" s="40"/>
      <c r="CR484" s="5"/>
    </row>
    <row r="485">
      <c r="AO485" s="40"/>
      <c r="AP485" s="5"/>
      <c r="AR485" s="40"/>
      <c r="AS485" s="5"/>
      <c r="AU485" s="40"/>
      <c r="AV485" s="5"/>
      <c r="AX485" s="40"/>
      <c r="AY485" s="5"/>
      <c r="BA485" s="40"/>
      <c r="BB485" s="5"/>
      <c r="BD485" s="40"/>
      <c r="BE485" s="5"/>
      <c r="BG485" s="40"/>
      <c r="BH485" s="5"/>
      <c r="BJ485" s="40"/>
      <c r="BK485" s="5"/>
      <c r="BM485" s="40"/>
      <c r="BN485" s="5"/>
      <c r="BP485" s="40"/>
      <c r="BQ485" s="5"/>
      <c r="BS485" s="40"/>
      <c r="BT485" s="5"/>
      <c r="BV485" s="40"/>
      <c r="BW485" s="5"/>
      <c r="BY485" s="40"/>
      <c r="BZ485" s="5"/>
      <c r="CB485" s="40"/>
      <c r="CC485" s="5"/>
      <c r="CE485" s="40"/>
      <c r="CF485" s="5"/>
      <c r="CH485" s="40"/>
      <c r="CI485" s="5"/>
      <c r="CK485" s="40"/>
      <c r="CL485" s="5"/>
      <c r="CN485" s="40"/>
      <c r="CO485" s="5"/>
      <c r="CQ485" s="40"/>
      <c r="CR485" s="5"/>
    </row>
    <row r="486">
      <c r="AO486" s="40"/>
      <c r="AP486" s="5"/>
      <c r="AR486" s="40"/>
      <c r="AS486" s="5"/>
      <c r="AU486" s="40"/>
      <c r="AV486" s="5"/>
      <c r="AX486" s="40"/>
      <c r="AY486" s="5"/>
      <c r="BA486" s="40"/>
      <c r="BB486" s="5"/>
      <c r="BD486" s="40"/>
      <c r="BE486" s="5"/>
      <c r="BG486" s="40"/>
      <c r="BH486" s="5"/>
      <c r="BJ486" s="40"/>
      <c r="BK486" s="5"/>
      <c r="BM486" s="40"/>
      <c r="BN486" s="5"/>
      <c r="BP486" s="40"/>
      <c r="BQ486" s="5"/>
      <c r="BS486" s="40"/>
      <c r="BT486" s="5"/>
      <c r="BV486" s="40"/>
      <c r="BW486" s="5"/>
      <c r="BY486" s="40"/>
      <c r="BZ486" s="5"/>
      <c r="CB486" s="40"/>
      <c r="CC486" s="5"/>
      <c r="CE486" s="40"/>
      <c r="CF486" s="5"/>
      <c r="CH486" s="40"/>
      <c r="CI486" s="5"/>
      <c r="CK486" s="40"/>
      <c r="CL486" s="5"/>
      <c r="CN486" s="40"/>
      <c r="CO486" s="5"/>
      <c r="CQ486" s="40"/>
      <c r="CR486" s="5"/>
    </row>
    <row r="487">
      <c r="AO487" s="40"/>
      <c r="AP487" s="5"/>
      <c r="AR487" s="40"/>
      <c r="AS487" s="5"/>
      <c r="AU487" s="40"/>
      <c r="AV487" s="5"/>
      <c r="AX487" s="40"/>
      <c r="AY487" s="5"/>
      <c r="BA487" s="40"/>
      <c r="BB487" s="5"/>
      <c r="BD487" s="40"/>
      <c r="BE487" s="5"/>
      <c r="BG487" s="40"/>
      <c r="BH487" s="5"/>
      <c r="BJ487" s="40"/>
      <c r="BK487" s="5"/>
      <c r="BM487" s="40"/>
      <c r="BN487" s="5"/>
      <c r="BP487" s="40"/>
      <c r="BQ487" s="5"/>
      <c r="BS487" s="40"/>
      <c r="BT487" s="5"/>
      <c r="BV487" s="40"/>
      <c r="BW487" s="5"/>
      <c r="BY487" s="40"/>
      <c r="BZ487" s="5"/>
      <c r="CB487" s="40"/>
      <c r="CC487" s="5"/>
      <c r="CE487" s="40"/>
      <c r="CF487" s="5"/>
      <c r="CH487" s="40"/>
      <c r="CI487" s="5"/>
      <c r="CK487" s="40"/>
      <c r="CL487" s="5"/>
      <c r="CN487" s="40"/>
      <c r="CO487" s="5"/>
      <c r="CQ487" s="40"/>
      <c r="CR487" s="5"/>
    </row>
    <row r="488">
      <c r="AO488" s="40"/>
      <c r="AP488" s="5"/>
      <c r="AR488" s="40"/>
      <c r="AS488" s="5"/>
      <c r="AU488" s="40"/>
      <c r="AV488" s="5"/>
      <c r="AX488" s="40"/>
      <c r="AY488" s="5"/>
      <c r="BA488" s="40"/>
      <c r="BB488" s="5"/>
      <c r="BD488" s="40"/>
      <c r="BE488" s="5"/>
      <c r="BG488" s="40"/>
      <c r="BH488" s="5"/>
      <c r="BJ488" s="40"/>
      <c r="BK488" s="5"/>
      <c r="BM488" s="40"/>
      <c r="BN488" s="5"/>
      <c r="BP488" s="40"/>
      <c r="BQ488" s="5"/>
      <c r="BS488" s="40"/>
      <c r="BT488" s="5"/>
      <c r="BV488" s="40"/>
      <c r="BW488" s="5"/>
      <c r="BY488" s="40"/>
      <c r="BZ488" s="5"/>
      <c r="CB488" s="40"/>
      <c r="CC488" s="5"/>
      <c r="CE488" s="40"/>
      <c r="CF488" s="5"/>
      <c r="CH488" s="40"/>
      <c r="CI488" s="5"/>
      <c r="CK488" s="40"/>
      <c r="CL488" s="5"/>
      <c r="CN488" s="40"/>
      <c r="CO488" s="5"/>
      <c r="CQ488" s="40"/>
      <c r="CR488" s="5"/>
    </row>
    <row r="489">
      <c r="AO489" s="40"/>
      <c r="AP489" s="5"/>
      <c r="AR489" s="40"/>
      <c r="AS489" s="5"/>
      <c r="AU489" s="40"/>
      <c r="AV489" s="5"/>
      <c r="AX489" s="40"/>
      <c r="AY489" s="5"/>
      <c r="BA489" s="40"/>
      <c r="BB489" s="5"/>
      <c r="BD489" s="40"/>
      <c r="BE489" s="5"/>
      <c r="BG489" s="40"/>
      <c r="BH489" s="5"/>
      <c r="BJ489" s="40"/>
      <c r="BK489" s="5"/>
      <c r="BM489" s="40"/>
      <c r="BN489" s="5"/>
      <c r="BP489" s="40"/>
      <c r="BQ489" s="5"/>
      <c r="BS489" s="40"/>
      <c r="BT489" s="5"/>
      <c r="BV489" s="40"/>
      <c r="BW489" s="5"/>
      <c r="BY489" s="40"/>
      <c r="BZ489" s="5"/>
      <c r="CB489" s="40"/>
      <c r="CC489" s="5"/>
      <c r="CE489" s="40"/>
      <c r="CF489" s="5"/>
      <c r="CH489" s="40"/>
      <c r="CI489" s="5"/>
      <c r="CK489" s="40"/>
      <c r="CL489" s="5"/>
      <c r="CN489" s="40"/>
      <c r="CO489" s="5"/>
      <c r="CQ489" s="40"/>
      <c r="CR489" s="5"/>
    </row>
    <row r="490">
      <c r="AO490" s="40"/>
      <c r="AP490" s="5"/>
      <c r="AR490" s="40"/>
      <c r="AS490" s="5"/>
      <c r="AU490" s="40"/>
      <c r="AV490" s="5"/>
      <c r="AX490" s="40"/>
      <c r="AY490" s="5"/>
      <c r="BA490" s="40"/>
      <c r="BB490" s="5"/>
      <c r="BD490" s="40"/>
      <c r="BE490" s="5"/>
      <c r="BG490" s="40"/>
      <c r="BH490" s="5"/>
      <c r="BJ490" s="40"/>
      <c r="BK490" s="5"/>
      <c r="BM490" s="40"/>
      <c r="BN490" s="5"/>
      <c r="BP490" s="40"/>
      <c r="BQ490" s="5"/>
      <c r="BS490" s="40"/>
      <c r="BT490" s="5"/>
      <c r="BV490" s="40"/>
      <c r="BW490" s="5"/>
      <c r="BY490" s="40"/>
      <c r="BZ490" s="5"/>
      <c r="CB490" s="40"/>
      <c r="CC490" s="5"/>
      <c r="CE490" s="40"/>
      <c r="CF490" s="5"/>
      <c r="CH490" s="40"/>
      <c r="CI490" s="5"/>
      <c r="CK490" s="40"/>
      <c r="CL490" s="5"/>
      <c r="CN490" s="40"/>
      <c r="CO490" s="5"/>
      <c r="CQ490" s="40"/>
      <c r="CR490" s="5"/>
    </row>
    <row r="491">
      <c r="AO491" s="40"/>
      <c r="AP491" s="5"/>
      <c r="AR491" s="40"/>
      <c r="AS491" s="5"/>
      <c r="AU491" s="40"/>
      <c r="AV491" s="5"/>
      <c r="AX491" s="40"/>
      <c r="AY491" s="5"/>
      <c r="BA491" s="40"/>
      <c r="BB491" s="5"/>
      <c r="BD491" s="40"/>
      <c r="BE491" s="5"/>
      <c r="BG491" s="40"/>
      <c r="BH491" s="5"/>
      <c r="BJ491" s="40"/>
      <c r="BK491" s="5"/>
      <c r="BM491" s="40"/>
      <c r="BN491" s="5"/>
      <c r="BP491" s="40"/>
      <c r="BQ491" s="5"/>
      <c r="BS491" s="40"/>
      <c r="BT491" s="5"/>
      <c r="BV491" s="40"/>
      <c r="BW491" s="5"/>
      <c r="BY491" s="40"/>
      <c r="BZ491" s="5"/>
      <c r="CB491" s="40"/>
      <c r="CC491" s="5"/>
      <c r="CE491" s="40"/>
      <c r="CF491" s="5"/>
      <c r="CH491" s="40"/>
      <c r="CI491" s="5"/>
      <c r="CK491" s="40"/>
      <c r="CL491" s="5"/>
      <c r="CN491" s="40"/>
      <c r="CO491" s="5"/>
      <c r="CQ491" s="40"/>
      <c r="CR491" s="5"/>
    </row>
    <row r="492">
      <c r="AO492" s="40"/>
      <c r="AP492" s="5"/>
      <c r="AR492" s="40"/>
      <c r="AS492" s="5"/>
      <c r="AU492" s="40"/>
      <c r="AV492" s="5"/>
      <c r="AX492" s="40"/>
      <c r="AY492" s="5"/>
      <c r="BA492" s="40"/>
      <c r="BB492" s="5"/>
      <c r="BD492" s="40"/>
      <c r="BE492" s="5"/>
      <c r="BG492" s="40"/>
      <c r="BH492" s="5"/>
      <c r="BJ492" s="40"/>
      <c r="BK492" s="5"/>
      <c r="BM492" s="40"/>
      <c r="BN492" s="5"/>
      <c r="BP492" s="40"/>
      <c r="BQ492" s="5"/>
      <c r="BS492" s="40"/>
      <c r="BT492" s="5"/>
      <c r="BV492" s="40"/>
      <c r="BW492" s="5"/>
      <c r="BY492" s="40"/>
      <c r="BZ492" s="5"/>
      <c r="CB492" s="40"/>
      <c r="CC492" s="5"/>
      <c r="CE492" s="40"/>
      <c r="CF492" s="5"/>
      <c r="CH492" s="40"/>
      <c r="CI492" s="5"/>
      <c r="CK492" s="40"/>
      <c r="CL492" s="5"/>
      <c r="CN492" s="40"/>
      <c r="CO492" s="5"/>
      <c r="CQ492" s="40"/>
      <c r="CR492" s="5"/>
    </row>
    <row r="493">
      <c r="AO493" s="40"/>
      <c r="AP493" s="5"/>
      <c r="AR493" s="40"/>
      <c r="AS493" s="5"/>
      <c r="AU493" s="40"/>
      <c r="AV493" s="5"/>
      <c r="AX493" s="40"/>
      <c r="AY493" s="5"/>
      <c r="BA493" s="40"/>
      <c r="BB493" s="5"/>
      <c r="BD493" s="40"/>
      <c r="BE493" s="5"/>
      <c r="BG493" s="40"/>
      <c r="BH493" s="5"/>
      <c r="BJ493" s="40"/>
      <c r="BK493" s="5"/>
      <c r="BM493" s="40"/>
      <c r="BN493" s="5"/>
      <c r="BP493" s="40"/>
      <c r="BQ493" s="5"/>
      <c r="BS493" s="40"/>
      <c r="BT493" s="5"/>
      <c r="BV493" s="40"/>
      <c r="BW493" s="5"/>
      <c r="BY493" s="40"/>
      <c r="BZ493" s="5"/>
      <c r="CB493" s="40"/>
      <c r="CC493" s="5"/>
      <c r="CE493" s="40"/>
      <c r="CF493" s="5"/>
      <c r="CH493" s="40"/>
      <c r="CI493" s="5"/>
      <c r="CK493" s="40"/>
      <c r="CL493" s="5"/>
      <c r="CN493" s="40"/>
      <c r="CO493" s="5"/>
      <c r="CQ493" s="40"/>
      <c r="CR493" s="5"/>
    </row>
    <row r="494">
      <c r="AO494" s="40"/>
      <c r="AP494" s="5"/>
      <c r="AR494" s="40"/>
      <c r="AS494" s="5"/>
      <c r="AU494" s="40"/>
      <c r="AV494" s="5"/>
      <c r="AX494" s="40"/>
      <c r="AY494" s="5"/>
      <c r="BA494" s="40"/>
      <c r="BB494" s="5"/>
      <c r="BD494" s="40"/>
      <c r="BE494" s="5"/>
      <c r="BG494" s="40"/>
      <c r="BH494" s="5"/>
      <c r="BJ494" s="40"/>
      <c r="BK494" s="5"/>
      <c r="BM494" s="40"/>
      <c r="BN494" s="5"/>
      <c r="BP494" s="40"/>
      <c r="BQ494" s="5"/>
      <c r="BS494" s="40"/>
      <c r="BT494" s="5"/>
      <c r="BV494" s="40"/>
      <c r="BW494" s="5"/>
      <c r="BY494" s="40"/>
      <c r="BZ494" s="5"/>
      <c r="CB494" s="40"/>
      <c r="CC494" s="5"/>
      <c r="CE494" s="40"/>
      <c r="CF494" s="5"/>
      <c r="CH494" s="40"/>
      <c r="CI494" s="5"/>
      <c r="CK494" s="40"/>
      <c r="CL494" s="5"/>
      <c r="CN494" s="40"/>
      <c r="CO494" s="5"/>
      <c r="CQ494" s="40"/>
      <c r="CR494" s="5"/>
    </row>
    <row r="495">
      <c r="AO495" s="40"/>
      <c r="AP495" s="5"/>
      <c r="AR495" s="40"/>
      <c r="AS495" s="5"/>
      <c r="AU495" s="40"/>
      <c r="AV495" s="5"/>
      <c r="AX495" s="40"/>
      <c r="AY495" s="5"/>
      <c r="BA495" s="40"/>
      <c r="BB495" s="5"/>
      <c r="BD495" s="40"/>
      <c r="BE495" s="5"/>
      <c r="BG495" s="40"/>
      <c r="BH495" s="5"/>
      <c r="BJ495" s="40"/>
      <c r="BK495" s="5"/>
      <c r="BM495" s="40"/>
      <c r="BN495" s="5"/>
      <c r="BP495" s="40"/>
      <c r="BQ495" s="5"/>
      <c r="BS495" s="40"/>
      <c r="BT495" s="5"/>
      <c r="BV495" s="40"/>
      <c r="BW495" s="5"/>
      <c r="BY495" s="40"/>
      <c r="BZ495" s="5"/>
      <c r="CB495" s="40"/>
      <c r="CC495" s="5"/>
      <c r="CE495" s="40"/>
      <c r="CF495" s="5"/>
      <c r="CH495" s="40"/>
      <c r="CI495" s="5"/>
      <c r="CK495" s="40"/>
      <c r="CL495" s="5"/>
      <c r="CN495" s="40"/>
      <c r="CO495" s="5"/>
      <c r="CQ495" s="40"/>
      <c r="CR495" s="5"/>
    </row>
    <row r="496">
      <c r="AO496" s="40"/>
      <c r="AP496" s="5"/>
      <c r="AR496" s="40"/>
      <c r="AS496" s="5"/>
      <c r="AU496" s="40"/>
      <c r="AV496" s="5"/>
      <c r="AX496" s="40"/>
      <c r="AY496" s="5"/>
      <c r="BA496" s="40"/>
      <c r="BB496" s="5"/>
      <c r="BD496" s="40"/>
      <c r="BE496" s="5"/>
      <c r="BG496" s="40"/>
      <c r="BH496" s="5"/>
      <c r="BJ496" s="40"/>
      <c r="BK496" s="5"/>
      <c r="BM496" s="40"/>
      <c r="BN496" s="5"/>
      <c r="BP496" s="40"/>
      <c r="BQ496" s="5"/>
      <c r="BS496" s="40"/>
      <c r="BT496" s="5"/>
      <c r="BV496" s="40"/>
      <c r="BW496" s="5"/>
      <c r="BY496" s="40"/>
      <c r="BZ496" s="5"/>
      <c r="CB496" s="40"/>
      <c r="CC496" s="5"/>
      <c r="CE496" s="40"/>
      <c r="CF496" s="5"/>
      <c r="CH496" s="40"/>
      <c r="CI496" s="5"/>
      <c r="CK496" s="40"/>
      <c r="CL496" s="5"/>
      <c r="CN496" s="40"/>
      <c r="CO496" s="5"/>
      <c r="CQ496" s="40"/>
      <c r="CR496" s="5"/>
    </row>
    <row r="497">
      <c r="AO497" s="40"/>
      <c r="AP497" s="5"/>
      <c r="AR497" s="40"/>
      <c r="AS497" s="5"/>
      <c r="AU497" s="40"/>
      <c r="AV497" s="5"/>
      <c r="AX497" s="40"/>
      <c r="AY497" s="5"/>
      <c r="BA497" s="40"/>
      <c r="BB497" s="5"/>
      <c r="BD497" s="40"/>
      <c r="BE497" s="5"/>
      <c r="BG497" s="40"/>
      <c r="BH497" s="5"/>
      <c r="BJ497" s="40"/>
      <c r="BK497" s="5"/>
      <c r="BM497" s="40"/>
      <c r="BN497" s="5"/>
      <c r="BP497" s="40"/>
      <c r="BQ497" s="5"/>
      <c r="BS497" s="40"/>
      <c r="BT497" s="5"/>
      <c r="BV497" s="40"/>
      <c r="BW497" s="5"/>
      <c r="BY497" s="40"/>
      <c r="BZ497" s="5"/>
      <c r="CB497" s="40"/>
      <c r="CC497" s="5"/>
      <c r="CE497" s="40"/>
      <c r="CF497" s="5"/>
      <c r="CH497" s="40"/>
      <c r="CI497" s="5"/>
      <c r="CK497" s="40"/>
      <c r="CL497" s="5"/>
      <c r="CN497" s="40"/>
      <c r="CO497" s="5"/>
      <c r="CQ497" s="40"/>
      <c r="CR497" s="5"/>
    </row>
    <row r="498">
      <c r="AO498" s="40"/>
      <c r="AP498" s="5"/>
      <c r="AR498" s="40"/>
      <c r="AS498" s="5"/>
      <c r="AU498" s="40"/>
      <c r="AV498" s="5"/>
      <c r="AX498" s="40"/>
      <c r="AY498" s="5"/>
      <c r="BA498" s="40"/>
      <c r="BB498" s="5"/>
      <c r="BD498" s="40"/>
      <c r="BE498" s="5"/>
      <c r="BG498" s="40"/>
      <c r="BH498" s="5"/>
      <c r="BJ498" s="40"/>
      <c r="BK498" s="5"/>
      <c r="BM498" s="40"/>
      <c r="BN498" s="5"/>
      <c r="BP498" s="40"/>
      <c r="BQ498" s="5"/>
      <c r="BS498" s="40"/>
      <c r="BT498" s="5"/>
      <c r="BV498" s="40"/>
      <c r="BW498" s="5"/>
      <c r="BY498" s="40"/>
      <c r="BZ498" s="5"/>
      <c r="CB498" s="40"/>
      <c r="CC498" s="5"/>
      <c r="CE498" s="40"/>
      <c r="CF498" s="5"/>
      <c r="CH498" s="40"/>
      <c r="CI498" s="5"/>
      <c r="CK498" s="40"/>
      <c r="CL498" s="5"/>
      <c r="CN498" s="40"/>
      <c r="CO498" s="5"/>
      <c r="CQ498" s="40"/>
      <c r="CR498" s="5"/>
    </row>
    <row r="499">
      <c r="AO499" s="40"/>
      <c r="AP499" s="5"/>
      <c r="AR499" s="40"/>
      <c r="AS499" s="5"/>
      <c r="AU499" s="40"/>
      <c r="AV499" s="5"/>
      <c r="AX499" s="40"/>
      <c r="AY499" s="5"/>
      <c r="BA499" s="40"/>
      <c r="BB499" s="5"/>
      <c r="BD499" s="40"/>
      <c r="BE499" s="5"/>
      <c r="BG499" s="40"/>
      <c r="BH499" s="5"/>
      <c r="BJ499" s="40"/>
      <c r="BK499" s="5"/>
      <c r="BM499" s="40"/>
      <c r="BN499" s="5"/>
      <c r="BP499" s="40"/>
      <c r="BQ499" s="5"/>
      <c r="BS499" s="40"/>
      <c r="BT499" s="5"/>
      <c r="BV499" s="40"/>
      <c r="BW499" s="5"/>
      <c r="BY499" s="40"/>
      <c r="BZ499" s="5"/>
      <c r="CB499" s="40"/>
      <c r="CC499" s="5"/>
      <c r="CE499" s="40"/>
      <c r="CF499" s="5"/>
      <c r="CH499" s="40"/>
      <c r="CI499" s="5"/>
      <c r="CK499" s="40"/>
      <c r="CL499" s="5"/>
      <c r="CN499" s="40"/>
      <c r="CO499" s="5"/>
      <c r="CQ499" s="40"/>
      <c r="CR499" s="5"/>
    </row>
    <row r="500">
      <c r="AO500" s="40"/>
      <c r="AP500" s="5"/>
      <c r="AR500" s="40"/>
      <c r="AS500" s="5"/>
      <c r="AU500" s="40"/>
      <c r="AV500" s="5"/>
      <c r="AX500" s="40"/>
      <c r="AY500" s="5"/>
      <c r="BA500" s="40"/>
      <c r="BB500" s="5"/>
      <c r="BD500" s="40"/>
      <c r="BE500" s="5"/>
      <c r="BG500" s="40"/>
      <c r="BH500" s="5"/>
      <c r="BJ500" s="40"/>
      <c r="BK500" s="5"/>
      <c r="BM500" s="40"/>
      <c r="BN500" s="5"/>
      <c r="BP500" s="40"/>
      <c r="BQ500" s="5"/>
      <c r="BS500" s="40"/>
      <c r="BT500" s="5"/>
      <c r="BV500" s="40"/>
      <c r="BW500" s="5"/>
      <c r="BY500" s="40"/>
      <c r="BZ500" s="5"/>
      <c r="CB500" s="40"/>
      <c r="CC500" s="5"/>
      <c r="CE500" s="40"/>
      <c r="CF500" s="5"/>
      <c r="CH500" s="40"/>
      <c r="CI500" s="5"/>
      <c r="CK500" s="40"/>
      <c r="CL500" s="5"/>
      <c r="CN500" s="40"/>
      <c r="CO500" s="5"/>
      <c r="CQ500" s="40"/>
      <c r="CR500" s="5"/>
    </row>
    <row r="501">
      <c r="AO501" s="40"/>
      <c r="AP501" s="5"/>
      <c r="AR501" s="40"/>
      <c r="AS501" s="5"/>
      <c r="AU501" s="40"/>
      <c r="AV501" s="5"/>
      <c r="AX501" s="40"/>
      <c r="AY501" s="5"/>
      <c r="BA501" s="40"/>
      <c r="BB501" s="5"/>
      <c r="BD501" s="40"/>
      <c r="BE501" s="5"/>
      <c r="BG501" s="40"/>
      <c r="BH501" s="5"/>
      <c r="BJ501" s="40"/>
      <c r="BK501" s="5"/>
      <c r="BM501" s="40"/>
      <c r="BN501" s="5"/>
      <c r="BP501" s="40"/>
      <c r="BQ501" s="5"/>
      <c r="BS501" s="40"/>
      <c r="BT501" s="5"/>
      <c r="BV501" s="40"/>
      <c r="BW501" s="5"/>
      <c r="BY501" s="40"/>
      <c r="BZ501" s="5"/>
      <c r="CB501" s="40"/>
      <c r="CC501" s="5"/>
      <c r="CE501" s="40"/>
      <c r="CF501" s="5"/>
      <c r="CH501" s="40"/>
      <c r="CI501" s="5"/>
      <c r="CK501" s="40"/>
      <c r="CL501" s="5"/>
      <c r="CN501" s="40"/>
      <c r="CO501" s="5"/>
      <c r="CQ501" s="40"/>
      <c r="CR501" s="5"/>
    </row>
    <row r="502">
      <c r="AO502" s="40"/>
      <c r="AP502" s="5"/>
      <c r="AR502" s="40"/>
      <c r="AS502" s="5"/>
      <c r="AU502" s="40"/>
      <c r="AV502" s="5"/>
      <c r="AX502" s="40"/>
      <c r="AY502" s="5"/>
      <c r="BA502" s="40"/>
      <c r="BB502" s="5"/>
      <c r="BD502" s="40"/>
      <c r="BE502" s="5"/>
      <c r="BG502" s="40"/>
      <c r="BH502" s="5"/>
      <c r="BJ502" s="40"/>
      <c r="BK502" s="5"/>
      <c r="BM502" s="40"/>
      <c r="BN502" s="5"/>
      <c r="BP502" s="40"/>
      <c r="BQ502" s="5"/>
      <c r="BS502" s="40"/>
      <c r="BT502" s="5"/>
      <c r="BV502" s="40"/>
      <c r="BW502" s="5"/>
      <c r="BY502" s="40"/>
      <c r="BZ502" s="5"/>
      <c r="CB502" s="40"/>
      <c r="CC502" s="5"/>
      <c r="CE502" s="40"/>
      <c r="CF502" s="5"/>
      <c r="CH502" s="40"/>
      <c r="CI502" s="5"/>
      <c r="CK502" s="40"/>
      <c r="CL502" s="5"/>
      <c r="CN502" s="40"/>
      <c r="CO502" s="5"/>
      <c r="CQ502" s="40"/>
      <c r="CR502" s="5"/>
    </row>
    <row r="503">
      <c r="AO503" s="40"/>
      <c r="AP503" s="5"/>
      <c r="AR503" s="40"/>
      <c r="AS503" s="5"/>
      <c r="AU503" s="40"/>
      <c r="AV503" s="5"/>
      <c r="AX503" s="40"/>
      <c r="AY503" s="5"/>
      <c r="BA503" s="40"/>
      <c r="BB503" s="5"/>
      <c r="BD503" s="40"/>
      <c r="BE503" s="5"/>
      <c r="BG503" s="40"/>
      <c r="BH503" s="5"/>
      <c r="BJ503" s="40"/>
      <c r="BK503" s="5"/>
      <c r="BM503" s="40"/>
      <c r="BN503" s="5"/>
      <c r="BP503" s="40"/>
      <c r="BQ503" s="5"/>
      <c r="BS503" s="40"/>
      <c r="BT503" s="5"/>
      <c r="BV503" s="40"/>
      <c r="BW503" s="5"/>
      <c r="BY503" s="40"/>
      <c r="BZ503" s="5"/>
      <c r="CB503" s="40"/>
      <c r="CC503" s="5"/>
      <c r="CE503" s="40"/>
      <c r="CF503" s="5"/>
      <c r="CH503" s="40"/>
      <c r="CI503" s="5"/>
      <c r="CK503" s="40"/>
      <c r="CL503" s="5"/>
      <c r="CN503" s="40"/>
      <c r="CO503" s="5"/>
      <c r="CQ503" s="40"/>
      <c r="CR503" s="5"/>
    </row>
    <row r="504">
      <c r="AO504" s="40"/>
      <c r="AP504" s="5"/>
      <c r="AR504" s="40"/>
      <c r="AS504" s="5"/>
      <c r="AU504" s="40"/>
      <c r="AV504" s="5"/>
      <c r="AX504" s="40"/>
      <c r="AY504" s="5"/>
      <c r="BA504" s="40"/>
      <c r="BB504" s="5"/>
      <c r="BD504" s="40"/>
      <c r="BE504" s="5"/>
      <c r="BG504" s="40"/>
      <c r="BH504" s="5"/>
      <c r="BJ504" s="40"/>
      <c r="BK504" s="5"/>
      <c r="BM504" s="40"/>
      <c r="BN504" s="5"/>
      <c r="BP504" s="40"/>
      <c r="BQ504" s="5"/>
      <c r="BS504" s="40"/>
      <c r="BT504" s="5"/>
      <c r="BV504" s="40"/>
      <c r="BW504" s="5"/>
      <c r="BY504" s="40"/>
      <c r="BZ504" s="5"/>
      <c r="CB504" s="40"/>
      <c r="CC504" s="5"/>
      <c r="CE504" s="40"/>
      <c r="CF504" s="5"/>
      <c r="CH504" s="40"/>
      <c r="CI504" s="5"/>
      <c r="CK504" s="40"/>
      <c r="CL504" s="5"/>
      <c r="CN504" s="40"/>
      <c r="CO504" s="5"/>
      <c r="CQ504" s="40"/>
      <c r="CR504" s="5"/>
    </row>
    <row r="505">
      <c r="AO505" s="40"/>
      <c r="AP505" s="5"/>
      <c r="AR505" s="40"/>
      <c r="AS505" s="5"/>
      <c r="AU505" s="40"/>
      <c r="AV505" s="5"/>
      <c r="AX505" s="40"/>
      <c r="AY505" s="5"/>
      <c r="BA505" s="40"/>
      <c r="BB505" s="5"/>
      <c r="BD505" s="40"/>
      <c r="BE505" s="5"/>
      <c r="BG505" s="40"/>
      <c r="BH505" s="5"/>
      <c r="BJ505" s="40"/>
      <c r="BK505" s="5"/>
      <c r="BM505" s="40"/>
      <c r="BN505" s="5"/>
      <c r="BP505" s="40"/>
      <c r="BQ505" s="5"/>
      <c r="BS505" s="40"/>
      <c r="BT505" s="5"/>
      <c r="BV505" s="40"/>
      <c r="BW505" s="5"/>
      <c r="BY505" s="40"/>
      <c r="BZ505" s="5"/>
      <c r="CB505" s="40"/>
      <c r="CC505" s="5"/>
      <c r="CE505" s="40"/>
      <c r="CF505" s="5"/>
      <c r="CH505" s="40"/>
      <c r="CI505" s="5"/>
      <c r="CK505" s="40"/>
      <c r="CL505" s="5"/>
      <c r="CN505" s="40"/>
      <c r="CO505" s="5"/>
      <c r="CQ505" s="40"/>
      <c r="CR505" s="5"/>
    </row>
    <row r="506">
      <c r="AO506" s="40"/>
      <c r="AP506" s="5"/>
      <c r="AR506" s="40"/>
      <c r="AS506" s="5"/>
      <c r="AU506" s="40"/>
      <c r="AV506" s="5"/>
      <c r="AX506" s="40"/>
      <c r="AY506" s="5"/>
      <c r="BA506" s="40"/>
      <c r="BB506" s="5"/>
      <c r="BD506" s="40"/>
      <c r="BE506" s="5"/>
      <c r="BG506" s="40"/>
      <c r="BH506" s="5"/>
      <c r="BJ506" s="40"/>
      <c r="BK506" s="5"/>
      <c r="BM506" s="40"/>
      <c r="BN506" s="5"/>
      <c r="BP506" s="40"/>
      <c r="BQ506" s="5"/>
      <c r="BS506" s="40"/>
      <c r="BT506" s="5"/>
      <c r="BV506" s="40"/>
      <c r="BW506" s="5"/>
      <c r="BY506" s="40"/>
      <c r="BZ506" s="5"/>
      <c r="CB506" s="40"/>
      <c r="CC506" s="5"/>
      <c r="CE506" s="40"/>
      <c r="CF506" s="5"/>
      <c r="CH506" s="40"/>
      <c r="CI506" s="5"/>
      <c r="CK506" s="40"/>
      <c r="CL506" s="5"/>
      <c r="CN506" s="40"/>
      <c r="CO506" s="5"/>
      <c r="CQ506" s="40"/>
      <c r="CR506" s="5"/>
    </row>
    <row r="507">
      <c r="AO507" s="40"/>
      <c r="AP507" s="5"/>
      <c r="AR507" s="40"/>
      <c r="AS507" s="5"/>
      <c r="AU507" s="40"/>
      <c r="AV507" s="5"/>
      <c r="AX507" s="40"/>
      <c r="AY507" s="5"/>
      <c r="BA507" s="40"/>
      <c r="BB507" s="5"/>
      <c r="BD507" s="40"/>
      <c r="BE507" s="5"/>
      <c r="BG507" s="40"/>
      <c r="BH507" s="5"/>
      <c r="BJ507" s="40"/>
      <c r="BK507" s="5"/>
      <c r="BM507" s="40"/>
      <c r="BN507" s="5"/>
      <c r="BP507" s="40"/>
      <c r="BQ507" s="5"/>
      <c r="BS507" s="40"/>
      <c r="BT507" s="5"/>
      <c r="BV507" s="40"/>
      <c r="BW507" s="5"/>
      <c r="BY507" s="40"/>
      <c r="BZ507" s="5"/>
      <c r="CB507" s="40"/>
      <c r="CC507" s="5"/>
      <c r="CE507" s="40"/>
      <c r="CF507" s="5"/>
      <c r="CH507" s="40"/>
      <c r="CI507" s="5"/>
      <c r="CK507" s="40"/>
      <c r="CL507" s="5"/>
      <c r="CN507" s="40"/>
      <c r="CO507" s="5"/>
      <c r="CQ507" s="40"/>
      <c r="CR507" s="5"/>
    </row>
    <row r="508">
      <c r="AO508" s="40"/>
      <c r="AP508" s="5"/>
      <c r="AR508" s="40"/>
      <c r="AS508" s="5"/>
      <c r="AU508" s="40"/>
      <c r="AV508" s="5"/>
      <c r="AX508" s="40"/>
      <c r="AY508" s="5"/>
      <c r="BA508" s="40"/>
      <c r="BB508" s="5"/>
      <c r="BD508" s="40"/>
      <c r="BE508" s="5"/>
      <c r="BG508" s="40"/>
      <c r="BH508" s="5"/>
      <c r="BJ508" s="40"/>
      <c r="BK508" s="5"/>
      <c r="BM508" s="40"/>
      <c r="BN508" s="5"/>
      <c r="BP508" s="40"/>
      <c r="BQ508" s="5"/>
      <c r="BS508" s="40"/>
      <c r="BT508" s="5"/>
      <c r="BV508" s="40"/>
      <c r="BW508" s="5"/>
      <c r="BY508" s="40"/>
      <c r="BZ508" s="5"/>
      <c r="CB508" s="40"/>
      <c r="CC508" s="5"/>
      <c r="CE508" s="40"/>
      <c r="CF508" s="5"/>
      <c r="CH508" s="40"/>
      <c r="CI508" s="5"/>
      <c r="CK508" s="40"/>
      <c r="CL508" s="5"/>
      <c r="CN508" s="40"/>
      <c r="CO508" s="5"/>
      <c r="CQ508" s="40"/>
      <c r="CR508" s="5"/>
    </row>
    <row r="509">
      <c r="AO509" s="40"/>
      <c r="AP509" s="5"/>
      <c r="AR509" s="40"/>
      <c r="AS509" s="5"/>
      <c r="AU509" s="40"/>
      <c r="AV509" s="5"/>
      <c r="AX509" s="40"/>
      <c r="AY509" s="5"/>
      <c r="BA509" s="40"/>
      <c r="BB509" s="5"/>
      <c r="BD509" s="40"/>
      <c r="BE509" s="5"/>
      <c r="BG509" s="40"/>
      <c r="BH509" s="5"/>
      <c r="BJ509" s="40"/>
      <c r="BK509" s="5"/>
      <c r="BM509" s="40"/>
      <c r="BN509" s="5"/>
      <c r="BP509" s="40"/>
      <c r="BQ509" s="5"/>
      <c r="BS509" s="40"/>
      <c r="BT509" s="5"/>
      <c r="BV509" s="40"/>
      <c r="BW509" s="5"/>
      <c r="BY509" s="40"/>
      <c r="BZ509" s="5"/>
      <c r="CB509" s="40"/>
      <c r="CC509" s="5"/>
      <c r="CE509" s="40"/>
      <c r="CF509" s="5"/>
      <c r="CH509" s="40"/>
      <c r="CI509" s="5"/>
      <c r="CK509" s="40"/>
      <c r="CL509" s="5"/>
      <c r="CN509" s="40"/>
      <c r="CO509" s="5"/>
      <c r="CQ509" s="40"/>
      <c r="CR509" s="5"/>
    </row>
    <row r="510">
      <c r="AO510" s="40"/>
      <c r="AP510" s="5"/>
      <c r="AR510" s="40"/>
      <c r="AS510" s="5"/>
      <c r="AU510" s="40"/>
      <c r="AV510" s="5"/>
      <c r="AX510" s="40"/>
      <c r="AY510" s="5"/>
      <c r="BA510" s="40"/>
      <c r="BB510" s="5"/>
      <c r="BD510" s="40"/>
      <c r="BE510" s="5"/>
      <c r="BG510" s="40"/>
      <c r="BH510" s="5"/>
      <c r="BJ510" s="40"/>
      <c r="BK510" s="5"/>
      <c r="BM510" s="40"/>
      <c r="BN510" s="5"/>
      <c r="BP510" s="40"/>
      <c r="BQ510" s="5"/>
      <c r="BS510" s="40"/>
      <c r="BT510" s="5"/>
      <c r="BV510" s="40"/>
      <c r="BW510" s="5"/>
      <c r="BY510" s="40"/>
      <c r="BZ510" s="5"/>
      <c r="CB510" s="40"/>
      <c r="CC510" s="5"/>
      <c r="CE510" s="40"/>
      <c r="CF510" s="5"/>
      <c r="CH510" s="40"/>
      <c r="CI510" s="5"/>
      <c r="CK510" s="40"/>
      <c r="CL510" s="5"/>
      <c r="CN510" s="40"/>
      <c r="CO510" s="5"/>
      <c r="CQ510" s="40"/>
      <c r="CR510" s="5"/>
    </row>
    <row r="511">
      <c r="AO511" s="40"/>
      <c r="AP511" s="5"/>
      <c r="AR511" s="40"/>
      <c r="AS511" s="5"/>
      <c r="AU511" s="40"/>
      <c r="AV511" s="5"/>
      <c r="AX511" s="40"/>
      <c r="AY511" s="5"/>
      <c r="BA511" s="40"/>
      <c r="BB511" s="5"/>
      <c r="BD511" s="40"/>
      <c r="BE511" s="5"/>
      <c r="BG511" s="40"/>
      <c r="BH511" s="5"/>
      <c r="BJ511" s="40"/>
      <c r="BK511" s="5"/>
      <c r="BM511" s="40"/>
      <c r="BN511" s="5"/>
      <c r="BP511" s="40"/>
      <c r="BQ511" s="5"/>
      <c r="BS511" s="40"/>
      <c r="BT511" s="5"/>
      <c r="BV511" s="40"/>
      <c r="BW511" s="5"/>
      <c r="BY511" s="40"/>
      <c r="BZ511" s="5"/>
      <c r="CB511" s="40"/>
      <c r="CC511" s="5"/>
      <c r="CE511" s="40"/>
      <c r="CF511" s="5"/>
      <c r="CH511" s="40"/>
      <c r="CI511" s="5"/>
      <c r="CK511" s="40"/>
      <c r="CL511" s="5"/>
      <c r="CN511" s="40"/>
      <c r="CO511" s="5"/>
      <c r="CQ511" s="40"/>
      <c r="CR511" s="5"/>
    </row>
    <row r="512">
      <c r="AO512" s="40"/>
      <c r="AP512" s="5"/>
      <c r="AR512" s="40"/>
      <c r="AS512" s="5"/>
      <c r="AU512" s="40"/>
      <c r="AV512" s="5"/>
      <c r="AX512" s="40"/>
      <c r="AY512" s="5"/>
      <c r="BA512" s="40"/>
      <c r="BB512" s="5"/>
      <c r="BD512" s="40"/>
      <c r="BE512" s="5"/>
      <c r="BG512" s="40"/>
      <c r="BH512" s="5"/>
      <c r="BJ512" s="40"/>
      <c r="BK512" s="5"/>
      <c r="BM512" s="40"/>
      <c r="BN512" s="5"/>
      <c r="BP512" s="40"/>
      <c r="BQ512" s="5"/>
      <c r="BS512" s="40"/>
      <c r="BT512" s="5"/>
      <c r="BV512" s="40"/>
      <c r="BW512" s="5"/>
      <c r="BY512" s="40"/>
      <c r="BZ512" s="5"/>
      <c r="CB512" s="40"/>
      <c r="CC512" s="5"/>
      <c r="CE512" s="40"/>
      <c r="CF512" s="5"/>
      <c r="CH512" s="40"/>
      <c r="CI512" s="5"/>
      <c r="CK512" s="40"/>
      <c r="CL512" s="5"/>
      <c r="CN512" s="40"/>
      <c r="CO512" s="5"/>
      <c r="CQ512" s="40"/>
      <c r="CR512" s="5"/>
    </row>
    <row r="513">
      <c r="AO513" s="40"/>
      <c r="AP513" s="5"/>
      <c r="AR513" s="40"/>
      <c r="AS513" s="5"/>
      <c r="AU513" s="40"/>
      <c r="AV513" s="5"/>
      <c r="AX513" s="40"/>
      <c r="AY513" s="5"/>
      <c r="BA513" s="40"/>
      <c r="BB513" s="5"/>
      <c r="BD513" s="40"/>
      <c r="BE513" s="5"/>
      <c r="BG513" s="40"/>
      <c r="BH513" s="5"/>
      <c r="BJ513" s="40"/>
      <c r="BK513" s="5"/>
      <c r="BM513" s="40"/>
      <c r="BN513" s="5"/>
      <c r="BP513" s="40"/>
      <c r="BQ513" s="5"/>
      <c r="BS513" s="40"/>
      <c r="BT513" s="5"/>
      <c r="BV513" s="40"/>
      <c r="BW513" s="5"/>
      <c r="BY513" s="40"/>
      <c r="BZ513" s="5"/>
      <c r="CB513" s="40"/>
      <c r="CC513" s="5"/>
      <c r="CE513" s="40"/>
      <c r="CF513" s="5"/>
      <c r="CH513" s="40"/>
      <c r="CI513" s="5"/>
      <c r="CK513" s="40"/>
      <c r="CL513" s="5"/>
      <c r="CN513" s="40"/>
      <c r="CO513" s="5"/>
      <c r="CQ513" s="40"/>
      <c r="CR513" s="5"/>
    </row>
    <row r="514">
      <c r="AO514" s="40"/>
      <c r="AP514" s="5"/>
      <c r="AR514" s="40"/>
      <c r="AS514" s="5"/>
      <c r="AU514" s="40"/>
      <c r="AV514" s="5"/>
      <c r="AX514" s="40"/>
      <c r="AY514" s="5"/>
      <c r="BA514" s="40"/>
      <c r="BB514" s="5"/>
      <c r="BD514" s="40"/>
      <c r="BE514" s="5"/>
      <c r="BG514" s="40"/>
      <c r="BH514" s="5"/>
      <c r="BJ514" s="40"/>
      <c r="BK514" s="5"/>
      <c r="BM514" s="40"/>
      <c r="BN514" s="5"/>
      <c r="BP514" s="40"/>
      <c r="BQ514" s="5"/>
      <c r="BS514" s="40"/>
      <c r="BT514" s="5"/>
      <c r="BV514" s="40"/>
      <c r="BW514" s="5"/>
      <c r="BY514" s="40"/>
      <c r="BZ514" s="5"/>
      <c r="CB514" s="40"/>
      <c r="CC514" s="5"/>
      <c r="CE514" s="40"/>
      <c r="CF514" s="5"/>
      <c r="CH514" s="40"/>
      <c r="CI514" s="5"/>
      <c r="CK514" s="40"/>
      <c r="CL514" s="5"/>
      <c r="CN514" s="40"/>
      <c r="CO514" s="5"/>
      <c r="CQ514" s="40"/>
      <c r="CR514" s="5"/>
    </row>
    <row r="515">
      <c r="AO515" s="40"/>
      <c r="AP515" s="5"/>
      <c r="AR515" s="40"/>
      <c r="AS515" s="5"/>
      <c r="AU515" s="40"/>
      <c r="AV515" s="5"/>
      <c r="AX515" s="40"/>
      <c r="AY515" s="5"/>
      <c r="BA515" s="40"/>
      <c r="BB515" s="5"/>
      <c r="BD515" s="40"/>
      <c r="BE515" s="5"/>
      <c r="BG515" s="40"/>
      <c r="BH515" s="5"/>
      <c r="BJ515" s="40"/>
      <c r="BK515" s="5"/>
      <c r="BM515" s="40"/>
      <c r="BN515" s="5"/>
      <c r="BP515" s="40"/>
      <c r="BQ515" s="5"/>
      <c r="BS515" s="40"/>
      <c r="BT515" s="5"/>
      <c r="BV515" s="40"/>
      <c r="BW515" s="5"/>
      <c r="BY515" s="40"/>
      <c r="BZ515" s="5"/>
      <c r="CB515" s="40"/>
      <c r="CC515" s="5"/>
      <c r="CE515" s="40"/>
      <c r="CF515" s="5"/>
      <c r="CH515" s="40"/>
      <c r="CI515" s="5"/>
      <c r="CK515" s="40"/>
      <c r="CL515" s="5"/>
      <c r="CN515" s="40"/>
      <c r="CO515" s="5"/>
      <c r="CQ515" s="40"/>
      <c r="CR515" s="5"/>
    </row>
    <row r="516">
      <c r="AO516" s="40"/>
      <c r="AP516" s="5"/>
      <c r="AR516" s="40"/>
      <c r="AS516" s="5"/>
      <c r="AU516" s="40"/>
      <c r="AV516" s="5"/>
      <c r="AX516" s="40"/>
      <c r="AY516" s="5"/>
      <c r="BA516" s="40"/>
      <c r="BB516" s="5"/>
      <c r="BD516" s="40"/>
      <c r="BE516" s="5"/>
      <c r="BG516" s="40"/>
      <c r="BH516" s="5"/>
      <c r="BJ516" s="40"/>
      <c r="BK516" s="5"/>
      <c r="BM516" s="40"/>
      <c r="BN516" s="5"/>
      <c r="BP516" s="40"/>
      <c r="BQ516" s="5"/>
      <c r="BS516" s="40"/>
      <c r="BT516" s="5"/>
      <c r="BV516" s="40"/>
      <c r="BW516" s="5"/>
      <c r="BY516" s="40"/>
      <c r="BZ516" s="5"/>
      <c r="CB516" s="40"/>
      <c r="CC516" s="5"/>
      <c r="CE516" s="40"/>
      <c r="CF516" s="5"/>
      <c r="CH516" s="40"/>
      <c r="CI516" s="5"/>
      <c r="CK516" s="40"/>
      <c r="CL516" s="5"/>
      <c r="CN516" s="40"/>
      <c r="CO516" s="5"/>
      <c r="CQ516" s="40"/>
      <c r="CR516" s="5"/>
    </row>
    <row r="517">
      <c r="AO517" s="40"/>
      <c r="AP517" s="5"/>
      <c r="AR517" s="40"/>
      <c r="AS517" s="5"/>
      <c r="AU517" s="40"/>
      <c r="AV517" s="5"/>
      <c r="AX517" s="40"/>
      <c r="AY517" s="5"/>
      <c r="BA517" s="40"/>
      <c r="BB517" s="5"/>
      <c r="BD517" s="40"/>
      <c r="BE517" s="5"/>
      <c r="BG517" s="40"/>
      <c r="BH517" s="5"/>
      <c r="BJ517" s="40"/>
      <c r="BK517" s="5"/>
      <c r="BM517" s="40"/>
      <c r="BN517" s="5"/>
      <c r="BP517" s="40"/>
      <c r="BQ517" s="5"/>
      <c r="BS517" s="40"/>
      <c r="BT517" s="5"/>
      <c r="BV517" s="40"/>
      <c r="BW517" s="5"/>
      <c r="BY517" s="40"/>
      <c r="BZ517" s="5"/>
      <c r="CB517" s="40"/>
      <c r="CC517" s="5"/>
      <c r="CE517" s="40"/>
      <c r="CF517" s="5"/>
      <c r="CH517" s="40"/>
      <c r="CI517" s="5"/>
      <c r="CK517" s="40"/>
      <c r="CL517" s="5"/>
      <c r="CN517" s="40"/>
      <c r="CO517" s="5"/>
      <c r="CQ517" s="40"/>
      <c r="CR517" s="5"/>
    </row>
    <row r="518">
      <c r="AO518" s="40"/>
      <c r="AP518" s="5"/>
      <c r="AR518" s="40"/>
      <c r="AS518" s="5"/>
      <c r="AU518" s="40"/>
      <c r="AV518" s="5"/>
      <c r="AX518" s="40"/>
      <c r="AY518" s="5"/>
      <c r="BA518" s="40"/>
      <c r="BB518" s="5"/>
      <c r="BD518" s="40"/>
      <c r="BE518" s="5"/>
      <c r="BG518" s="40"/>
      <c r="BH518" s="5"/>
      <c r="BJ518" s="40"/>
      <c r="BK518" s="5"/>
      <c r="BM518" s="40"/>
      <c r="BN518" s="5"/>
      <c r="BP518" s="40"/>
      <c r="BQ518" s="5"/>
      <c r="BS518" s="40"/>
      <c r="BT518" s="5"/>
      <c r="BV518" s="40"/>
      <c r="BW518" s="5"/>
      <c r="BY518" s="40"/>
      <c r="BZ518" s="5"/>
      <c r="CB518" s="40"/>
      <c r="CC518" s="5"/>
      <c r="CE518" s="40"/>
      <c r="CF518" s="5"/>
      <c r="CH518" s="40"/>
      <c r="CI518" s="5"/>
      <c r="CK518" s="40"/>
      <c r="CL518" s="5"/>
      <c r="CN518" s="40"/>
      <c r="CO518" s="5"/>
      <c r="CQ518" s="40"/>
      <c r="CR518" s="5"/>
    </row>
    <row r="519">
      <c r="AO519" s="40"/>
      <c r="AP519" s="5"/>
      <c r="AR519" s="40"/>
      <c r="AS519" s="5"/>
      <c r="AU519" s="40"/>
      <c r="AV519" s="5"/>
      <c r="AX519" s="40"/>
      <c r="AY519" s="5"/>
      <c r="BA519" s="40"/>
      <c r="BB519" s="5"/>
      <c r="BD519" s="40"/>
      <c r="BE519" s="5"/>
      <c r="BG519" s="40"/>
      <c r="BH519" s="5"/>
      <c r="BJ519" s="40"/>
      <c r="BK519" s="5"/>
      <c r="BM519" s="40"/>
      <c r="BN519" s="5"/>
      <c r="BP519" s="40"/>
      <c r="BQ519" s="5"/>
      <c r="BS519" s="40"/>
      <c r="BT519" s="5"/>
      <c r="BV519" s="40"/>
      <c r="BW519" s="5"/>
      <c r="BY519" s="40"/>
      <c r="BZ519" s="5"/>
      <c r="CB519" s="40"/>
      <c r="CC519" s="5"/>
      <c r="CE519" s="40"/>
      <c r="CF519" s="5"/>
      <c r="CH519" s="40"/>
      <c r="CI519" s="5"/>
      <c r="CK519" s="40"/>
      <c r="CL519" s="5"/>
      <c r="CN519" s="40"/>
      <c r="CO519" s="5"/>
      <c r="CQ519" s="40"/>
      <c r="CR519" s="5"/>
    </row>
    <row r="520">
      <c r="AO520" s="40"/>
      <c r="AP520" s="5"/>
      <c r="AR520" s="40"/>
      <c r="AS520" s="5"/>
      <c r="AU520" s="40"/>
      <c r="AV520" s="5"/>
      <c r="AX520" s="40"/>
      <c r="AY520" s="5"/>
      <c r="BA520" s="40"/>
      <c r="BB520" s="5"/>
      <c r="BD520" s="40"/>
      <c r="BE520" s="5"/>
      <c r="BG520" s="40"/>
      <c r="BH520" s="5"/>
      <c r="BJ520" s="40"/>
      <c r="BK520" s="5"/>
      <c r="BM520" s="40"/>
      <c r="BN520" s="5"/>
      <c r="BP520" s="40"/>
      <c r="BQ520" s="5"/>
      <c r="BS520" s="40"/>
      <c r="BT520" s="5"/>
      <c r="BV520" s="40"/>
      <c r="BW520" s="5"/>
      <c r="BY520" s="40"/>
      <c r="BZ520" s="5"/>
      <c r="CB520" s="40"/>
      <c r="CC520" s="5"/>
      <c r="CE520" s="40"/>
      <c r="CF520" s="5"/>
      <c r="CH520" s="40"/>
      <c r="CI520" s="5"/>
      <c r="CK520" s="40"/>
      <c r="CL520" s="5"/>
      <c r="CN520" s="40"/>
      <c r="CO520" s="5"/>
      <c r="CQ520" s="40"/>
      <c r="CR520" s="5"/>
    </row>
    <row r="521">
      <c r="AO521" s="40"/>
      <c r="AP521" s="5"/>
      <c r="AR521" s="40"/>
      <c r="AS521" s="5"/>
      <c r="AU521" s="40"/>
      <c r="AV521" s="5"/>
      <c r="AX521" s="40"/>
      <c r="AY521" s="5"/>
      <c r="BA521" s="40"/>
      <c r="BB521" s="5"/>
      <c r="BD521" s="40"/>
      <c r="BE521" s="5"/>
      <c r="BG521" s="40"/>
      <c r="BH521" s="5"/>
      <c r="BJ521" s="40"/>
      <c r="BK521" s="5"/>
      <c r="BM521" s="40"/>
      <c r="BN521" s="5"/>
      <c r="BP521" s="40"/>
      <c r="BQ521" s="5"/>
      <c r="BS521" s="40"/>
      <c r="BT521" s="5"/>
      <c r="BV521" s="40"/>
      <c r="BW521" s="5"/>
      <c r="BY521" s="40"/>
      <c r="BZ521" s="5"/>
      <c r="CB521" s="40"/>
      <c r="CC521" s="5"/>
      <c r="CE521" s="40"/>
      <c r="CF521" s="5"/>
      <c r="CH521" s="40"/>
      <c r="CI521" s="5"/>
      <c r="CK521" s="40"/>
      <c r="CL521" s="5"/>
      <c r="CN521" s="40"/>
      <c r="CO521" s="5"/>
      <c r="CQ521" s="40"/>
      <c r="CR521" s="5"/>
    </row>
    <row r="522">
      <c r="AO522" s="40"/>
      <c r="AP522" s="5"/>
      <c r="AR522" s="40"/>
      <c r="AS522" s="5"/>
      <c r="AU522" s="40"/>
      <c r="AV522" s="5"/>
      <c r="AX522" s="40"/>
      <c r="AY522" s="5"/>
      <c r="BA522" s="40"/>
      <c r="BB522" s="5"/>
      <c r="BD522" s="40"/>
      <c r="BE522" s="5"/>
      <c r="BG522" s="40"/>
      <c r="BH522" s="5"/>
      <c r="BJ522" s="40"/>
      <c r="BK522" s="5"/>
      <c r="BM522" s="40"/>
      <c r="BN522" s="5"/>
      <c r="BP522" s="40"/>
      <c r="BQ522" s="5"/>
      <c r="BS522" s="40"/>
      <c r="BT522" s="5"/>
      <c r="BV522" s="40"/>
      <c r="BW522" s="5"/>
      <c r="BY522" s="40"/>
      <c r="BZ522" s="5"/>
      <c r="CB522" s="40"/>
      <c r="CC522" s="5"/>
      <c r="CE522" s="40"/>
      <c r="CF522" s="5"/>
      <c r="CH522" s="40"/>
      <c r="CI522" s="5"/>
      <c r="CK522" s="40"/>
      <c r="CL522" s="5"/>
      <c r="CN522" s="40"/>
      <c r="CO522" s="5"/>
      <c r="CQ522" s="40"/>
      <c r="CR522" s="5"/>
    </row>
    <row r="523">
      <c r="AO523" s="40"/>
      <c r="AP523" s="5"/>
      <c r="AR523" s="40"/>
      <c r="AS523" s="5"/>
      <c r="AU523" s="40"/>
      <c r="AV523" s="5"/>
      <c r="AX523" s="40"/>
      <c r="AY523" s="5"/>
      <c r="BA523" s="40"/>
      <c r="BB523" s="5"/>
      <c r="BD523" s="40"/>
      <c r="BE523" s="5"/>
      <c r="BG523" s="40"/>
      <c r="BH523" s="5"/>
      <c r="BJ523" s="40"/>
      <c r="BK523" s="5"/>
      <c r="BM523" s="40"/>
      <c r="BN523" s="5"/>
      <c r="BP523" s="40"/>
      <c r="BQ523" s="5"/>
      <c r="BS523" s="40"/>
      <c r="BT523" s="5"/>
      <c r="BV523" s="40"/>
      <c r="BW523" s="5"/>
      <c r="BY523" s="40"/>
      <c r="BZ523" s="5"/>
      <c r="CB523" s="40"/>
      <c r="CC523" s="5"/>
      <c r="CE523" s="40"/>
      <c r="CF523" s="5"/>
      <c r="CH523" s="40"/>
      <c r="CI523" s="5"/>
      <c r="CK523" s="40"/>
      <c r="CL523" s="5"/>
      <c r="CN523" s="40"/>
      <c r="CO523" s="5"/>
      <c r="CQ523" s="40"/>
      <c r="CR523" s="5"/>
    </row>
    <row r="524">
      <c r="AO524" s="40"/>
      <c r="AP524" s="5"/>
      <c r="AR524" s="40"/>
      <c r="AS524" s="5"/>
      <c r="AU524" s="40"/>
      <c r="AV524" s="5"/>
      <c r="AX524" s="40"/>
      <c r="AY524" s="5"/>
      <c r="BA524" s="40"/>
      <c r="BB524" s="5"/>
      <c r="BD524" s="40"/>
      <c r="BE524" s="5"/>
      <c r="BG524" s="40"/>
      <c r="BH524" s="5"/>
      <c r="BJ524" s="40"/>
      <c r="BK524" s="5"/>
      <c r="BM524" s="40"/>
      <c r="BN524" s="5"/>
      <c r="BP524" s="40"/>
      <c r="BQ524" s="5"/>
      <c r="BS524" s="40"/>
      <c r="BT524" s="5"/>
      <c r="BV524" s="40"/>
      <c r="BW524" s="5"/>
      <c r="BY524" s="40"/>
      <c r="BZ524" s="5"/>
      <c r="CB524" s="40"/>
      <c r="CC524" s="5"/>
      <c r="CE524" s="40"/>
      <c r="CF524" s="5"/>
      <c r="CH524" s="40"/>
      <c r="CI524" s="5"/>
      <c r="CK524" s="40"/>
      <c r="CL524" s="5"/>
      <c r="CN524" s="40"/>
      <c r="CO524" s="5"/>
      <c r="CQ524" s="40"/>
      <c r="CR524" s="5"/>
    </row>
    <row r="525">
      <c r="AO525" s="40"/>
      <c r="AP525" s="5"/>
      <c r="AR525" s="40"/>
      <c r="AS525" s="5"/>
      <c r="AU525" s="40"/>
      <c r="AV525" s="5"/>
      <c r="AX525" s="40"/>
      <c r="AY525" s="5"/>
      <c r="BA525" s="40"/>
      <c r="BB525" s="5"/>
      <c r="BD525" s="40"/>
      <c r="BE525" s="5"/>
      <c r="BG525" s="40"/>
      <c r="BH525" s="5"/>
      <c r="BJ525" s="40"/>
      <c r="BK525" s="5"/>
      <c r="BM525" s="40"/>
      <c r="BN525" s="5"/>
      <c r="BP525" s="40"/>
      <c r="BQ525" s="5"/>
      <c r="BS525" s="40"/>
      <c r="BT525" s="5"/>
      <c r="BV525" s="40"/>
      <c r="BW525" s="5"/>
      <c r="BY525" s="40"/>
      <c r="BZ525" s="5"/>
      <c r="CB525" s="40"/>
      <c r="CC525" s="5"/>
      <c r="CE525" s="40"/>
      <c r="CF525" s="5"/>
      <c r="CH525" s="40"/>
      <c r="CI525" s="5"/>
      <c r="CK525" s="40"/>
      <c r="CL525" s="5"/>
      <c r="CN525" s="40"/>
      <c r="CO525" s="5"/>
      <c r="CQ525" s="40"/>
      <c r="CR525" s="5"/>
    </row>
    <row r="526">
      <c r="AO526" s="40"/>
      <c r="AP526" s="5"/>
      <c r="AR526" s="40"/>
      <c r="AS526" s="5"/>
      <c r="AU526" s="40"/>
      <c r="AV526" s="5"/>
      <c r="AX526" s="40"/>
      <c r="AY526" s="5"/>
      <c r="BA526" s="40"/>
      <c r="BB526" s="5"/>
      <c r="BD526" s="40"/>
      <c r="BE526" s="5"/>
      <c r="BG526" s="40"/>
      <c r="BH526" s="5"/>
      <c r="BJ526" s="40"/>
      <c r="BK526" s="5"/>
      <c r="BM526" s="40"/>
      <c r="BN526" s="5"/>
      <c r="BP526" s="40"/>
      <c r="BQ526" s="5"/>
      <c r="BS526" s="40"/>
      <c r="BT526" s="5"/>
      <c r="BV526" s="40"/>
      <c r="BW526" s="5"/>
      <c r="BY526" s="40"/>
      <c r="BZ526" s="5"/>
      <c r="CB526" s="40"/>
      <c r="CC526" s="5"/>
      <c r="CE526" s="40"/>
      <c r="CF526" s="5"/>
      <c r="CH526" s="40"/>
      <c r="CI526" s="5"/>
      <c r="CK526" s="40"/>
      <c r="CL526" s="5"/>
      <c r="CN526" s="40"/>
      <c r="CO526" s="5"/>
      <c r="CQ526" s="40"/>
      <c r="CR526" s="5"/>
    </row>
    <row r="527">
      <c r="AO527" s="40"/>
      <c r="AP527" s="5"/>
      <c r="AR527" s="40"/>
      <c r="AS527" s="5"/>
      <c r="AU527" s="40"/>
      <c r="AV527" s="5"/>
      <c r="AX527" s="40"/>
      <c r="AY527" s="5"/>
      <c r="BA527" s="40"/>
      <c r="BB527" s="5"/>
      <c r="BD527" s="40"/>
      <c r="BE527" s="5"/>
      <c r="BG527" s="40"/>
      <c r="BH527" s="5"/>
      <c r="BJ527" s="40"/>
      <c r="BK527" s="5"/>
      <c r="BM527" s="40"/>
      <c r="BN527" s="5"/>
      <c r="BP527" s="40"/>
      <c r="BQ527" s="5"/>
      <c r="BS527" s="40"/>
      <c r="BT527" s="5"/>
      <c r="BV527" s="40"/>
      <c r="BW527" s="5"/>
      <c r="BY527" s="40"/>
      <c r="BZ527" s="5"/>
      <c r="CB527" s="40"/>
      <c r="CC527" s="5"/>
      <c r="CE527" s="40"/>
      <c r="CF527" s="5"/>
      <c r="CH527" s="40"/>
      <c r="CI527" s="5"/>
      <c r="CK527" s="40"/>
      <c r="CL527" s="5"/>
      <c r="CN527" s="40"/>
      <c r="CO527" s="5"/>
      <c r="CQ527" s="40"/>
      <c r="CR527" s="5"/>
    </row>
    <row r="528">
      <c r="AO528" s="40"/>
      <c r="AP528" s="5"/>
      <c r="AR528" s="40"/>
      <c r="AS528" s="5"/>
      <c r="AU528" s="40"/>
      <c r="AV528" s="5"/>
      <c r="AX528" s="40"/>
      <c r="AY528" s="5"/>
      <c r="BA528" s="40"/>
      <c r="BB528" s="5"/>
      <c r="BD528" s="40"/>
      <c r="BE528" s="5"/>
      <c r="BG528" s="40"/>
      <c r="BH528" s="5"/>
      <c r="BJ528" s="40"/>
      <c r="BK528" s="5"/>
      <c r="BM528" s="40"/>
      <c r="BN528" s="5"/>
      <c r="BP528" s="40"/>
      <c r="BQ528" s="5"/>
      <c r="BS528" s="40"/>
      <c r="BT528" s="5"/>
      <c r="BV528" s="40"/>
      <c r="BW528" s="5"/>
      <c r="BY528" s="40"/>
      <c r="BZ528" s="5"/>
      <c r="CB528" s="40"/>
      <c r="CC528" s="5"/>
      <c r="CE528" s="40"/>
      <c r="CF528" s="5"/>
      <c r="CH528" s="40"/>
      <c r="CI528" s="5"/>
      <c r="CK528" s="40"/>
      <c r="CL528" s="5"/>
      <c r="CN528" s="40"/>
      <c r="CO528" s="5"/>
      <c r="CQ528" s="40"/>
      <c r="CR528" s="5"/>
    </row>
    <row r="529">
      <c r="AO529" s="40"/>
      <c r="AP529" s="5"/>
      <c r="AR529" s="40"/>
      <c r="AS529" s="5"/>
      <c r="AU529" s="40"/>
      <c r="AV529" s="5"/>
      <c r="AX529" s="40"/>
      <c r="AY529" s="5"/>
      <c r="BA529" s="40"/>
      <c r="BB529" s="5"/>
      <c r="BD529" s="40"/>
      <c r="BE529" s="5"/>
      <c r="BG529" s="40"/>
      <c r="BH529" s="5"/>
      <c r="BJ529" s="40"/>
      <c r="BK529" s="5"/>
      <c r="BM529" s="40"/>
      <c r="BN529" s="5"/>
      <c r="BP529" s="40"/>
      <c r="BQ529" s="5"/>
      <c r="BS529" s="40"/>
      <c r="BT529" s="5"/>
      <c r="BV529" s="40"/>
      <c r="BW529" s="5"/>
      <c r="BY529" s="40"/>
      <c r="BZ529" s="5"/>
      <c r="CB529" s="40"/>
      <c r="CC529" s="5"/>
      <c r="CE529" s="40"/>
      <c r="CF529" s="5"/>
      <c r="CH529" s="40"/>
      <c r="CI529" s="5"/>
      <c r="CK529" s="40"/>
      <c r="CL529" s="5"/>
      <c r="CN529" s="40"/>
      <c r="CO529" s="5"/>
      <c r="CQ529" s="40"/>
      <c r="CR529" s="5"/>
    </row>
    <row r="530">
      <c r="AO530" s="40"/>
      <c r="AP530" s="5"/>
      <c r="AR530" s="40"/>
      <c r="AS530" s="5"/>
      <c r="AU530" s="40"/>
      <c r="AV530" s="5"/>
      <c r="AX530" s="40"/>
      <c r="AY530" s="5"/>
      <c r="BA530" s="40"/>
      <c r="BB530" s="5"/>
      <c r="BD530" s="40"/>
      <c r="BE530" s="5"/>
      <c r="BG530" s="40"/>
      <c r="BH530" s="5"/>
      <c r="BJ530" s="40"/>
      <c r="BK530" s="5"/>
      <c r="BM530" s="40"/>
      <c r="BN530" s="5"/>
      <c r="BP530" s="40"/>
      <c r="BQ530" s="5"/>
      <c r="BS530" s="40"/>
      <c r="BT530" s="5"/>
      <c r="BV530" s="40"/>
      <c r="BW530" s="5"/>
      <c r="BY530" s="40"/>
      <c r="BZ530" s="5"/>
      <c r="CB530" s="40"/>
      <c r="CC530" s="5"/>
      <c r="CE530" s="40"/>
      <c r="CF530" s="5"/>
      <c r="CH530" s="40"/>
      <c r="CI530" s="5"/>
      <c r="CK530" s="40"/>
      <c r="CL530" s="5"/>
      <c r="CN530" s="40"/>
      <c r="CO530" s="5"/>
      <c r="CQ530" s="40"/>
      <c r="CR530" s="5"/>
    </row>
    <row r="531">
      <c r="AO531" s="40"/>
      <c r="AP531" s="5"/>
      <c r="AR531" s="40"/>
      <c r="AS531" s="5"/>
      <c r="AU531" s="40"/>
      <c r="AV531" s="5"/>
      <c r="AX531" s="40"/>
      <c r="AY531" s="5"/>
      <c r="BA531" s="40"/>
      <c r="BB531" s="5"/>
      <c r="BD531" s="40"/>
      <c r="BE531" s="5"/>
      <c r="BG531" s="40"/>
      <c r="BH531" s="5"/>
      <c r="BJ531" s="40"/>
      <c r="BK531" s="5"/>
      <c r="BM531" s="40"/>
      <c r="BN531" s="5"/>
      <c r="BP531" s="40"/>
      <c r="BQ531" s="5"/>
      <c r="BS531" s="40"/>
      <c r="BT531" s="5"/>
      <c r="BV531" s="40"/>
      <c r="BW531" s="5"/>
      <c r="BY531" s="40"/>
      <c r="BZ531" s="5"/>
      <c r="CB531" s="40"/>
      <c r="CC531" s="5"/>
      <c r="CE531" s="40"/>
      <c r="CF531" s="5"/>
      <c r="CH531" s="40"/>
      <c r="CI531" s="5"/>
      <c r="CK531" s="40"/>
      <c r="CL531" s="5"/>
      <c r="CN531" s="40"/>
      <c r="CO531" s="5"/>
      <c r="CQ531" s="40"/>
      <c r="CR531" s="5"/>
    </row>
    <row r="532">
      <c r="AO532" s="40"/>
      <c r="AP532" s="5"/>
      <c r="AR532" s="40"/>
      <c r="AS532" s="5"/>
      <c r="AU532" s="40"/>
      <c r="AV532" s="5"/>
      <c r="AX532" s="40"/>
      <c r="AY532" s="5"/>
      <c r="BA532" s="40"/>
      <c r="BB532" s="5"/>
      <c r="BD532" s="40"/>
      <c r="BE532" s="5"/>
      <c r="BG532" s="40"/>
      <c r="BH532" s="5"/>
      <c r="BJ532" s="40"/>
      <c r="BK532" s="5"/>
      <c r="BM532" s="40"/>
      <c r="BN532" s="5"/>
      <c r="BP532" s="40"/>
      <c r="BQ532" s="5"/>
      <c r="BS532" s="40"/>
      <c r="BT532" s="5"/>
      <c r="BV532" s="40"/>
      <c r="BW532" s="5"/>
      <c r="BY532" s="40"/>
      <c r="BZ532" s="5"/>
      <c r="CB532" s="40"/>
      <c r="CC532" s="5"/>
      <c r="CE532" s="40"/>
      <c r="CF532" s="5"/>
      <c r="CH532" s="40"/>
      <c r="CI532" s="5"/>
      <c r="CK532" s="40"/>
      <c r="CL532" s="5"/>
      <c r="CN532" s="40"/>
      <c r="CO532" s="5"/>
      <c r="CQ532" s="40"/>
      <c r="CR532" s="5"/>
    </row>
    <row r="533">
      <c r="AO533" s="40"/>
      <c r="AP533" s="5"/>
      <c r="AR533" s="40"/>
      <c r="AS533" s="5"/>
      <c r="AU533" s="40"/>
      <c r="AV533" s="5"/>
      <c r="AX533" s="40"/>
      <c r="AY533" s="5"/>
      <c r="BA533" s="40"/>
      <c r="BB533" s="5"/>
      <c r="BD533" s="40"/>
      <c r="BE533" s="5"/>
      <c r="BG533" s="40"/>
      <c r="BH533" s="5"/>
      <c r="BJ533" s="40"/>
      <c r="BK533" s="5"/>
      <c r="BM533" s="40"/>
      <c r="BN533" s="5"/>
      <c r="BP533" s="40"/>
      <c r="BQ533" s="5"/>
      <c r="BS533" s="40"/>
      <c r="BT533" s="5"/>
      <c r="BV533" s="40"/>
      <c r="BW533" s="5"/>
      <c r="BY533" s="40"/>
      <c r="BZ533" s="5"/>
      <c r="CB533" s="40"/>
      <c r="CC533" s="5"/>
      <c r="CE533" s="40"/>
      <c r="CF533" s="5"/>
      <c r="CH533" s="40"/>
      <c r="CI533" s="5"/>
      <c r="CK533" s="40"/>
      <c r="CL533" s="5"/>
      <c r="CN533" s="40"/>
      <c r="CO533" s="5"/>
      <c r="CQ533" s="40"/>
      <c r="CR533" s="5"/>
    </row>
    <row r="534">
      <c r="AO534" s="40"/>
      <c r="AP534" s="5"/>
      <c r="AR534" s="40"/>
      <c r="AS534" s="5"/>
      <c r="AU534" s="40"/>
      <c r="AV534" s="5"/>
      <c r="AX534" s="40"/>
      <c r="AY534" s="5"/>
      <c r="BA534" s="40"/>
      <c r="BB534" s="5"/>
      <c r="BD534" s="40"/>
      <c r="BE534" s="5"/>
      <c r="BG534" s="40"/>
      <c r="BH534" s="5"/>
      <c r="BJ534" s="40"/>
      <c r="BK534" s="5"/>
      <c r="BM534" s="40"/>
      <c r="BN534" s="5"/>
      <c r="BP534" s="40"/>
      <c r="BQ534" s="5"/>
      <c r="BS534" s="40"/>
      <c r="BT534" s="5"/>
      <c r="BV534" s="40"/>
      <c r="BW534" s="5"/>
      <c r="BY534" s="40"/>
      <c r="BZ534" s="5"/>
      <c r="CB534" s="40"/>
      <c r="CC534" s="5"/>
      <c r="CE534" s="40"/>
      <c r="CF534" s="5"/>
      <c r="CH534" s="40"/>
      <c r="CI534" s="5"/>
      <c r="CK534" s="40"/>
      <c r="CL534" s="5"/>
      <c r="CN534" s="40"/>
      <c r="CO534" s="5"/>
      <c r="CQ534" s="40"/>
      <c r="CR534" s="5"/>
    </row>
    <row r="535">
      <c r="AO535" s="40"/>
      <c r="AP535" s="5"/>
      <c r="AR535" s="40"/>
      <c r="AS535" s="5"/>
      <c r="AU535" s="40"/>
      <c r="AV535" s="5"/>
      <c r="AX535" s="40"/>
      <c r="AY535" s="5"/>
      <c r="BA535" s="40"/>
      <c r="BB535" s="5"/>
      <c r="BD535" s="40"/>
      <c r="BE535" s="5"/>
      <c r="BG535" s="40"/>
      <c r="BH535" s="5"/>
      <c r="BJ535" s="40"/>
      <c r="BK535" s="5"/>
      <c r="BM535" s="40"/>
      <c r="BN535" s="5"/>
      <c r="BP535" s="40"/>
      <c r="BQ535" s="5"/>
      <c r="BS535" s="40"/>
      <c r="BT535" s="5"/>
      <c r="BV535" s="40"/>
      <c r="BW535" s="5"/>
      <c r="BY535" s="40"/>
      <c r="BZ535" s="5"/>
      <c r="CB535" s="40"/>
      <c r="CC535" s="5"/>
      <c r="CE535" s="40"/>
      <c r="CF535" s="5"/>
      <c r="CH535" s="40"/>
      <c r="CI535" s="5"/>
      <c r="CK535" s="40"/>
      <c r="CL535" s="5"/>
      <c r="CN535" s="40"/>
      <c r="CO535" s="5"/>
      <c r="CQ535" s="40"/>
      <c r="CR535" s="5"/>
    </row>
    <row r="536">
      <c r="AO536" s="40"/>
      <c r="AP536" s="5"/>
      <c r="AR536" s="40"/>
      <c r="AS536" s="5"/>
      <c r="AU536" s="40"/>
      <c r="AV536" s="5"/>
      <c r="AX536" s="40"/>
      <c r="AY536" s="5"/>
      <c r="BA536" s="40"/>
      <c r="BB536" s="5"/>
      <c r="BD536" s="40"/>
      <c r="BE536" s="5"/>
      <c r="BG536" s="40"/>
      <c r="BH536" s="5"/>
      <c r="BJ536" s="40"/>
      <c r="BK536" s="5"/>
      <c r="BM536" s="40"/>
      <c r="BN536" s="5"/>
      <c r="BP536" s="40"/>
      <c r="BQ536" s="5"/>
      <c r="BS536" s="40"/>
      <c r="BT536" s="5"/>
      <c r="BV536" s="40"/>
      <c r="BW536" s="5"/>
      <c r="BY536" s="40"/>
      <c r="BZ536" s="5"/>
      <c r="CB536" s="40"/>
      <c r="CC536" s="5"/>
      <c r="CE536" s="40"/>
      <c r="CF536" s="5"/>
      <c r="CH536" s="40"/>
      <c r="CI536" s="5"/>
      <c r="CK536" s="40"/>
      <c r="CL536" s="5"/>
      <c r="CN536" s="40"/>
      <c r="CO536" s="5"/>
      <c r="CQ536" s="40"/>
      <c r="CR536" s="5"/>
    </row>
    <row r="537">
      <c r="AO537" s="40"/>
      <c r="AP537" s="5"/>
      <c r="AR537" s="40"/>
      <c r="AS537" s="5"/>
      <c r="AU537" s="40"/>
      <c r="AV537" s="5"/>
      <c r="AX537" s="40"/>
      <c r="AY537" s="5"/>
      <c r="BA537" s="40"/>
      <c r="BB537" s="5"/>
      <c r="BD537" s="40"/>
      <c r="BE537" s="5"/>
      <c r="BG537" s="40"/>
      <c r="BH537" s="5"/>
      <c r="BJ537" s="40"/>
      <c r="BK537" s="5"/>
      <c r="BM537" s="40"/>
      <c r="BN537" s="5"/>
      <c r="BP537" s="40"/>
      <c r="BQ537" s="5"/>
      <c r="BS537" s="40"/>
      <c r="BT537" s="5"/>
      <c r="BV537" s="40"/>
      <c r="BW537" s="5"/>
      <c r="BY537" s="40"/>
      <c r="BZ537" s="5"/>
      <c r="CB537" s="40"/>
      <c r="CC537" s="5"/>
      <c r="CE537" s="40"/>
      <c r="CF537" s="5"/>
      <c r="CH537" s="40"/>
      <c r="CI537" s="5"/>
      <c r="CK537" s="40"/>
      <c r="CL537" s="5"/>
      <c r="CN537" s="40"/>
      <c r="CO537" s="5"/>
      <c r="CQ537" s="40"/>
      <c r="CR537" s="5"/>
    </row>
    <row r="538">
      <c r="AO538" s="40"/>
      <c r="AP538" s="5"/>
      <c r="AR538" s="40"/>
      <c r="AS538" s="5"/>
      <c r="AU538" s="40"/>
      <c r="AV538" s="5"/>
      <c r="AX538" s="40"/>
      <c r="AY538" s="5"/>
      <c r="BA538" s="40"/>
      <c r="BB538" s="5"/>
      <c r="BD538" s="40"/>
      <c r="BE538" s="5"/>
      <c r="BG538" s="40"/>
      <c r="BH538" s="5"/>
      <c r="BJ538" s="40"/>
      <c r="BK538" s="5"/>
      <c r="BM538" s="40"/>
      <c r="BN538" s="5"/>
      <c r="BP538" s="40"/>
      <c r="BQ538" s="5"/>
      <c r="BS538" s="40"/>
      <c r="BT538" s="5"/>
      <c r="BV538" s="40"/>
      <c r="BW538" s="5"/>
      <c r="BY538" s="40"/>
      <c r="BZ538" s="5"/>
      <c r="CB538" s="40"/>
      <c r="CC538" s="5"/>
      <c r="CE538" s="40"/>
      <c r="CF538" s="5"/>
      <c r="CH538" s="40"/>
      <c r="CI538" s="5"/>
      <c r="CK538" s="40"/>
      <c r="CL538" s="5"/>
      <c r="CN538" s="40"/>
      <c r="CO538" s="5"/>
      <c r="CQ538" s="40"/>
      <c r="CR538" s="5"/>
    </row>
    <row r="539">
      <c r="AO539" s="40"/>
      <c r="AP539" s="5"/>
      <c r="AR539" s="40"/>
      <c r="AS539" s="5"/>
      <c r="AU539" s="40"/>
      <c r="AV539" s="5"/>
      <c r="AX539" s="40"/>
      <c r="AY539" s="5"/>
      <c r="BA539" s="40"/>
      <c r="BB539" s="5"/>
      <c r="BD539" s="40"/>
      <c r="BE539" s="5"/>
      <c r="BG539" s="40"/>
      <c r="BH539" s="5"/>
      <c r="BJ539" s="40"/>
      <c r="BK539" s="5"/>
      <c r="BM539" s="40"/>
      <c r="BN539" s="5"/>
      <c r="BP539" s="40"/>
      <c r="BQ539" s="5"/>
      <c r="BS539" s="40"/>
      <c r="BT539" s="5"/>
      <c r="BV539" s="40"/>
      <c r="BW539" s="5"/>
      <c r="BY539" s="40"/>
      <c r="BZ539" s="5"/>
      <c r="CB539" s="40"/>
      <c r="CC539" s="5"/>
      <c r="CE539" s="40"/>
      <c r="CF539" s="5"/>
      <c r="CH539" s="40"/>
      <c r="CI539" s="5"/>
      <c r="CK539" s="40"/>
      <c r="CL539" s="5"/>
      <c r="CN539" s="40"/>
      <c r="CO539" s="5"/>
      <c r="CQ539" s="40"/>
      <c r="CR539" s="5"/>
    </row>
    <row r="540">
      <c r="AO540" s="40"/>
      <c r="AP540" s="5"/>
      <c r="AR540" s="40"/>
      <c r="AS540" s="5"/>
      <c r="AU540" s="40"/>
      <c r="AV540" s="5"/>
      <c r="AX540" s="40"/>
      <c r="AY540" s="5"/>
      <c r="BA540" s="40"/>
      <c r="BB540" s="5"/>
      <c r="BD540" s="40"/>
      <c r="BE540" s="5"/>
      <c r="BG540" s="40"/>
      <c r="BH540" s="5"/>
      <c r="BJ540" s="40"/>
      <c r="BK540" s="5"/>
      <c r="BM540" s="40"/>
      <c r="BN540" s="5"/>
      <c r="BP540" s="40"/>
      <c r="BQ540" s="5"/>
      <c r="BS540" s="40"/>
      <c r="BT540" s="5"/>
      <c r="BV540" s="40"/>
      <c r="BW540" s="5"/>
      <c r="BY540" s="40"/>
      <c r="BZ540" s="5"/>
      <c r="CB540" s="40"/>
      <c r="CC540" s="5"/>
      <c r="CE540" s="40"/>
      <c r="CF540" s="5"/>
      <c r="CH540" s="40"/>
      <c r="CI540" s="5"/>
      <c r="CK540" s="40"/>
      <c r="CL540" s="5"/>
      <c r="CN540" s="40"/>
      <c r="CO540" s="5"/>
      <c r="CQ540" s="40"/>
      <c r="CR540" s="5"/>
    </row>
    <row r="541">
      <c r="AO541" s="40"/>
      <c r="AP541" s="5"/>
      <c r="AR541" s="40"/>
      <c r="AS541" s="5"/>
      <c r="AU541" s="40"/>
      <c r="AV541" s="5"/>
      <c r="AX541" s="40"/>
      <c r="AY541" s="5"/>
      <c r="BA541" s="40"/>
      <c r="BB541" s="5"/>
      <c r="BD541" s="40"/>
      <c r="BE541" s="5"/>
      <c r="BG541" s="40"/>
      <c r="BH541" s="5"/>
      <c r="BJ541" s="40"/>
      <c r="BK541" s="5"/>
      <c r="BM541" s="40"/>
      <c r="BN541" s="5"/>
      <c r="BP541" s="40"/>
      <c r="BQ541" s="5"/>
      <c r="BS541" s="40"/>
      <c r="BT541" s="5"/>
      <c r="BV541" s="40"/>
      <c r="BW541" s="5"/>
      <c r="BY541" s="40"/>
      <c r="BZ541" s="5"/>
      <c r="CB541" s="40"/>
      <c r="CC541" s="5"/>
      <c r="CE541" s="40"/>
      <c r="CF541" s="5"/>
      <c r="CH541" s="40"/>
      <c r="CI541" s="5"/>
      <c r="CK541" s="40"/>
      <c r="CL541" s="5"/>
      <c r="CN541" s="40"/>
      <c r="CO541" s="5"/>
      <c r="CQ541" s="40"/>
      <c r="CR541" s="5"/>
    </row>
    <row r="542">
      <c r="AO542" s="40"/>
      <c r="AP542" s="5"/>
      <c r="AR542" s="40"/>
      <c r="AS542" s="5"/>
      <c r="AU542" s="40"/>
      <c r="AV542" s="5"/>
      <c r="AX542" s="40"/>
      <c r="AY542" s="5"/>
      <c r="BA542" s="40"/>
      <c r="BB542" s="5"/>
      <c r="BD542" s="40"/>
      <c r="BE542" s="5"/>
      <c r="BG542" s="40"/>
      <c r="BH542" s="5"/>
      <c r="BJ542" s="40"/>
      <c r="BK542" s="5"/>
      <c r="BM542" s="40"/>
      <c r="BN542" s="5"/>
      <c r="BP542" s="40"/>
      <c r="BQ542" s="5"/>
      <c r="BS542" s="40"/>
      <c r="BT542" s="5"/>
      <c r="BV542" s="40"/>
      <c r="BW542" s="5"/>
      <c r="BY542" s="40"/>
      <c r="BZ542" s="5"/>
      <c r="CB542" s="40"/>
      <c r="CC542" s="5"/>
      <c r="CE542" s="40"/>
      <c r="CF542" s="5"/>
      <c r="CH542" s="40"/>
      <c r="CI542" s="5"/>
      <c r="CK542" s="40"/>
      <c r="CL542" s="5"/>
      <c r="CN542" s="40"/>
      <c r="CO542" s="5"/>
      <c r="CQ542" s="40"/>
      <c r="CR542" s="5"/>
    </row>
    <row r="543">
      <c r="AO543" s="40"/>
      <c r="AP543" s="5"/>
      <c r="AR543" s="40"/>
      <c r="AS543" s="5"/>
      <c r="AU543" s="40"/>
      <c r="AV543" s="5"/>
      <c r="AX543" s="40"/>
      <c r="AY543" s="5"/>
      <c r="BA543" s="40"/>
      <c r="BB543" s="5"/>
      <c r="BD543" s="40"/>
      <c r="BE543" s="5"/>
      <c r="BG543" s="40"/>
      <c r="BH543" s="5"/>
      <c r="BJ543" s="40"/>
      <c r="BK543" s="5"/>
      <c r="BM543" s="40"/>
      <c r="BN543" s="5"/>
      <c r="BP543" s="40"/>
      <c r="BQ543" s="5"/>
      <c r="BS543" s="40"/>
      <c r="BT543" s="5"/>
      <c r="BV543" s="40"/>
      <c r="BW543" s="5"/>
      <c r="BY543" s="40"/>
      <c r="BZ543" s="5"/>
      <c r="CB543" s="40"/>
      <c r="CC543" s="5"/>
      <c r="CE543" s="40"/>
      <c r="CF543" s="5"/>
      <c r="CH543" s="40"/>
      <c r="CI543" s="5"/>
      <c r="CK543" s="40"/>
      <c r="CL543" s="5"/>
      <c r="CN543" s="40"/>
      <c r="CO543" s="5"/>
      <c r="CQ543" s="40"/>
      <c r="CR543" s="5"/>
    </row>
    <row r="544">
      <c r="AO544" s="40"/>
      <c r="AP544" s="5"/>
      <c r="AR544" s="40"/>
      <c r="AS544" s="5"/>
      <c r="AU544" s="40"/>
      <c r="AV544" s="5"/>
      <c r="AX544" s="40"/>
      <c r="AY544" s="5"/>
      <c r="BA544" s="40"/>
      <c r="BB544" s="5"/>
      <c r="BD544" s="40"/>
      <c r="BE544" s="5"/>
      <c r="BG544" s="40"/>
      <c r="BH544" s="5"/>
      <c r="BJ544" s="40"/>
      <c r="BK544" s="5"/>
      <c r="BM544" s="40"/>
      <c r="BN544" s="5"/>
      <c r="BP544" s="40"/>
      <c r="BQ544" s="5"/>
      <c r="BS544" s="40"/>
      <c r="BT544" s="5"/>
      <c r="BV544" s="40"/>
      <c r="BW544" s="5"/>
      <c r="BY544" s="40"/>
      <c r="BZ544" s="5"/>
      <c r="CB544" s="40"/>
      <c r="CC544" s="5"/>
      <c r="CE544" s="40"/>
      <c r="CF544" s="5"/>
      <c r="CH544" s="40"/>
      <c r="CI544" s="5"/>
      <c r="CK544" s="40"/>
      <c r="CL544" s="5"/>
      <c r="CN544" s="40"/>
      <c r="CO544" s="5"/>
      <c r="CQ544" s="40"/>
      <c r="CR544" s="5"/>
    </row>
    <row r="545">
      <c r="AO545" s="40"/>
      <c r="AP545" s="5"/>
      <c r="AR545" s="40"/>
      <c r="AS545" s="5"/>
      <c r="AU545" s="40"/>
      <c r="AV545" s="5"/>
      <c r="AX545" s="40"/>
      <c r="AY545" s="5"/>
      <c r="BA545" s="40"/>
      <c r="BB545" s="5"/>
      <c r="BD545" s="40"/>
      <c r="BE545" s="5"/>
      <c r="BG545" s="40"/>
      <c r="BH545" s="5"/>
      <c r="BJ545" s="40"/>
      <c r="BK545" s="5"/>
      <c r="BM545" s="40"/>
      <c r="BN545" s="5"/>
      <c r="BP545" s="40"/>
      <c r="BQ545" s="5"/>
      <c r="BS545" s="40"/>
      <c r="BT545" s="5"/>
      <c r="BV545" s="40"/>
      <c r="BW545" s="5"/>
      <c r="BY545" s="40"/>
      <c r="BZ545" s="5"/>
      <c r="CB545" s="40"/>
      <c r="CC545" s="5"/>
      <c r="CE545" s="40"/>
      <c r="CF545" s="5"/>
      <c r="CH545" s="40"/>
      <c r="CI545" s="5"/>
      <c r="CK545" s="40"/>
      <c r="CL545" s="5"/>
      <c r="CN545" s="40"/>
      <c r="CO545" s="5"/>
      <c r="CQ545" s="40"/>
      <c r="CR545" s="5"/>
    </row>
    <row r="546">
      <c r="AO546" s="40"/>
      <c r="AP546" s="5"/>
      <c r="AR546" s="40"/>
      <c r="AS546" s="5"/>
      <c r="AU546" s="40"/>
      <c r="AV546" s="5"/>
      <c r="AX546" s="40"/>
      <c r="AY546" s="5"/>
      <c r="BA546" s="40"/>
      <c r="BB546" s="5"/>
      <c r="BD546" s="40"/>
      <c r="BE546" s="5"/>
      <c r="BG546" s="40"/>
      <c r="BH546" s="5"/>
      <c r="BJ546" s="40"/>
      <c r="BK546" s="5"/>
      <c r="BM546" s="40"/>
      <c r="BN546" s="5"/>
      <c r="BP546" s="40"/>
      <c r="BQ546" s="5"/>
      <c r="BS546" s="40"/>
      <c r="BT546" s="5"/>
      <c r="BV546" s="40"/>
      <c r="BW546" s="5"/>
      <c r="BY546" s="40"/>
      <c r="BZ546" s="5"/>
      <c r="CB546" s="40"/>
      <c r="CC546" s="5"/>
      <c r="CE546" s="40"/>
      <c r="CF546" s="5"/>
      <c r="CH546" s="40"/>
      <c r="CI546" s="5"/>
      <c r="CK546" s="40"/>
      <c r="CL546" s="5"/>
      <c r="CN546" s="40"/>
      <c r="CO546" s="5"/>
      <c r="CQ546" s="40"/>
      <c r="CR546" s="5"/>
    </row>
    <row r="547">
      <c r="AO547" s="40"/>
      <c r="AP547" s="5"/>
      <c r="AR547" s="40"/>
      <c r="AS547" s="5"/>
      <c r="AU547" s="40"/>
      <c r="AV547" s="5"/>
      <c r="AX547" s="40"/>
      <c r="AY547" s="5"/>
      <c r="BA547" s="40"/>
      <c r="BB547" s="5"/>
      <c r="BD547" s="40"/>
      <c r="BE547" s="5"/>
      <c r="BG547" s="40"/>
      <c r="BH547" s="5"/>
      <c r="BJ547" s="40"/>
      <c r="BK547" s="5"/>
      <c r="BM547" s="40"/>
      <c r="BN547" s="5"/>
      <c r="BP547" s="40"/>
      <c r="BQ547" s="5"/>
      <c r="BS547" s="40"/>
      <c r="BT547" s="5"/>
      <c r="BV547" s="40"/>
      <c r="BW547" s="5"/>
      <c r="BY547" s="40"/>
      <c r="BZ547" s="5"/>
      <c r="CB547" s="40"/>
      <c r="CC547" s="5"/>
      <c r="CE547" s="40"/>
      <c r="CF547" s="5"/>
      <c r="CH547" s="40"/>
      <c r="CI547" s="5"/>
      <c r="CK547" s="40"/>
      <c r="CL547" s="5"/>
      <c r="CN547" s="40"/>
      <c r="CO547" s="5"/>
      <c r="CQ547" s="40"/>
      <c r="CR547" s="5"/>
    </row>
    <row r="548">
      <c r="AO548" s="40"/>
      <c r="AP548" s="5"/>
      <c r="AR548" s="40"/>
      <c r="AS548" s="5"/>
      <c r="AU548" s="40"/>
      <c r="AV548" s="5"/>
      <c r="AX548" s="40"/>
      <c r="AY548" s="5"/>
      <c r="BA548" s="40"/>
      <c r="BB548" s="5"/>
      <c r="BD548" s="40"/>
      <c r="BE548" s="5"/>
      <c r="BG548" s="40"/>
      <c r="BH548" s="5"/>
      <c r="BJ548" s="40"/>
      <c r="BK548" s="5"/>
      <c r="BM548" s="40"/>
      <c r="BN548" s="5"/>
      <c r="BP548" s="40"/>
      <c r="BQ548" s="5"/>
      <c r="BS548" s="40"/>
      <c r="BT548" s="5"/>
      <c r="BV548" s="40"/>
      <c r="BW548" s="5"/>
      <c r="BY548" s="40"/>
      <c r="BZ548" s="5"/>
      <c r="CB548" s="40"/>
      <c r="CC548" s="5"/>
      <c r="CE548" s="40"/>
      <c r="CF548" s="5"/>
      <c r="CH548" s="40"/>
      <c r="CI548" s="5"/>
      <c r="CK548" s="40"/>
      <c r="CL548" s="5"/>
      <c r="CN548" s="40"/>
      <c r="CO548" s="5"/>
      <c r="CQ548" s="40"/>
      <c r="CR548" s="5"/>
    </row>
    <row r="549">
      <c r="AO549" s="40"/>
      <c r="AP549" s="5"/>
      <c r="AR549" s="40"/>
      <c r="AS549" s="5"/>
      <c r="AU549" s="40"/>
      <c r="AV549" s="5"/>
      <c r="AX549" s="40"/>
      <c r="AY549" s="5"/>
      <c r="BA549" s="40"/>
      <c r="BB549" s="5"/>
      <c r="BD549" s="40"/>
      <c r="BE549" s="5"/>
      <c r="BG549" s="40"/>
      <c r="BH549" s="5"/>
      <c r="BJ549" s="40"/>
      <c r="BK549" s="5"/>
      <c r="BM549" s="40"/>
      <c r="BN549" s="5"/>
      <c r="BP549" s="40"/>
      <c r="BQ549" s="5"/>
      <c r="BS549" s="40"/>
      <c r="BT549" s="5"/>
      <c r="BV549" s="40"/>
      <c r="BW549" s="5"/>
      <c r="BY549" s="40"/>
      <c r="BZ549" s="5"/>
      <c r="CB549" s="40"/>
      <c r="CC549" s="5"/>
      <c r="CE549" s="40"/>
      <c r="CF549" s="5"/>
      <c r="CH549" s="40"/>
      <c r="CI549" s="5"/>
      <c r="CK549" s="40"/>
      <c r="CL549" s="5"/>
      <c r="CN549" s="40"/>
      <c r="CO549" s="5"/>
      <c r="CQ549" s="40"/>
      <c r="CR549" s="5"/>
    </row>
    <row r="550">
      <c r="AO550" s="40"/>
      <c r="AP550" s="5"/>
      <c r="AR550" s="40"/>
      <c r="AS550" s="5"/>
      <c r="AU550" s="40"/>
      <c r="AV550" s="5"/>
      <c r="AX550" s="40"/>
      <c r="AY550" s="5"/>
      <c r="BA550" s="40"/>
      <c r="BB550" s="5"/>
      <c r="BD550" s="40"/>
      <c r="BE550" s="5"/>
      <c r="BG550" s="40"/>
      <c r="BH550" s="5"/>
      <c r="BJ550" s="40"/>
      <c r="BK550" s="5"/>
      <c r="BM550" s="40"/>
      <c r="BN550" s="5"/>
      <c r="BP550" s="40"/>
      <c r="BQ550" s="5"/>
      <c r="BS550" s="40"/>
      <c r="BT550" s="5"/>
      <c r="BV550" s="40"/>
      <c r="BW550" s="5"/>
      <c r="BY550" s="40"/>
      <c r="BZ550" s="5"/>
      <c r="CB550" s="40"/>
      <c r="CC550" s="5"/>
      <c r="CE550" s="40"/>
      <c r="CF550" s="5"/>
      <c r="CH550" s="40"/>
      <c r="CI550" s="5"/>
      <c r="CK550" s="40"/>
      <c r="CL550" s="5"/>
      <c r="CN550" s="40"/>
      <c r="CO550" s="5"/>
      <c r="CQ550" s="40"/>
      <c r="CR550" s="5"/>
    </row>
    <row r="551">
      <c r="AO551" s="40"/>
      <c r="AP551" s="5"/>
      <c r="AR551" s="40"/>
      <c r="AS551" s="5"/>
      <c r="AU551" s="40"/>
      <c r="AV551" s="5"/>
      <c r="AX551" s="40"/>
      <c r="AY551" s="5"/>
      <c r="BA551" s="40"/>
      <c r="BB551" s="5"/>
      <c r="BD551" s="40"/>
      <c r="BE551" s="5"/>
      <c r="BG551" s="40"/>
      <c r="BH551" s="5"/>
      <c r="BJ551" s="40"/>
      <c r="BK551" s="5"/>
      <c r="BM551" s="40"/>
      <c r="BN551" s="5"/>
      <c r="BP551" s="40"/>
      <c r="BQ551" s="5"/>
      <c r="BS551" s="40"/>
      <c r="BT551" s="5"/>
      <c r="BV551" s="40"/>
      <c r="BW551" s="5"/>
      <c r="BY551" s="40"/>
      <c r="BZ551" s="5"/>
      <c r="CB551" s="40"/>
      <c r="CC551" s="5"/>
      <c r="CE551" s="40"/>
      <c r="CF551" s="5"/>
      <c r="CH551" s="40"/>
      <c r="CI551" s="5"/>
      <c r="CK551" s="40"/>
      <c r="CL551" s="5"/>
      <c r="CN551" s="40"/>
      <c r="CO551" s="5"/>
      <c r="CQ551" s="40"/>
      <c r="CR551" s="5"/>
    </row>
    <row r="552">
      <c r="AO552" s="40"/>
      <c r="AP552" s="5"/>
      <c r="AR552" s="40"/>
      <c r="AS552" s="5"/>
      <c r="AU552" s="40"/>
      <c r="AV552" s="5"/>
      <c r="AX552" s="40"/>
      <c r="AY552" s="5"/>
      <c r="BA552" s="40"/>
      <c r="BB552" s="5"/>
      <c r="BD552" s="40"/>
      <c r="BE552" s="5"/>
      <c r="BG552" s="40"/>
      <c r="BH552" s="5"/>
      <c r="BJ552" s="40"/>
      <c r="BK552" s="5"/>
      <c r="BM552" s="40"/>
      <c r="BN552" s="5"/>
      <c r="BP552" s="40"/>
      <c r="BQ552" s="5"/>
      <c r="BS552" s="40"/>
      <c r="BT552" s="5"/>
      <c r="BV552" s="40"/>
      <c r="BW552" s="5"/>
      <c r="BY552" s="40"/>
      <c r="BZ552" s="5"/>
      <c r="CB552" s="40"/>
      <c r="CC552" s="5"/>
      <c r="CE552" s="40"/>
      <c r="CF552" s="5"/>
      <c r="CH552" s="40"/>
      <c r="CI552" s="5"/>
      <c r="CK552" s="40"/>
      <c r="CL552" s="5"/>
      <c r="CN552" s="40"/>
      <c r="CO552" s="5"/>
      <c r="CQ552" s="40"/>
      <c r="CR552" s="5"/>
    </row>
    <row r="553">
      <c r="AO553" s="40"/>
      <c r="AP553" s="5"/>
      <c r="AR553" s="40"/>
      <c r="AS553" s="5"/>
      <c r="AU553" s="40"/>
      <c r="AV553" s="5"/>
      <c r="AX553" s="40"/>
      <c r="AY553" s="5"/>
      <c r="BA553" s="40"/>
      <c r="BB553" s="5"/>
      <c r="BD553" s="40"/>
      <c r="BE553" s="5"/>
      <c r="BG553" s="40"/>
      <c r="BH553" s="5"/>
      <c r="BJ553" s="40"/>
      <c r="BK553" s="5"/>
      <c r="BM553" s="40"/>
      <c r="BN553" s="5"/>
      <c r="BP553" s="40"/>
      <c r="BQ553" s="5"/>
      <c r="BS553" s="40"/>
      <c r="BT553" s="5"/>
      <c r="BV553" s="40"/>
      <c r="BW553" s="5"/>
      <c r="BY553" s="40"/>
      <c r="BZ553" s="5"/>
      <c r="CB553" s="40"/>
      <c r="CC553" s="5"/>
      <c r="CE553" s="40"/>
      <c r="CF553" s="5"/>
      <c r="CH553" s="40"/>
      <c r="CI553" s="5"/>
      <c r="CK553" s="40"/>
      <c r="CL553" s="5"/>
      <c r="CN553" s="40"/>
      <c r="CO553" s="5"/>
      <c r="CQ553" s="40"/>
      <c r="CR553" s="5"/>
    </row>
    <row r="554">
      <c r="AO554" s="40"/>
      <c r="AP554" s="5"/>
      <c r="AR554" s="40"/>
      <c r="AS554" s="5"/>
      <c r="AU554" s="40"/>
      <c r="AV554" s="5"/>
      <c r="AX554" s="40"/>
      <c r="AY554" s="5"/>
      <c r="BA554" s="40"/>
      <c r="BB554" s="5"/>
      <c r="BD554" s="40"/>
      <c r="BE554" s="5"/>
      <c r="BG554" s="40"/>
      <c r="BH554" s="5"/>
      <c r="BJ554" s="40"/>
      <c r="BK554" s="5"/>
      <c r="BM554" s="40"/>
      <c r="BN554" s="5"/>
      <c r="BP554" s="40"/>
      <c r="BQ554" s="5"/>
      <c r="BS554" s="40"/>
      <c r="BT554" s="5"/>
      <c r="BV554" s="40"/>
      <c r="BW554" s="5"/>
      <c r="BY554" s="40"/>
      <c r="BZ554" s="5"/>
      <c r="CB554" s="40"/>
      <c r="CC554" s="5"/>
      <c r="CE554" s="40"/>
      <c r="CF554" s="5"/>
      <c r="CH554" s="40"/>
      <c r="CI554" s="5"/>
      <c r="CK554" s="40"/>
      <c r="CL554" s="5"/>
      <c r="CN554" s="40"/>
      <c r="CO554" s="5"/>
      <c r="CQ554" s="40"/>
      <c r="CR554" s="5"/>
    </row>
    <row r="555">
      <c r="AO555" s="40"/>
      <c r="AP555" s="5"/>
      <c r="AR555" s="40"/>
      <c r="AS555" s="5"/>
      <c r="AU555" s="40"/>
      <c r="AV555" s="5"/>
      <c r="AX555" s="40"/>
      <c r="AY555" s="5"/>
      <c r="BA555" s="40"/>
      <c r="BB555" s="5"/>
      <c r="BD555" s="40"/>
      <c r="BE555" s="5"/>
      <c r="BG555" s="40"/>
      <c r="BH555" s="5"/>
      <c r="BJ555" s="40"/>
      <c r="BK555" s="5"/>
      <c r="BM555" s="40"/>
      <c r="BN555" s="5"/>
      <c r="BP555" s="40"/>
      <c r="BQ555" s="5"/>
      <c r="BS555" s="40"/>
      <c r="BT555" s="5"/>
      <c r="BV555" s="40"/>
      <c r="BW555" s="5"/>
      <c r="BY555" s="40"/>
      <c r="BZ555" s="5"/>
      <c r="CB555" s="40"/>
      <c r="CC555" s="5"/>
      <c r="CE555" s="40"/>
      <c r="CF555" s="5"/>
      <c r="CH555" s="40"/>
      <c r="CI555" s="5"/>
      <c r="CK555" s="40"/>
      <c r="CL555" s="5"/>
      <c r="CN555" s="40"/>
      <c r="CO555" s="5"/>
      <c r="CQ555" s="40"/>
      <c r="CR555" s="5"/>
    </row>
    <row r="556">
      <c r="AO556" s="40"/>
      <c r="AP556" s="5"/>
      <c r="AR556" s="40"/>
      <c r="AS556" s="5"/>
      <c r="AU556" s="40"/>
      <c r="AV556" s="5"/>
      <c r="AX556" s="40"/>
      <c r="AY556" s="5"/>
      <c r="BA556" s="40"/>
      <c r="BB556" s="5"/>
      <c r="BD556" s="40"/>
      <c r="BE556" s="5"/>
      <c r="BG556" s="40"/>
      <c r="BH556" s="5"/>
      <c r="BJ556" s="40"/>
      <c r="BK556" s="5"/>
      <c r="BM556" s="40"/>
      <c r="BN556" s="5"/>
      <c r="BP556" s="40"/>
      <c r="BQ556" s="5"/>
      <c r="BS556" s="40"/>
      <c r="BT556" s="5"/>
      <c r="BV556" s="40"/>
      <c r="BW556" s="5"/>
      <c r="BY556" s="40"/>
      <c r="BZ556" s="5"/>
      <c r="CB556" s="40"/>
      <c r="CC556" s="5"/>
      <c r="CE556" s="40"/>
      <c r="CF556" s="5"/>
      <c r="CH556" s="40"/>
      <c r="CI556" s="5"/>
      <c r="CK556" s="40"/>
      <c r="CL556" s="5"/>
      <c r="CN556" s="40"/>
      <c r="CO556" s="5"/>
      <c r="CQ556" s="40"/>
      <c r="CR556" s="5"/>
    </row>
    <row r="557">
      <c r="AO557" s="40"/>
      <c r="AP557" s="5"/>
      <c r="AR557" s="40"/>
      <c r="AS557" s="5"/>
      <c r="AU557" s="40"/>
      <c r="AV557" s="5"/>
      <c r="AX557" s="40"/>
      <c r="AY557" s="5"/>
      <c r="BA557" s="40"/>
      <c r="BB557" s="5"/>
      <c r="BD557" s="40"/>
      <c r="BE557" s="5"/>
      <c r="BG557" s="40"/>
      <c r="BH557" s="5"/>
      <c r="BJ557" s="40"/>
      <c r="BK557" s="5"/>
      <c r="BM557" s="40"/>
      <c r="BN557" s="5"/>
      <c r="BP557" s="40"/>
      <c r="BQ557" s="5"/>
      <c r="BS557" s="40"/>
      <c r="BT557" s="5"/>
      <c r="BV557" s="40"/>
      <c r="BW557" s="5"/>
      <c r="BY557" s="40"/>
      <c r="BZ557" s="5"/>
      <c r="CB557" s="40"/>
      <c r="CC557" s="5"/>
      <c r="CE557" s="40"/>
      <c r="CF557" s="5"/>
      <c r="CH557" s="40"/>
      <c r="CI557" s="5"/>
      <c r="CK557" s="40"/>
      <c r="CL557" s="5"/>
      <c r="CN557" s="40"/>
      <c r="CO557" s="5"/>
      <c r="CQ557" s="40"/>
      <c r="CR557" s="5"/>
    </row>
    <row r="558">
      <c r="AO558" s="40"/>
      <c r="AP558" s="5"/>
      <c r="AR558" s="40"/>
      <c r="AS558" s="5"/>
      <c r="AU558" s="40"/>
      <c r="AV558" s="5"/>
      <c r="AX558" s="40"/>
      <c r="AY558" s="5"/>
      <c r="BA558" s="40"/>
      <c r="BB558" s="5"/>
      <c r="BD558" s="40"/>
      <c r="BE558" s="5"/>
      <c r="BG558" s="40"/>
      <c r="BH558" s="5"/>
      <c r="BJ558" s="40"/>
      <c r="BK558" s="5"/>
      <c r="BM558" s="40"/>
      <c r="BN558" s="5"/>
      <c r="BP558" s="40"/>
      <c r="BQ558" s="5"/>
      <c r="BS558" s="40"/>
      <c r="BT558" s="5"/>
      <c r="BV558" s="40"/>
      <c r="BW558" s="5"/>
      <c r="BY558" s="40"/>
      <c r="BZ558" s="5"/>
      <c r="CB558" s="40"/>
      <c r="CC558" s="5"/>
      <c r="CE558" s="40"/>
      <c r="CF558" s="5"/>
      <c r="CH558" s="40"/>
      <c r="CI558" s="5"/>
      <c r="CK558" s="40"/>
      <c r="CL558" s="5"/>
      <c r="CN558" s="40"/>
      <c r="CO558" s="5"/>
      <c r="CQ558" s="40"/>
      <c r="CR558" s="5"/>
    </row>
    <row r="559">
      <c r="AO559" s="40"/>
      <c r="AP559" s="5"/>
      <c r="AR559" s="40"/>
      <c r="AS559" s="5"/>
      <c r="AU559" s="40"/>
      <c r="AV559" s="5"/>
      <c r="AX559" s="40"/>
      <c r="AY559" s="5"/>
      <c r="BA559" s="40"/>
      <c r="BB559" s="5"/>
      <c r="BD559" s="40"/>
      <c r="BE559" s="5"/>
      <c r="BG559" s="40"/>
      <c r="BH559" s="5"/>
      <c r="BJ559" s="40"/>
      <c r="BK559" s="5"/>
      <c r="BM559" s="40"/>
      <c r="BN559" s="5"/>
      <c r="BP559" s="40"/>
      <c r="BQ559" s="5"/>
      <c r="BS559" s="40"/>
      <c r="BT559" s="5"/>
      <c r="BV559" s="40"/>
      <c r="BW559" s="5"/>
      <c r="BY559" s="40"/>
      <c r="BZ559" s="5"/>
      <c r="CB559" s="40"/>
      <c r="CC559" s="5"/>
      <c r="CE559" s="40"/>
      <c r="CF559" s="5"/>
      <c r="CH559" s="40"/>
      <c r="CI559" s="5"/>
      <c r="CK559" s="40"/>
      <c r="CL559" s="5"/>
      <c r="CN559" s="40"/>
      <c r="CO559" s="5"/>
      <c r="CQ559" s="40"/>
      <c r="CR559" s="5"/>
    </row>
    <row r="560">
      <c r="AO560" s="40"/>
      <c r="AP560" s="5"/>
      <c r="AR560" s="40"/>
      <c r="AS560" s="5"/>
      <c r="AU560" s="40"/>
      <c r="AV560" s="5"/>
      <c r="AX560" s="40"/>
      <c r="AY560" s="5"/>
      <c r="BA560" s="40"/>
      <c r="BB560" s="5"/>
      <c r="BD560" s="40"/>
      <c r="BE560" s="5"/>
      <c r="BG560" s="40"/>
      <c r="BH560" s="5"/>
      <c r="BJ560" s="40"/>
      <c r="BK560" s="5"/>
      <c r="BM560" s="40"/>
      <c r="BN560" s="5"/>
      <c r="BP560" s="40"/>
      <c r="BQ560" s="5"/>
      <c r="BS560" s="40"/>
      <c r="BT560" s="5"/>
      <c r="BV560" s="40"/>
      <c r="BW560" s="5"/>
      <c r="BY560" s="40"/>
      <c r="BZ560" s="5"/>
      <c r="CB560" s="40"/>
      <c r="CC560" s="5"/>
      <c r="CE560" s="40"/>
      <c r="CF560" s="5"/>
      <c r="CH560" s="40"/>
      <c r="CI560" s="5"/>
      <c r="CK560" s="40"/>
      <c r="CL560" s="5"/>
      <c r="CN560" s="40"/>
      <c r="CO560" s="5"/>
      <c r="CQ560" s="40"/>
      <c r="CR560" s="5"/>
    </row>
    <row r="561">
      <c r="AO561" s="40"/>
      <c r="AP561" s="5"/>
      <c r="AR561" s="40"/>
      <c r="AS561" s="5"/>
      <c r="AU561" s="40"/>
      <c r="AV561" s="5"/>
      <c r="AX561" s="40"/>
      <c r="AY561" s="5"/>
      <c r="BA561" s="40"/>
      <c r="BB561" s="5"/>
      <c r="BD561" s="40"/>
      <c r="BE561" s="5"/>
      <c r="BG561" s="40"/>
      <c r="BH561" s="5"/>
      <c r="BJ561" s="40"/>
      <c r="BK561" s="5"/>
      <c r="BM561" s="40"/>
      <c r="BN561" s="5"/>
      <c r="BP561" s="40"/>
      <c r="BQ561" s="5"/>
      <c r="BS561" s="40"/>
      <c r="BT561" s="5"/>
      <c r="BV561" s="40"/>
      <c r="BW561" s="5"/>
      <c r="BY561" s="40"/>
      <c r="BZ561" s="5"/>
      <c r="CB561" s="40"/>
      <c r="CC561" s="5"/>
      <c r="CE561" s="40"/>
      <c r="CF561" s="5"/>
      <c r="CH561" s="40"/>
      <c r="CI561" s="5"/>
      <c r="CK561" s="40"/>
      <c r="CL561" s="5"/>
      <c r="CN561" s="40"/>
      <c r="CO561" s="5"/>
      <c r="CQ561" s="40"/>
      <c r="CR561" s="5"/>
    </row>
    <row r="562">
      <c r="AO562" s="40"/>
      <c r="AP562" s="5"/>
      <c r="AR562" s="40"/>
      <c r="AS562" s="5"/>
      <c r="AU562" s="40"/>
      <c r="AV562" s="5"/>
      <c r="AX562" s="40"/>
      <c r="AY562" s="5"/>
      <c r="BA562" s="40"/>
      <c r="BB562" s="5"/>
      <c r="BD562" s="40"/>
      <c r="BE562" s="5"/>
      <c r="BG562" s="40"/>
      <c r="BH562" s="5"/>
      <c r="BJ562" s="40"/>
      <c r="BK562" s="5"/>
      <c r="BM562" s="40"/>
      <c r="BN562" s="5"/>
      <c r="BP562" s="40"/>
      <c r="BQ562" s="5"/>
      <c r="BS562" s="40"/>
      <c r="BT562" s="5"/>
      <c r="BV562" s="40"/>
      <c r="BW562" s="5"/>
      <c r="BY562" s="40"/>
      <c r="BZ562" s="5"/>
      <c r="CB562" s="40"/>
      <c r="CC562" s="5"/>
      <c r="CE562" s="40"/>
      <c r="CF562" s="5"/>
      <c r="CH562" s="40"/>
      <c r="CI562" s="5"/>
      <c r="CK562" s="40"/>
      <c r="CL562" s="5"/>
      <c r="CN562" s="40"/>
      <c r="CO562" s="5"/>
      <c r="CQ562" s="40"/>
      <c r="CR562" s="5"/>
    </row>
    <row r="563">
      <c r="AO563" s="40"/>
      <c r="AP563" s="5"/>
      <c r="AR563" s="40"/>
      <c r="AS563" s="5"/>
      <c r="AU563" s="40"/>
      <c r="AV563" s="5"/>
      <c r="AX563" s="40"/>
      <c r="AY563" s="5"/>
      <c r="BA563" s="40"/>
      <c r="BB563" s="5"/>
      <c r="BD563" s="40"/>
      <c r="BE563" s="5"/>
      <c r="BG563" s="40"/>
      <c r="BH563" s="5"/>
      <c r="BJ563" s="40"/>
      <c r="BK563" s="5"/>
      <c r="BM563" s="40"/>
      <c r="BN563" s="5"/>
      <c r="BP563" s="40"/>
      <c r="BQ563" s="5"/>
      <c r="BS563" s="40"/>
      <c r="BT563" s="5"/>
      <c r="BV563" s="40"/>
      <c r="BW563" s="5"/>
      <c r="BY563" s="40"/>
      <c r="BZ563" s="5"/>
      <c r="CB563" s="40"/>
      <c r="CC563" s="5"/>
      <c r="CE563" s="40"/>
      <c r="CF563" s="5"/>
      <c r="CH563" s="40"/>
      <c r="CI563" s="5"/>
      <c r="CK563" s="40"/>
      <c r="CL563" s="5"/>
      <c r="CN563" s="40"/>
      <c r="CO563" s="5"/>
      <c r="CQ563" s="40"/>
      <c r="CR563" s="5"/>
    </row>
    <row r="564">
      <c r="AO564" s="40"/>
      <c r="AP564" s="5"/>
      <c r="AR564" s="40"/>
      <c r="AS564" s="5"/>
      <c r="AU564" s="40"/>
      <c r="AV564" s="5"/>
      <c r="AX564" s="40"/>
      <c r="AY564" s="5"/>
      <c r="BA564" s="40"/>
      <c r="BB564" s="5"/>
      <c r="BD564" s="40"/>
      <c r="BE564" s="5"/>
      <c r="BG564" s="40"/>
      <c r="BH564" s="5"/>
      <c r="BJ564" s="40"/>
      <c r="BK564" s="5"/>
      <c r="BM564" s="40"/>
      <c r="BN564" s="5"/>
      <c r="BP564" s="40"/>
      <c r="BQ564" s="5"/>
      <c r="BS564" s="40"/>
      <c r="BT564" s="5"/>
      <c r="BV564" s="40"/>
      <c r="BW564" s="5"/>
      <c r="BY564" s="40"/>
      <c r="BZ564" s="5"/>
      <c r="CB564" s="40"/>
      <c r="CC564" s="5"/>
      <c r="CE564" s="40"/>
      <c r="CF564" s="5"/>
      <c r="CH564" s="40"/>
      <c r="CI564" s="5"/>
      <c r="CK564" s="40"/>
      <c r="CL564" s="5"/>
      <c r="CN564" s="40"/>
      <c r="CO564" s="5"/>
      <c r="CQ564" s="40"/>
      <c r="CR564" s="5"/>
    </row>
    <row r="565">
      <c r="AO565" s="40"/>
      <c r="AP565" s="5"/>
      <c r="AR565" s="40"/>
      <c r="AS565" s="5"/>
      <c r="AU565" s="40"/>
      <c r="AV565" s="5"/>
      <c r="AX565" s="40"/>
      <c r="AY565" s="5"/>
      <c r="BA565" s="40"/>
      <c r="BB565" s="5"/>
      <c r="BD565" s="40"/>
      <c r="BE565" s="5"/>
      <c r="BG565" s="40"/>
      <c r="BH565" s="5"/>
      <c r="BJ565" s="40"/>
      <c r="BK565" s="5"/>
      <c r="BM565" s="40"/>
      <c r="BN565" s="5"/>
      <c r="BP565" s="40"/>
      <c r="BQ565" s="5"/>
      <c r="BS565" s="40"/>
      <c r="BT565" s="5"/>
      <c r="BV565" s="40"/>
      <c r="BW565" s="5"/>
      <c r="BY565" s="40"/>
      <c r="BZ565" s="5"/>
      <c r="CB565" s="40"/>
      <c r="CC565" s="5"/>
      <c r="CE565" s="40"/>
      <c r="CF565" s="5"/>
      <c r="CH565" s="40"/>
      <c r="CI565" s="5"/>
      <c r="CK565" s="40"/>
      <c r="CL565" s="5"/>
      <c r="CN565" s="40"/>
      <c r="CO565" s="5"/>
      <c r="CQ565" s="40"/>
      <c r="CR565" s="5"/>
    </row>
    <row r="566">
      <c r="AO566" s="40"/>
      <c r="AP566" s="5"/>
      <c r="AR566" s="40"/>
      <c r="AS566" s="5"/>
      <c r="AU566" s="40"/>
      <c r="AV566" s="5"/>
      <c r="AX566" s="40"/>
      <c r="AY566" s="5"/>
      <c r="BA566" s="40"/>
      <c r="BB566" s="5"/>
      <c r="BD566" s="40"/>
      <c r="BE566" s="5"/>
      <c r="BG566" s="40"/>
      <c r="BH566" s="5"/>
      <c r="BJ566" s="40"/>
      <c r="BK566" s="5"/>
      <c r="BM566" s="40"/>
      <c r="BN566" s="5"/>
      <c r="BP566" s="40"/>
      <c r="BQ566" s="5"/>
      <c r="BS566" s="40"/>
      <c r="BT566" s="5"/>
      <c r="BV566" s="40"/>
      <c r="BW566" s="5"/>
      <c r="BY566" s="40"/>
      <c r="BZ566" s="5"/>
      <c r="CB566" s="40"/>
      <c r="CC566" s="5"/>
      <c r="CE566" s="40"/>
      <c r="CF566" s="5"/>
      <c r="CH566" s="40"/>
      <c r="CI566" s="5"/>
      <c r="CK566" s="40"/>
      <c r="CL566" s="5"/>
      <c r="CN566" s="40"/>
      <c r="CO566" s="5"/>
      <c r="CQ566" s="40"/>
      <c r="CR566" s="5"/>
    </row>
    <row r="567">
      <c r="AO567" s="40"/>
      <c r="AP567" s="5"/>
      <c r="AR567" s="40"/>
      <c r="AS567" s="5"/>
      <c r="AU567" s="40"/>
      <c r="AV567" s="5"/>
      <c r="AX567" s="40"/>
      <c r="AY567" s="5"/>
      <c r="BA567" s="40"/>
      <c r="BB567" s="5"/>
      <c r="BD567" s="40"/>
      <c r="BE567" s="5"/>
      <c r="BG567" s="40"/>
      <c r="BH567" s="5"/>
      <c r="BJ567" s="40"/>
      <c r="BK567" s="5"/>
      <c r="BM567" s="40"/>
      <c r="BN567" s="5"/>
      <c r="BP567" s="40"/>
      <c r="BQ567" s="5"/>
      <c r="BS567" s="40"/>
      <c r="BT567" s="5"/>
      <c r="BV567" s="40"/>
      <c r="BW567" s="5"/>
      <c r="BY567" s="40"/>
      <c r="BZ567" s="5"/>
      <c r="CB567" s="40"/>
      <c r="CC567" s="5"/>
      <c r="CE567" s="40"/>
      <c r="CF567" s="5"/>
      <c r="CH567" s="40"/>
      <c r="CI567" s="5"/>
      <c r="CK567" s="40"/>
      <c r="CL567" s="5"/>
      <c r="CN567" s="40"/>
      <c r="CO567" s="5"/>
      <c r="CQ567" s="40"/>
      <c r="CR567" s="5"/>
    </row>
    <row r="568">
      <c r="AO568" s="40"/>
      <c r="AP568" s="5"/>
      <c r="AR568" s="40"/>
      <c r="AS568" s="5"/>
      <c r="AU568" s="40"/>
      <c r="AV568" s="5"/>
      <c r="AX568" s="40"/>
      <c r="AY568" s="5"/>
      <c r="BA568" s="40"/>
      <c r="BB568" s="5"/>
      <c r="BD568" s="40"/>
      <c r="BE568" s="5"/>
      <c r="BG568" s="40"/>
      <c r="BH568" s="5"/>
      <c r="BJ568" s="40"/>
      <c r="BK568" s="5"/>
      <c r="BM568" s="40"/>
      <c r="BN568" s="5"/>
      <c r="BP568" s="40"/>
      <c r="BQ568" s="5"/>
      <c r="BS568" s="40"/>
      <c r="BT568" s="5"/>
      <c r="BV568" s="40"/>
      <c r="BW568" s="5"/>
      <c r="BY568" s="40"/>
      <c r="BZ568" s="5"/>
      <c r="CB568" s="40"/>
      <c r="CC568" s="5"/>
      <c r="CE568" s="40"/>
      <c r="CF568" s="5"/>
      <c r="CH568" s="40"/>
      <c r="CI568" s="5"/>
      <c r="CK568" s="40"/>
      <c r="CL568" s="5"/>
      <c r="CN568" s="40"/>
      <c r="CO568" s="5"/>
      <c r="CQ568" s="40"/>
      <c r="CR568" s="5"/>
    </row>
    <row r="569">
      <c r="AO569" s="40"/>
      <c r="AP569" s="5"/>
      <c r="AR569" s="40"/>
      <c r="AS569" s="5"/>
      <c r="AU569" s="40"/>
      <c r="AV569" s="5"/>
      <c r="AX569" s="40"/>
      <c r="AY569" s="5"/>
      <c r="BA569" s="40"/>
      <c r="BB569" s="5"/>
      <c r="BD569" s="40"/>
      <c r="BE569" s="5"/>
      <c r="BG569" s="40"/>
      <c r="BH569" s="5"/>
      <c r="BJ569" s="40"/>
      <c r="BK569" s="5"/>
      <c r="BM569" s="40"/>
      <c r="BN569" s="5"/>
      <c r="BP569" s="40"/>
      <c r="BQ569" s="5"/>
      <c r="BS569" s="40"/>
      <c r="BT569" s="5"/>
      <c r="BV569" s="40"/>
      <c r="BW569" s="5"/>
      <c r="BY569" s="40"/>
      <c r="BZ569" s="5"/>
      <c r="CB569" s="40"/>
      <c r="CC569" s="5"/>
      <c r="CE569" s="40"/>
      <c r="CF569" s="5"/>
      <c r="CH569" s="40"/>
      <c r="CI569" s="5"/>
      <c r="CK569" s="40"/>
      <c r="CL569" s="5"/>
      <c r="CN569" s="40"/>
      <c r="CO569" s="5"/>
      <c r="CQ569" s="40"/>
      <c r="CR569" s="5"/>
    </row>
    <row r="570">
      <c r="AO570" s="40"/>
      <c r="AP570" s="5"/>
      <c r="AR570" s="40"/>
      <c r="AS570" s="5"/>
      <c r="AU570" s="40"/>
      <c r="AV570" s="5"/>
      <c r="AX570" s="40"/>
      <c r="AY570" s="5"/>
      <c r="BA570" s="40"/>
      <c r="BB570" s="5"/>
      <c r="BD570" s="40"/>
      <c r="BE570" s="5"/>
      <c r="BG570" s="40"/>
      <c r="BH570" s="5"/>
      <c r="BJ570" s="40"/>
      <c r="BK570" s="5"/>
      <c r="BM570" s="40"/>
      <c r="BN570" s="5"/>
      <c r="BP570" s="40"/>
      <c r="BQ570" s="5"/>
      <c r="BS570" s="40"/>
      <c r="BT570" s="5"/>
      <c r="BV570" s="40"/>
      <c r="BW570" s="5"/>
      <c r="BY570" s="40"/>
      <c r="BZ570" s="5"/>
      <c r="CB570" s="40"/>
      <c r="CC570" s="5"/>
      <c r="CE570" s="40"/>
      <c r="CF570" s="5"/>
      <c r="CH570" s="40"/>
      <c r="CI570" s="5"/>
      <c r="CK570" s="40"/>
      <c r="CL570" s="5"/>
      <c r="CN570" s="40"/>
      <c r="CO570" s="5"/>
      <c r="CQ570" s="40"/>
      <c r="CR570" s="5"/>
    </row>
    <row r="571">
      <c r="AO571" s="40"/>
      <c r="AP571" s="5"/>
      <c r="AR571" s="40"/>
      <c r="AS571" s="5"/>
      <c r="AU571" s="40"/>
      <c r="AV571" s="5"/>
      <c r="AX571" s="40"/>
      <c r="AY571" s="5"/>
      <c r="BA571" s="40"/>
      <c r="BB571" s="5"/>
      <c r="BD571" s="40"/>
      <c r="BE571" s="5"/>
      <c r="BG571" s="40"/>
      <c r="BH571" s="5"/>
      <c r="BJ571" s="40"/>
      <c r="BK571" s="5"/>
      <c r="BM571" s="40"/>
      <c r="BN571" s="5"/>
      <c r="BP571" s="40"/>
      <c r="BQ571" s="5"/>
      <c r="BS571" s="40"/>
      <c r="BT571" s="5"/>
      <c r="BV571" s="40"/>
      <c r="BW571" s="5"/>
      <c r="BY571" s="40"/>
      <c r="BZ571" s="5"/>
      <c r="CB571" s="40"/>
      <c r="CC571" s="5"/>
      <c r="CE571" s="40"/>
      <c r="CF571" s="5"/>
      <c r="CH571" s="40"/>
      <c r="CI571" s="5"/>
      <c r="CK571" s="40"/>
      <c r="CL571" s="5"/>
      <c r="CN571" s="40"/>
      <c r="CO571" s="5"/>
      <c r="CQ571" s="40"/>
      <c r="CR571" s="5"/>
    </row>
    <row r="572">
      <c r="AO572" s="40"/>
      <c r="AP572" s="5"/>
      <c r="AR572" s="40"/>
      <c r="AS572" s="5"/>
      <c r="AU572" s="40"/>
      <c r="AV572" s="5"/>
      <c r="AX572" s="40"/>
      <c r="AY572" s="5"/>
      <c r="BA572" s="40"/>
      <c r="BB572" s="5"/>
      <c r="BD572" s="40"/>
      <c r="BE572" s="5"/>
      <c r="BG572" s="40"/>
      <c r="BH572" s="5"/>
      <c r="BJ572" s="40"/>
      <c r="BK572" s="5"/>
      <c r="BM572" s="40"/>
      <c r="BN572" s="5"/>
      <c r="BP572" s="40"/>
      <c r="BQ572" s="5"/>
      <c r="BS572" s="40"/>
      <c r="BT572" s="5"/>
      <c r="BV572" s="40"/>
      <c r="BW572" s="5"/>
      <c r="BY572" s="40"/>
      <c r="BZ572" s="5"/>
      <c r="CB572" s="40"/>
      <c r="CC572" s="5"/>
      <c r="CE572" s="40"/>
      <c r="CF572" s="5"/>
      <c r="CH572" s="40"/>
      <c r="CI572" s="5"/>
      <c r="CK572" s="40"/>
      <c r="CL572" s="5"/>
      <c r="CN572" s="40"/>
      <c r="CO572" s="5"/>
      <c r="CQ572" s="40"/>
      <c r="CR572" s="5"/>
    </row>
    <row r="573">
      <c r="AO573" s="40"/>
      <c r="AP573" s="5"/>
      <c r="AR573" s="40"/>
      <c r="AS573" s="5"/>
      <c r="AU573" s="40"/>
      <c r="AV573" s="5"/>
      <c r="AX573" s="40"/>
      <c r="AY573" s="5"/>
      <c r="BA573" s="40"/>
      <c r="BB573" s="5"/>
      <c r="BD573" s="40"/>
      <c r="BE573" s="5"/>
      <c r="BG573" s="40"/>
      <c r="BH573" s="5"/>
      <c r="BJ573" s="40"/>
      <c r="BK573" s="5"/>
      <c r="BM573" s="40"/>
      <c r="BN573" s="5"/>
      <c r="BP573" s="40"/>
      <c r="BQ573" s="5"/>
      <c r="BS573" s="40"/>
      <c r="BT573" s="5"/>
      <c r="BV573" s="40"/>
      <c r="BW573" s="5"/>
      <c r="BY573" s="40"/>
      <c r="BZ573" s="5"/>
      <c r="CB573" s="40"/>
      <c r="CC573" s="5"/>
      <c r="CE573" s="40"/>
      <c r="CF573" s="5"/>
      <c r="CH573" s="40"/>
      <c r="CI573" s="5"/>
      <c r="CK573" s="40"/>
      <c r="CL573" s="5"/>
      <c r="CN573" s="40"/>
      <c r="CO573" s="5"/>
      <c r="CQ573" s="40"/>
      <c r="CR573" s="5"/>
    </row>
    <row r="574">
      <c r="AO574" s="40"/>
      <c r="AP574" s="5"/>
      <c r="AR574" s="40"/>
      <c r="AS574" s="5"/>
      <c r="AU574" s="40"/>
      <c r="AV574" s="5"/>
      <c r="AX574" s="40"/>
      <c r="AY574" s="5"/>
      <c r="BA574" s="40"/>
      <c r="BB574" s="5"/>
      <c r="BD574" s="40"/>
      <c r="BE574" s="5"/>
      <c r="BG574" s="40"/>
      <c r="BH574" s="5"/>
      <c r="BJ574" s="40"/>
      <c r="BK574" s="5"/>
      <c r="BM574" s="40"/>
      <c r="BN574" s="5"/>
      <c r="BP574" s="40"/>
      <c r="BQ574" s="5"/>
      <c r="BS574" s="40"/>
      <c r="BT574" s="5"/>
      <c r="BV574" s="40"/>
      <c r="BW574" s="5"/>
      <c r="BY574" s="40"/>
      <c r="BZ574" s="5"/>
      <c r="CB574" s="40"/>
      <c r="CC574" s="5"/>
      <c r="CE574" s="40"/>
      <c r="CF574" s="5"/>
      <c r="CH574" s="40"/>
      <c r="CI574" s="5"/>
      <c r="CK574" s="40"/>
      <c r="CL574" s="5"/>
      <c r="CN574" s="40"/>
      <c r="CO574" s="5"/>
      <c r="CQ574" s="40"/>
      <c r="CR574" s="5"/>
    </row>
    <row r="575">
      <c r="AO575" s="40"/>
      <c r="AP575" s="5"/>
      <c r="AR575" s="40"/>
      <c r="AS575" s="5"/>
      <c r="AU575" s="40"/>
      <c r="AV575" s="5"/>
      <c r="AX575" s="40"/>
      <c r="AY575" s="5"/>
      <c r="BA575" s="40"/>
      <c r="BB575" s="5"/>
      <c r="BD575" s="40"/>
      <c r="BE575" s="5"/>
      <c r="BG575" s="40"/>
      <c r="BH575" s="5"/>
      <c r="BJ575" s="40"/>
      <c r="BK575" s="5"/>
      <c r="BM575" s="40"/>
      <c r="BN575" s="5"/>
      <c r="BP575" s="40"/>
      <c r="BQ575" s="5"/>
      <c r="BS575" s="40"/>
      <c r="BT575" s="5"/>
      <c r="BV575" s="40"/>
      <c r="BW575" s="5"/>
      <c r="BY575" s="40"/>
      <c r="BZ575" s="5"/>
      <c r="CB575" s="40"/>
      <c r="CC575" s="5"/>
      <c r="CE575" s="40"/>
      <c r="CF575" s="5"/>
      <c r="CH575" s="40"/>
      <c r="CI575" s="5"/>
      <c r="CK575" s="40"/>
      <c r="CL575" s="5"/>
      <c r="CN575" s="40"/>
      <c r="CO575" s="5"/>
      <c r="CQ575" s="40"/>
      <c r="CR575" s="5"/>
    </row>
    <row r="576">
      <c r="AO576" s="40"/>
      <c r="AP576" s="5"/>
      <c r="AR576" s="40"/>
      <c r="AS576" s="5"/>
      <c r="AU576" s="40"/>
      <c r="AV576" s="5"/>
      <c r="AX576" s="40"/>
      <c r="AY576" s="5"/>
      <c r="BA576" s="40"/>
      <c r="BB576" s="5"/>
      <c r="BD576" s="40"/>
      <c r="BE576" s="5"/>
      <c r="BG576" s="40"/>
      <c r="BH576" s="5"/>
      <c r="BJ576" s="40"/>
      <c r="BK576" s="5"/>
      <c r="BM576" s="40"/>
      <c r="BN576" s="5"/>
      <c r="BP576" s="40"/>
      <c r="BQ576" s="5"/>
      <c r="BS576" s="40"/>
      <c r="BT576" s="5"/>
      <c r="BV576" s="40"/>
      <c r="BW576" s="5"/>
      <c r="BY576" s="40"/>
      <c r="BZ576" s="5"/>
      <c r="CB576" s="40"/>
      <c r="CC576" s="5"/>
      <c r="CE576" s="40"/>
      <c r="CF576" s="5"/>
      <c r="CH576" s="40"/>
      <c r="CI576" s="5"/>
      <c r="CK576" s="40"/>
      <c r="CL576" s="5"/>
      <c r="CN576" s="40"/>
      <c r="CO576" s="5"/>
      <c r="CQ576" s="40"/>
      <c r="CR576" s="5"/>
    </row>
    <row r="577">
      <c r="AO577" s="40"/>
      <c r="AP577" s="5"/>
      <c r="AR577" s="40"/>
      <c r="AS577" s="5"/>
      <c r="AU577" s="40"/>
      <c r="AV577" s="5"/>
      <c r="AX577" s="40"/>
      <c r="AY577" s="5"/>
      <c r="BA577" s="40"/>
      <c r="BB577" s="5"/>
      <c r="BD577" s="40"/>
      <c r="BE577" s="5"/>
      <c r="BG577" s="40"/>
      <c r="BH577" s="5"/>
      <c r="BJ577" s="40"/>
      <c r="BK577" s="5"/>
      <c r="BM577" s="40"/>
      <c r="BN577" s="5"/>
      <c r="BP577" s="40"/>
      <c r="BQ577" s="5"/>
      <c r="BS577" s="40"/>
      <c r="BT577" s="5"/>
      <c r="BV577" s="40"/>
      <c r="BW577" s="5"/>
      <c r="BY577" s="40"/>
      <c r="BZ577" s="5"/>
      <c r="CB577" s="40"/>
      <c r="CC577" s="5"/>
      <c r="CE577" s="40"/>
      <c r="CF577" s="5"/>
      <c r="CH577" s="40"/>
      <c r="CI577" s="5"/>
      <c r="CK577" s="40"/>
      <c r="CL577" s="5"/>
      <c r="CN577" s="40"/>
      <c r="CO577" s="5"/>
      <c r="CQ577" s="40"/>
      <c r="CR577" s="5"/>
    </row>
    <row r="578">
      <c r="AO578" s="40"/>
      <c r="AP578" s="5"/>
      <c r="AR578" s="40"/>
      <c r="AS578" s="5"/>
      <c r="AU578" s="40"/>
      <c r="AV578" s="5"/>
      <c r="AX578" s="40"/>
      <c r="AY578" s="5"/>
      <c r="BA578" s="40"/>
      <c r="BB578" s="5"/>
      <c r="BD578" s="40"/>
      <c r="BE578" s="5"/>
      <c r="BG578" s="40"/>
      <c r="BH578" s="5"/>
      <c r="BJ578" s="40"/>
      <c r="BK578" s="5"/>
      <c r="BM578" s="40"/>
      <c r="BN578" s="5"/>
      <c r="BP578" s="40"/>
      <c r="BQ578" s="5"/>
      <c r="BS578" s="40"/>
      <c r="BT578" s="5"/>
      <c r="BV578" s="40"/>
      <c r="BW578" s="5"/>
      <c r="BY578" s="40"/>
      <c r="BZ578" s="5"/>
      <c r="CB578" s="40"/>
      <c r="CC578" s="5"/>
      <c r="CE578" s="40"/>
      <c r="CF578" s="5"/>
      <c r="CH578" s="40"/>
      <c r="CI578" s="5"/>
      <c r="CK578" s="40"/>
      <c r="CL578" s="5"/>
      <c r="CN578" s="40"/>
      <c r="CO578" s="5"/>
      <c r="CQ578" s="40"/>
      <c r="CR578" s="5"/>
    </row>
    <row r="579">
      <c r="AO579" s="40"/>
      <c r="AP579" s="5"/>
      <c r="AR579" s="40"/>
      <c r="AS579" s="5"/>
      <c r="AU579" s="40"/>
      <c r="AV579" s="5"/>
      <c r="AX579" s="40"/>
      <c r="AY579" s="5"/>
      <c r="BA579" s="40"/>
      <c r="BB579" s="5"/>
      <c r="BD579" s="40"/>
      <c r="BE579" s="5"/>
      <c r="BG579" s="40"/>
      <c r="BH579" s="5"/>
      <c r="BJ579" s="40"/>
      <c r="BK579" s="5"/>
      <c r="BM579" s="40"/>
      <c r="BN579" s="5"/>
      <c r="BP579" s="40"/>
      <c r="BQ579" s="5"/>
      <c r="BS579" s="40"/>
      <c r="BT579" s="5"/>
      <c r="BV579" s="40"/>
      <c r="BW579" s="5"/>
      <c r="BY579" s="40"/>
      <c r="BZ579" s="5"/>
      <c r="CB579" s="40"/>
      <c r="CC579" s="5"/>
      <c r="CE579" s="40"/>
      <c r="CF579" s="5"/>
      <c r="CH579" s="40"/>
      <c r="CI579" s="5"/>
      <c r="CK579" s="40"/>
      <c r="CL579" s="5"/>
      <c r="CN579" s="40"/>
      <c r="CO579" s="5"/>
      <c r="CQ579" s="40"/>
      <c r="CR579" s="5"/>
    </row>
    <row r="580">
      <c r="AO580" s="40"/>
      <c r="AP580" s="5"/>
      <c r="AR580" s="40"/>
      <c r="AS580" s="5"/>
      <c r="AU580" s="40"/>
      <c r="AV580" s="5"/>
      <c r="AX580" s="40"/>
      <c r="AY580" s="5"/>
      <c r="BA580" s="40"/>
      <c r="BB580" s="5"/>
      <c r="BD580" s="40"/>
      <c r="BE580" s="5"/>
      <c r="BG580" s="40"/>
      <c r="BH580" s="5"/>
      <c r="BJ580" s="40"/>
      <c r="BK580" s="5"/>
      <c r="BM580" s="40"/>
      <c r="BN580" s="5"/>
      <c r="BP580" s="40"/>
      <c r="BQ580" s="5"/>
      <c r="BS580" s="40"/>
      <c r="BT580" s="5"/>
      <c r="BV580" s="40"/>
      <c r="BW580" s="5"/>
      <c r="BY580" s="40"/>
      <c r="BZ580" s="5"/>
      <c r="CB580" s="40"/>
      <c r="CC580" s="5"/>
      <c r="CE580" s="40"/>
      <c r="CF580" s="5"/>
      <c r="CH580" s="40"/>
      <c r="CI580" s="5"/>
      <c r="CK580" s="40"/>
      <c r="CL580" s="5"/>
      <c r="CN580" s="40"/>
      <c r="CO580" s="5"/>
      <c r="CQ580" s="40"/>
      <c r="CR580" s="5"/>
    </row>
    <row r="581">
      <c r="AO581" s="40"/>
      <c r="AP581" s="5"/>
      <c r="AR581" s="40"/>
      <c r="AS581" s="5"/>
      <c r="AU581" s="40"/>
      <c r="AV581" s="5"/>
      <c r="AX581" s="40"/>
      <c r="AY581" s="5"/>
      <c r="BA581" s="40"/>
      <c r="BB581" s="5"/>
      <c r="BD581" s="40"/>
      <c r="BE581" s="5"/>
      <c r="BG581" s="40"/>
      <c r="BH581" s="5"/>
      <c r="BJ581" s="40"/>
      <c r="BK581" s="5"/>
      <c r="BM581" s="40"/>
      <c r="BN581" s="5"/>
      <c r="BP581" s="40"/>
      <c r="BQ581" s="5"/>
      <c r="BS581" s="40"/>
      <c r="BT581" s="5"/>
      <c r="BV581" s="40"/>
      <c r="BW581" s="5"/>
      <c r="BY581" s="40"/>
      <c r="BZ581" s="5"/>
      <c r="CB581" s="40"/>
      <c r="CC581" s="5"/>
      <c r="CE581" s="40"/>
      <c r="CF581" s="5"/>
      <c r="CH581" s="40"/>
      <c r="CI581" s="5"/>
      <c r="CK581" s="40"/>
      <c r="CL581" s="5"/>
      <c r="CN581" s="40"/>
      <c r="CO581" s="5"/>
      <c r="CQ581" s="40"/>
      <c r="CR581" s="5"/>
    </row>
    <row r="582">
      <c r="AO582" s="40"/>
      <c r="AP582" s="5"/>
      <c r="AR582" s="40"/>
      <c r="AS582" s="5"/>
      <c r="AU582" s="40"/>
      <c r="AV582" s="5"/>
      <c r="AX582" s="40"/>
      <c r="AY582" s="5"/>
      <c r="BA582" s="40"/>
      <c r="BB582" s="5"/>
      <c r="BD582" s="40"/>
      <c r="BE582" s="5"/>
      <c r="BG582" s="40"/>
      <c r="BH582" s="5"/>
      <c r="BJ582" s="40"/>
      <c r="BK582" s="5"/>
      <c r="BM582" s="40"/>
      <c r="BN582" s="5"/>
      <c r="BP582" s="40"/>
      <c r="BQ582" s="5"/>
      <c r="BS582" s="40"/>
      <c r="BT582" s="5"/>
      <c r="BV582" s="40"/>
      <c r="BW582" s="5"/>
      <c r="BY582" s="40"/>
      <c r="BZ582" s="5"/>
      <c r="CB582" s="40"/>
      <c r="CC582" s="5"/>
      <c r="CE582" s="40"/>
      <c r="CF582" s="5"/>
      <c r="CH582" s="40"/>
      <c r="CI582" s="5"/>
      <c r="CK582" s="40"/>
      <c r="CL582" s="5"/>
      <c r="CN582" s="40"/>
      <c r="CO582" s="5"/>
      <c r="CQ582" s="40"/>
      <c r="CR582" s="5"/>
    </row>
    <row r="583">
      <c r="AO583" s="40"/>
      <c r="AP583" s="5"/>
      <c r="AR583" s="40"/>
      <c r="AS583" s="5"/>
      <c r="AU583" s="40"/>
      <c r="AV583" s="5"/>
      <c r="AX583" s="40"/>
      <c r="AY583" s="5"/>
      <c r="BA583" s="40"/>
      <c r="BB583" s="5"/>
      <c r="BD583" s="40"/>
      <c r="BE583" s="5"/>
      <c r="BG583" s="40"/>
      <c r="BH583" s="5"/>
      <c r="BJ583" s="40"/>
      <c r="BK583" s="5"/>
      <c r="BM583" s="40"/>
      <c r="BN583" s="5"/>
      <c r="BP583" s="40"/>
      <c r="BQ583" s="5"/>
      <c r="BS583" s="40"/>
      <c r="BT583" s="5"/>
      <c r="BV583" s="40"/>
      <c r="BW583" s="5"/>
      <c r="BY583" s="40"/>
      <c r="BZ583" s="5"/>
      <c r="CB583" s="40"/>
      <c r="CC583" s="5"/>
      <c r="CE583" s="40"/>
      <c r="CF583" s="5"/>
      <c r="CH583" s="40"/>
      <c r="CI583" s="5"/>
      <c r="CK583" s="40"/>
      <c r="CL583" s="5"/>
      <c r="CN583" s="40"/>
      <c r="CO583" s="5"/>
      <c r="CQ583" s="40"/>
      <c r="CR583" s="5"/>
    </row>
    <row r="584">
      <c r="AO584" s="40"/>
      <c r="AP584" s="5"/>
      <c r="AR584" s="40"/>
      <c r="AS584" s="5"/>
      <c r="AU584" s="40"/>
      <c r="AV584" s="5"/>
      <c r="AX584" s="40"/>
      <c r="AY584" s="5"/>
      <c r="BA584" s="40"/>
      <c r="BB584" s="5"/>
      <c r="BD584" s="40"/>
      <c r="BE584" s="5"/>
      <c r="BG584" s="40"/>
      <c r="BH584" s="5"/>
      <c r="BJ584" s="40"/>
      <c r="BK584" s="5"/>
      <c r="BM584" s="40"/>
      <c r="BN584" s="5"/>
      <c r="BP584" s="40"/>
      <c r="BQ584" s="5"/>
      <c r="BS584" s="40"/>
      <c r="BT584" s="5"/>
      <c r="BV584" s="40"/>
      <c r="BW584" s="5"/>
      <c r="BY584" s="40"/>
      <c r="BZ584" s="5"/>
      <c r="CB584" s="40"/>
      <c r="CC584" s="5"/>
      <c r="CE584" s="40"/>
      <c r="CF584" s="5"/>
      <c r="CH584" s="40"/>
      <c r="CI584" s="5"/>
      <c r="CK584" s="40"/>
      <c r="CL584" s="5"/>
      <c r="CN584" s="40"/>
      <c r="CO584" s="5"/>
      <c r="CQ584" s="40"/>
      <c r="CR584" s="5"/>
    </row>
    <row r="585">
      <c r="AO585" s="40"/>
      <c r="AP585" s="5"/>
      <c r="AR585" s="40"/>
      <c r="AS585" s="5"/>
      <c r="AU585" s="40"/>
      <c r="AV585" s="5"/>
      <c r="AX585" s="40"/>
      <c r="AY585" s="5"/>
      <c r="BA585" s="40"/>
      <c r="BB585" s="5"/>
      <c r="BD585" s="40"/>
      <c r="BE585" s="5"/>
      <c r="BG585" s="40"/>
      <c r="BH585" s="5"/>
      <c r="BJ585" s="40"/>
      <c r="BK585" s="5"/>
      <c r="BM585" s="40"/>
      <c r="BN585" s="5"/>
      <c r="BP585" s="40"/>
      <c r="BQ585" s="5"/>
      <c r="BS585" s="40"/>
      <c r="BT585" s="5"/>
      <c r="BV585" s="40"/>
      <c r="BW585" s="5"/>
      <c r="BY585" s="40"/>
      <c r="BZ585" s="5"/>
      <c r="CB585" s="40"/>
      <c r="CC585" s="5"/>
      <c r="CE585" s="40"/>
      <c r="CF585" s="5"/>
      <c r="CH585" s="40"/>
      <c r="CI585" s="5"/>
      <c r="CK585" s="40"/>
      <c r="CL585" s="5"/>
      <c r="CN585" s="40"/>
      <c r="CO585" s="5"/>
      <c r="CQ585" s="40"/>
      <c r="CR585" s="5"/>
    </row>
    <row r="586">
      <c r="AO586" s="40"/>
      <c r="AP586" s="5"/>
      <c r="AR586" s="40"/>
      <c r="AS586" s="5"/>
      <c r="AU586" s="40"/>
      <c r="AV586" s="5"/>
      <c r="AX586" s="40"/>
      <c r="AY586" s="5"/>
      <c r="BA586" s="40"/>
      <c r="BB586" s="5"/>
      <c r="BD586" s="40"/>
      <c r="BE586" s="5"/>
      <c r="BG586" s="40"/>
      <c r="BH586" s="5"/>
      <c r="BJ586" s="40"/>
      <c r="BK586" s="5"/>
      <c r="BM586" s="40"/>
      <c r="BN586" s="5"/>
      <c r="BP586" s="40"/>
      <c r="BQ586" s="5"/>
      <c r="BS586" s="40"/>
      <c r="BT586" s="5"/>
      <c r="BV586" s="40"/>
      <c r="BW586" s="5"/>
      <c r="BY586" s="40"/>
      <c r="BZ586" s="5"/>
      <c r="CB586" s="40"/>
      <c r="CC586" s="5"/>
      <c r="CE586" s="40"/>
      <c r="CF586" s="5"/>
      <c r="CH586" s="40"/>
      <c r="CI586" s="5"/>
      <c r="CK586" s="40"/>
      <c r="CL586" s="5"/>
      <c r="CN586" s="40"/>
      <c r="CO586" s="5"/>
      <c r="CQ586" s="40"/>
      <c r="CR586" s="5"/>
    </row>
    <row r="587">
      <c r="AO587" s="40"/>
      <c r="AP587" s="5"/>
      <c r="AR587" s="40"/>
      <c r="AS587" s="5"/>
      <c r="AU587" s="40"/>
      <c r="AV587" s="5"/>
      <c r="AX587" s="40"/>
      <c r="AY587" s="5"/>
      <c r="BA587" s="40"/>
      <c r="BB587" s="5"/>
      <c r="BD587" s="40"/>
      <c r="BE587" s="5"/>
      <c r="BG587" s="40"/>
      <c r="BH587" s="5"/>
      <c r="BJ587" s="40"/>
      <c r="BK587" s="5"/>
      <c r="BM587" s="40"/>
      <c r="BN587" s="5"/>
      <c r="BP587" s="40"/>
      <c r="BQ587" s="5"/>
      <c r="BS587" s="40"/>
      <c r="BT587" s="5"/>
      <c r="BV587" s="40"/>
      <c r="BW587" s="5"/>
      <c r="BY587" s="40"/>
      <c r="BZ587" s="5"/>
      <c r="CB587" s="40"/>
      <c r="CC587" s="5"/>
      <c r="CE587" s="40"/>
      <c r="CF587" s="5"/>
      <c r="CH587" s="40"/>
      <c r="CI587" s="5"/>
      <c r="CK587" s="40"/>
      <c r="CL587" s="5"/>
      <c r="CN587" s="40"/>
      <c r="CO587" s="5"/>
      <c r="CQ587" s="40"/>
      <c r="CR587" s="5"/>
    </row>
    <row r="588">
      <c r="AO588" s="40"/>
      <c r="AP588" s="5"/>
      <c r="AR588" s="40"/>
      <c r="AS588" s="5"/>
      <c r="AU588" s="40"/>
      <c r="AV588" s="5"/>
      <c r="AX588" s="40"/>
      <c r="AY588" s="5"/>
      <c r="BA588" s="40"/>
      <c r="BB588" s="5"/>
      <c r="BD588" s="40"/>
      <c r="BE588" s="5"/>
      <c r="BG588" s="40"/>
      <c r="BH588" s="5"/>
      <c r="BJ588" s="40"/>
      <c r="BK588" s="5"/>
      <c r="BM588" s="40"/>
      <c r="BN588" s="5"/>
      <c r="BP588" s="40"/>
      <c r="BQ588" s="5"/>
      <c r="BS588" s="40"/>
      <c r="BT588" s="5"/>
      <c r="BV588" s="40"/>
      <c r="BW588" s="5"/>
      <c r="BY588" s="40"/>
      <c r="BZ588" s="5"/>
      <c r="CB588" s="40"/>
      <c r="CC588" s="5"/>
      <c r="CE588" s="40"/>
      <c r="CF588" s="5"/>
      <c r="CH588" s="40"/>
      <c r="CI588" s="5"/>
      <c r="CK588" s="40"/>
      <c r="CL588" s="5"/>
      <c r="CN588" s="40"/>
      <c r="CO588" s="5"/>
      <c r="CQ588" s="40"/>
      <c r="CR588" s="5"/>
    </row>
    <row r="589">
      <c r="AO589" s="40"/>
      <c r="AP589" s="5"/>
      <c r="AR589" s="40"/>
      <c r="AS589" s="5"/>
      <c r="AU589" s="40"/>
      <c r="AV589" s="5"/>
      <c r="AX589" s="40"/>
      <c r="AY589" s="5"/>
      <c r="BA589" s="40"/>
      <c r="BB589" s="5"/>
      <c r="BD589" s="40"/>
      <c r="BE589" s="5"/>
      <c r="BG589" s="40"/>
      <c r="BH589" s="5"/>
      <c r="BJ589" s="40"/>
      <c r="BK589" s="5"/>
      <c r="BM589" s="40"/>
      <c r="BN589" s="5"/>
      <c r="BP589" s="40"/>
      <c r="BQ589" s="5"/>
      <c r="BS589" s="40"/>
      <c r="BT589" s="5"/>
      <c r="BV589" s="40"/>
      <c r="BW589" s="5"/>
      <c r="BY589" s="40"/>
      <c r="BZ589" s="5"/>
      <c r="CB589" s="40"/>
      <c r="CC589" s="5"/>
      <c r="CE589" s="40"/>
      <c r="CF589" s="5"/>
      <c r="CH589" s="40"/>
      <c r="CI589" s="5"/>
      <c r="CK589" s="40"/>
      <c r="CL589" s="5"/>
      <c r="CN589" s="40"/>
      <c r="CO589" s="5"/>
      <c r="CQ589" s="40"/>
      <c r="CR589" s="5"/>
    </row>
    <row r="590">
      <c r="AO590" s="40"/>
      <c r="AP590" s="5"/>
      <c r="AR590" s="40"/>
      <c r="AS590" s="5"/>
      <c r="AU590" s="40"/>
      <c r="AV590" s="5"/>
      <c r="AX590" s="40"/>
      <c r="AY590" s="5"/>
      <c r="BA590" s="40"/>
      <c r="BB590" s="5"/>
      <c r="BD590" s="40"/>
      <c r="BE590" s="5"/>
      <c r="BG590" s="40"/>
      <c r="BH590" s="5"/>
      <c r="BJ590" s="40"/>
      <c r="BK590" s="5"/>
      <c r="BM590" s="40"/>
      <c r="BN590" s="5"/>
      <c r="BP590" s="40"/>
      <c r="BQ590" s="5"/>
      <c r="BS590" s="40"/>
      <c r="BT590" s="5"/>
      <c r="BV590" s="40"/>
      <c r="BW590" s="5"/>
      <c r="BY590" s="40"/>
      <c r="BZ590" s="5"/>
      <c r="CB590" s="40"/>
      <c r="CC590" s="5"/>
      <c r="CE590" s="40"/>
      <c r="CF590" s="5"/>
      <c r="CH590" s="40"/>
      <c r="CI590" s="5"/>
      <c r="CK590" s="40"/>
      <c r="CL590" s="5"/>
      <c r="CN590" s="40"/>
      <c r="CO590" s="5"/>
      <c r="CQ590" s="40"/>
      <c r="CR590" s="5"/>
    </row>
    <row r="591">
      <c r="AO591" s="40"/>
      <c r="AP591" s="5"/>
      <c r="AR591" s="40"/>
      <c r="AS591" s="5"/>
      <c r="AU591" s="40"/>
      <c r="AV591" s="5"/>
      <c r="AX591" s="40"/>
      <c r="AY591" s="5"/>
      <c r="BA591" s="40"/>
      <c r="BB591" s="5"/>
      <c r="BD591" s="40"/>
      <c r="BE591" s="5"/>
      <c r="BG591" s="40"/>
      <c r="BH591" s="5"/>
      <c r="BJ591" s="40"/>
      <c r="BK591" s="5"/>
      <c r="BM591" s="40"/>
      <c r="BN591" s="5"/>
      <c r="BP591" s="40"/>
      <c r="BQ591" s="5"/>
      <c r="BS591" s="40"/>
      <c r="BT591" s="5"/>
      <c r="BV591" s="40"/>
      <c r="BW591" s="5"/>
      <c r="BY591" s="40"/>
      <c r="BZ591" s="5"/>
      <c r="CB591" s="40"/>
      <c r="CC591" s="5"/>
      <c r="CE591" s="40"/>
      <c r="CF591" s="5"/>
      <c r="CH591" s="40"/>
      <c r="CI591" s="5"/>
      <c r="CK591" s="40"/>
      <c r="CL591" s="5"/>
      <c r="CN591" s="40"/>
      <c r="CO591" s="5"/>
      <c r="CQ591" s="40"/>
      <c r="CR591" s="5"/>
    </row>
    <row r="592">
      <c r="AO592" s="40"/>
      <c r="AP592" s="5"/>
      <c r="AR592" s="40"/>
      <c r="AS592" s="5"/>
      <c r="AU592" s="40"/>
      <c r="AV592" s="5"/>
      <c r="AX592" s="40"/>
      <c r="AY592" s="5"/>
      <c r="BA592" s="40"/>
      <c r="BB592" s="5"/>
      <c r="BD592" s="40"/>
      <c r="BE592" s="5"/>
      <c r="BG592" s="40"/>
      <c r="BH592" s="5"/>
      <c r="BJ592" s="40"/>
      <c r="BK592" s="5"/>
      <c r="BM592" s="40"/>
      <c r="BN592" s="5"/>
      <c r="BP592" s="40"/>
      <c r="BQ592" s="5"/>
      <c r="BS592" s="40"/>
      <c r="BT592" s="5"/>
      <c r="BV592" s="40"/>
      <c r="BW592" s="5"/>
      <c r="BY592" s="40"/>
      <c r="BZ592" s="5"/>
      <c r="CB592" s="40"/>
      <c r="CC592" s="5"/>
      <c r="CE592" s="40"/>
      <c r="CF592" s="5"/>
      <c r="CH592" s="40"/>
      <c r="CI592" s="5"/>
      <c r="CK592" s="40"/>
      <c r="CL592" s="5"/>
      <c r="CN592" s="40"/>
      <c r="CO592" s="5"/>
      <c r="CQ592" s="40"/>
      <c r="CR592" s="5"/>
    </row>
    <row r="593">
      <c r="AO593" s="40"/>
      <c r="AP593" s="5"/>
      <c r="AR593" s="40"/>
      <c r="AS593" s="5"/>
      <c r="AU593" s="40"/>
      <c r="AV593" s="5"/>
      <c r="AX593" s="40"/>
      <c r="AY593" s="5"/>
      <c r="BA593" s="40"/>
      <c r="BB593" s="5"/>
      <c r="BD593" s="40"/>
      <c r="BE593" s="5"/>
      <c r="BG593" s="40"/>
      <c r="BH593" s="5"/>
      <c r="BJ593" s="40"/>
      <c r="BK593" s="5"/>
      <c r="BM593" s="40"/>
      <c r="BN593" s="5"/>
      <c r="BP593" s="40"/>
      <c r="BQ593" s="5"/>
      <c r="BS593" s="40"/>
      <c r="BT593" s="5"/>
      <c r="BV593" s="40"/>
      <c r="BW593" s="5"/>
      <c r="BY593" s="40"/>
      <c r="BZ593" s="5"/>
      <c r="CB593" s="40"/>
      <c r="CC593" s="5"/>
      <c r="CE593" s="40"/>
      <c r="CF593" s="5"/>
      <c r="CH593" s="40"/>
      <c r="CI593" s="5"/>
      <c r="CK593" s="40"/>
      <c r="CL593" s="5"/>
      <c r="CN593" s="40"/>
      <c r="CO593" s="5"/>
      <c r="CQ593" s="40"/>
      <c r="CR593" s="5"/>
    </row>
    <row r="594">
      <c r="AO594" s="40"/>
      <c r="AP594" s="5"/>
      <c r="AR594" s="40"/>
      <c r="AS594" s="5"/>
      <c r="AU594" s="40"/>
      <c r="AV594" s="5"/>
      <c r="AX594" s="40"/>
      <c r="AY594" s="5"/>
      <c r="BA594" s="40"/>
      <c r="BB594" s="5"/>
      <c r="BD594" s="40"/>
      <c r="BE594" s="5"/>
      <c r="BG594" s="40"/>
      <c r="BH594" s="5"/>
      <c r="BJ594" s="40"/>
      <c r="BK594" s="5"/>
      <c r="BM594" s="40"/>
      <c r="BN594" s="5"/>
      <c r="BP594" s="40"/>
      <c r="BQ594" s="5"/>
      <c r="BS594" s="40"/>
      <c r="BT594" s="5"/>
      <c r="BV594" s="40"/>
      <c r="BW594" s="5"/>
      <c r="BY594" s="40"/>
      <c r="BZ594" s="5"/>
      <c r="CB594" s="40"/>
      <c r="CC594" s="5"/>
      <c r="CE594" s="40"/>
      <c r="CF594" s="5"/>
      <c r="CH594" s="40"/>
      <c r="CI594" s="5"/>
      <c r="CK594" s="40"/>
      <c r="CL594" s="5"/>
      <c r="CN594" s="40"/>
      <c r="CO594" s="5"/>
      <c r="CQ594" s="40"/>
      <c r="CR594" s="5"/>
    </row>
    <row r="595">
      <c r="AO595" s="40"/>
      <c r="AP595" s="5"/>
      <c r="AR595" s="40"/>
      <c r="AS595" s="5"/>
      <c r="AU595" s="40"/>
      <c r="AV595" s="5"/>
      <c r="AX595" s="40"/>
      <c r="AY595" s="5"/>
      <c r="BA595" s="40"/>
      <c r="BB595" s="5"/>
      <c r="BD595" s="40"/>
      <c r="BE595" s="5"/>
      <c r="BG595" s="40"/>
      <c r="BH595" s="5"/>
      <c r="BJ595" s="40"/>
      <c r="BK595" s="5"/>
      <c r="BM595" s="40"/>
      <c r="BN595" s="5"/>
      <c r="BP595" s="40"/>
      <c r="BQ595" s="5"/>
      <c r="BS595" s="40"/>
      <c r="BT595" s="5"/>
      <c r="BV595" s="40"/>
      <c r="BW595" s="5"/>
      <c r="BY595" s="40"/>
      <c r="BZ595" s="5"/>
      <c r="CB595" s="40"/>
      <c r="CC595" s="5"/>
      <c r="CE595" s="40"/>
      <c r="CF595" s="5"/>
      <c r="CH595" s="40"/>
      <c r="CI595" s="5"/>
      <c r="CK595" s="40"/>
      <c r="CL595" s="5"/>
      <c r="CN595" s="40"/>
      <c r="CO595" s="5"/>
      <c r="CQ595" s="40"/>
      <c r="CR595" s="5"/>
    </row>
    <row r="596">
      <c r="AO596" s="40"/>
      <c r="AP596" s="5"/>
      <c r="AR596" s="40"/>
      <c r="AS596" s="5"/>
      <c r="AU596" s="40"/>
      <c r="AV596" s="5"/>
      <c r="AX596" s="40"/>
      <c r="AY596" s="5"/>
      <c r="BA596" s="40"/>
      <c r="BB596" s="5"/>
      <c r="BD596" s="40"/>
      <c r="BE596" s="5"/>
      <c r="BG596" s="40"/>
      <c r="BH596" s="5"/>
      <c r="BJ596" s="40"/>
      <c r="BK596" s="5"/>
      <c r="BM596" s="40"/>
      <c r="BN596" s="5"/>
      <c r="BP596" s="40"/>
      <c r="BQ596" s="5"/>
      <c r="BS596" s="40"/>
      <c r="BT596" s="5"/>
      <c r="BV596" s="40"/>
      <c r="BW596" s="5"/>
      <c r="BY596" s="40"/>
      <c r="BZ596" s="5"/>
      <c r="CB596" s="40"/>
      <c r="CC596" s="5"/>
      <c r="CE596" s="40"/>
      <c r="CF596" s="5"/>
      <c r="CH596" s="40"/>
      <c r="CI596" s="5"/>
      <c r="CK596" s="40"/>
      <c r="CL596" s="5"/>
      <c r="CN596" s="40"/>
      <c r="CO596" s="5"/>
      <c r="CQ596" s="40"/>
      <c r="CR596" s="5"/>
    </row>
    <row r="597">
      <c r="AO597" s="40"/>
      <c r="AP597" s="5"/>
      <c r="AR597" s="40"/>
      <c r="AS597" s="5"/>
      <c r="AU597" s="40"/>
      <c r="AV597" s="5"/>
      <c r="AX597" s="40"/>
      <c r="AY597" s="5"/>
      <c r="BA597" s="40"/>
      <c r="BB597" s="5"/>
      <c r="BD597" s="40"/>
      <c r="BE597" s="5"/>
      <c r="BG597" s="40"/>
      <c r="BH597" s="5"/>
      <c r="BJ597" s="40"/>
      <c r="BK597" s="5"/>
      <c r="BM597" s="40"/>
      <c r="BN597" s="5"/>
      <c r="BP597" s="40"/>
      <c r="BQ597" s="5"/>
      <c r="BS597" s="40"/>
      <c r="BT597" s="5"/>
      <c r="BV597" s="40"/>
      <c r="BW597" s="5"/>
      <c r="BY597" s="40"/>
      <c r="BZ597" s="5"/>
      <c r="CB597" s="40"/>
      <c r="CC597" s="5"/>
      <c r="CE597" s="40"/>
      <c r="CF597" s="5"/>
      <c r="CH597" s="40"/>
      <c r="CI597" s="5"/>
      <c r="CK597" s="40"/>
      <c r="CL597" s="5"/>
      <c r="CN597" s="40"/>
      <c r="CO597" s="5"/>
      <c r="CQ597" s="40"/>
      <c r="CR597" s="5"/>
    </row>
    <row r="598">
      <c r="AO598" s="40"/>
      <c r="AP598" s="5"/>
      <c r="AR598" s="40"/>
      <c r="AS598" s="5"/>
      <c r="AU598" s="40"/>
      <c r="AV598" s="5"/>
      <c r="AX598" s="40"/>
      <c r="AY598" s="5"/>
      <c r="BA598" s="40"/>
      <c r="BB598" s="5"/>
      <c r="BD598" s="40"/>
      <c r="BE598" s="5"/>
      <c r="BG598" s="40"/>
      <c r="BH598" s="5"/>
      <c r="BJ598" s="40"/>
      <c r="BK598" s="5"/>
      <c r="BM598" s="40"/>
      <c r="BN598" s="5"/>
      <c r="BP598" s="40"/>
      <c r="BQ598" s="5"/>
      <c r="BS598" s="40"/>
      <c r="BT598" s="5"/>
      <c r="BV598" s="40"/>
      <c r="BW598" s="5"/>
      <c r="BY598" s="40"/>
      <c r="BZ598" s="5"/>
      <c r="CB598" s="40"/>
      <c r="CC598" s="5"/>
      <c r="CE598" s="40"/>
      <c r="CF598" s="5"/>
      <c r="CH598" s="40"/>
      <c r="CI598" s="5"/>
      <c r="CK598" s="40"/>
      <c r="CL598" s="5"/>
      <c r="CN598" s="40"/>
      <c r="CO598" s="5"/>
      <c r="CQ598" s="40"/>
      <c r="CR598" s="5"/>
    </row>
    <row r="599">
      <c r="AO599" s="40"/>
      <c r="AP599" s="5"/>
      <c r="AR599" s="40"/>
      <c r="AS599" s="5"/>
      <c r="AU599" s="40"/>
      <c r="AV599" s="5"/>
      <c r="AX599" s="40"/>
      <c r="AY599" s="5"/>
      <c r="BA599" s="40"/>
      <c r="BB599" s="5"/>
      <c r="BD599" s="40"/>
      <c r="BE599" s="5"/>
      <c r="BG599" s="40"/>
      <c r="BH599" s="5"/>
      <c r="BJ599" s="40"/>
      <c r="BK599" s="5"/>
      <c r="BM599" s="40"/>
      <c r="BN599" s="5"/>
      <c r="BP599" s="40"/>
      <c r="BQ599" s="5"/>
      <c r="BS599" s="40"/>
      <c r="BT599" s="5"/>
      <c r="BV599" s="40"/>
      <c r="BW599" s="5"/>
      <c r="BY599" s="40"/>
      <c r="BZ599" s="5"/>
      <c r="CB599" s="40"/>
      <c r="CC599" s="5"/>
      <c r="CE599" s="40"/>
      <c r="CF599" s="5"/>
      <c r="CH599" s="40"/>
      <c r="CI599" s="5"/>
      <c r="CK599" s="40"/>
      <c r="CL599" s="5"/>
      <c r="CN599" s="40"/>
      <c r="CO599" s="5"/>
      <c r="CQ599" s="40"/>
      <c r="CR599" s="5"/>
    </row>
    <row r="600">
      <c r="AO600" s="40"/>
      <c r="AP600" s="5"/>
      <c r="AR600" s="40"/>
      <c r="AS600" s="5"/>
      <c r="AU600" s="40"/>
      <c r="AV600" s="5"/>
      <c r="AX600" s="40"/>
      <c r="AY600" s="5"/>
      <c r="BA600" s="40"/>
      <c r="BB600" s="5"/>
      <c r="BD600" s="40"/>
      <c r="BE600" s="5"/>
      <c r="BG600" s="40"/>
      <c r="BH600" s="5"/>
      <c r="BJ600" s="40"/>
      <c r="BK600" s="5"/>
      <c r="BM600" s="40"/>
      <c r="BN600" s="5"/>
      <c r="BP600" s="40"/>
      <c r="BQ600" s="5"/>
      <c r="BS600" s="40"/>
      <c r="BT600" s="5"/>
      <c r="BV600" s="40"/>
      <c r="BW600" s="5"/>
      <c r="BY600" s="40"/>
      <c r="BZ600" s="5"/>
      <c r="CB600" s="40"/>
      <c r="CC600" s="5"/>
      <c r="CE600" s="40"/>
      <c r="CF600" s="5"/>
      <c r="CH600" s="40"/>
      <c r="CI600" s="5"/>
      <c r="CK600" s="40"/>
      <c r="CL600" s="5"/>
      <c r="CN600" s="40"/>
      <c r="CO600" s="5"/>
      <c r="CQ600" s="40"/>
      <c r="CR600" s="5"/>
    </row>
    <row r="601">
      <c r="AO601" s="40"/>
      <c r="AP601" s="5"/>
      <c r="AR601" s="40"/>
      <c r="AS601" s="5"/>
      <c r="AU601" s="40"/>
      <c r="AV601" s="5"/>
      <c r="AX601" s="40"/>
      <c r="AY601" s="5"/>
      <c r="BA601" s="40"/>
      <c r="BB601" s="5"/>
      <c r="BD601" s="40"/>
      <c r="BE601" s="5"/>
      <c r="BG601" s="40"/>
      <c r="BH601" s="5"/>
      <c r="BJ601" s="40"/>
      <c r="BK601" s="5"/>
      <c r="BM601" s="40"/>
      <c r="BN601" s="5"/>
      <c r="BP601" s="40"/>
      <c r="BQ601" s="5"/>
      <c r="BS601" s="40"/>
      <c r="BT601" s="5"/>
      <c r="BV601" s="40"/>
      <c r="BW601" s="5"/>
      <c r="BY601" s="40"/>
      <c r="BZ601" s="5"/>
      <c r="CB601" s="40"/>
      <c r="CC601" s="5"/>
      <c r="CE601" s="40"/>
      <c r="CF601" s="5"/>
      <c r="CH601" s="40"/>
      <c r="CI601" s="5"/>
      <c r="CK601" s="40"/>
      <c r="CL601" s="5"/>
      <c r="CN601" s="40"/>
      <c r="CO601" s="5"/>
      <c r="CQ601" s="40"/>
      <c r="CR601" s="5"/>
    </row>
    <row r="602">
      <c r="AO602" s="40"/>
      <c r="AP602" s="5"/>
      <c r="AR602" s="40"/>
      <c r="AS602" s="5"/>
      <c r="AU602" s="40"/>
      <c r="AV602" s="5"/>
      <c r="AX602" s="40"/>
      <c r="AY602" s="5"/>
      <c r="BA602" s="40"/>
      <c r="BB602" s="5"/>
      <c r="BD602" s="40"/>
      <c r="BE602" s="5"/>
      <c r="BG602" s="40"/>
      <c r="BH602" s="5"/>
      <c r="BJ602" s="40"/>
      <c r="BK602" s="5"/>
      <c r="BM602" s="40"/>
      <c r="BN602" s="5"/>
      <c r="BP602" s="40"/>
      <c r="BQ602" s="5"/>
      <c r="BS602" s="40"/>
      <c r="BT602" s="5"/>
      <c r="BV602" s="40"/>
      <c r="BW602" s="5"/>
      <c r="BY602" s="40"/>
      <c r="BZ602" s="5"/>
      <c r="CB602" s="40"/>
      <c r="CC602" s="5"/>
      <c r="CE602" s="40"/>
      <c r="CF602" s="5"/>
      <c r="CH602" s="40"/>
      <c r="CI602" s="5"/>
      <c r="CK602" s="40"/>
      <c r="CL602" s="5"/>
      <c r="CN602" s="40"/>
      <c r="CO602" s="5"/>
      <c r="CQ602" s="40"/>
      <c r="CR602" s="5"/>
    </row>
    <row r="603">
      <c r="AO603" s="40"/>
      <c r="AP603" s="5"/>
      <c r="AR603" s="40"/>
      <c r="AS603" s="5"/>
      <c r="AU603" s="40"/>
      <c r="AV603" s="5"/>
      <c r="AX603" s="40"/>
      <c r="AY603" s="5"/>
      <c r="BA603" s="40"/>
      <c r="BB603" s="5"/>
      <c r="BD603" s="40"/>
      <c r="BE603" s="5"/>
      <c r="BG603" s="40"/>
      <c r="BH603" s="5"/>
      <c r="BJ603" s="40"/>
      <c r="BK603" s="5"/>
      <c r="BM603" s="40"/>
      <c r="BN603" s="5"/>
      <c r="BP603" s="40"/>
      <c r="BQ603" s="5"/>
      <c r="BS603" s="40"/>
      <c r="BT603" s="5"/>
      <c r="BV603" s="40"/>
      <c r="BW603" s="5"/>
      <c r="BY603" s="40"/>
      <c r="BZ603" s="5"/>
      <c r="CB603" s="40"/>
      <c r="CC603" s="5"/>
      <c r="CE603" s="40"/>
      <c r="CF603" s="5"/>
      <c r="CH603" s="40"/>
      <c r="CI603" s="5"/>
      <c r="CK603" s="40"/>
      <c r="CL603" s="5"/>
      <c r="CN603" s="40"/>
      <c r="CO603" s="5"/>
      <c r="CQ603" s="40"/>
      <c r="CR603" s="5"/>
    </row>
    <row r="604">
      <c r="AO604" s="40"/>
      <c r="AP604" s="5"/>
      <c r="AR604" s="40"/>
      <c r="AS604" s="5"/>
      <c r="AU604" s="40"/>
      <c r="AV604" s="5"/>
      <c r="AX604" s="40"/>
      <c r="AY604" s="5"/>
      <c r="BA604" s="40"/>
      <c r="BB604" s="5"/>
      <c r="BD604" s="40"/>
      <c r="BE604" s="5"/>
      <c r="BG604" s="40"/>
      <c r="BH604" s="5"/>
      <c r="BJ604" s="40"/>
      <c r="BK604" s="5"/>
      <c r="BM604" s="40"/>
      <c r="BN604" s="5"/>
      <c r="BP604" s="40"/>
      <c r="BQ604" s="5"/>
      <c r="BS604" s="40"/>
      <c r="BT604" s="5"/>
      <c r="BV604" s="40"/>
      <c r="BW604" s="5"/>
      <c r="BY604" s="40"/>
      <c r="BZ604" s="5"/>
      <c r="CB604" s="40"/>
      <c r="CC604" s="5"/>
      <c r="CE604" s="40"/>
      <c r="CF604" s="5"/>
      <c r="CH604" s="40"/>
      <c r="CI604" s="5"/>
      <c r="CK604" s="40"/>
      <c r="CL604" s="5"/>
      <c r="CN604" s="40"/>
      <c r="CO604" s="5"/>
      <c r="CQ604" s="40"/>
      <c r="CR604" s="5"/>
    </row>
    <row r="605">
      <c r="AO605" s="40"/>
      <c r="AP605" s="5"/>
      <c r="AR605" s="40"/>
      <c r="AS605" s="5"/>
      <c r="AU605" s="40"/>
      <c r="AV605" s="5"/>
      <c r="AX605" s="40"/>
      <c r="AY605" s="5"/>
      <c r="BA605" s="40"/>
      <c r="BB605" s="5"/>
      <c r="BD605" s="40"/>
      <c r="BE605" s="5"/>
      <c r="BG605" s="40"/>
      <c r="BH605" s="5"/>
      <c r="BJ605" s="40"/>
      <c r="BK605" s="5"/>
      <c r="BM605" s="40"/>
      <c r="BN605" s="5"/>
      <c r="BP605" s="40"/>
      <c r="BQ605" s="5"/>
      <c r="BS605" s="40"/>
      <c r="BT605" s="5"/>
      <c r="BV605" s="40"/>
      <c r="BW605" s="5"/>
      <c r="BY605" s="40"/>
      <c r="BZ605" s="5"/>
      <c r="CB605" s="40"/>
      <c r="CC605" s="5"/>
      <c r="CE605" s="40"/>
      <c r="CF605" s="5"/>
      <c r="CH605" s="40"/>
      <c r="CI605" s="5"/>
      <c r="CK605" s="40"/>
      <c r="CL605" s="5"/>
      <c r="CN605" s="40"/>
      <c r="CO605" s="5"/>
      <c r="CQ605" s="40"/>
      <c r="CR605" s="5"/>
    </row>
    <row r="606">
      <c r="AO606" s="40"/>
      <c r="AP606" s="5"/>
      <c r="AR606" s="40"/>
      <c r="AS606" s="5"/>
      <c r="AU606" s="40"/>
      <c r="AV606" s="5"/>
      <c r="AX606" s="40"/>
      <c r="AY606" s="5"/>
      <c r="BA606" s="40"/>
      <c r="BB606" s="5"/>
      <c r="BD606" s="40"/>
      <c r="BE606" s="5"/>
      <c r="BG606" s="40"/>
      <c r="BH606" s="5"/>
      <c r="BJ606" s="40"/>
      <c r="BK606" s="5"/>
      <c r="BM606" s="40"/>
      <c r="BN606" s="5"/>
      <c r="BP606" s="40"/>
      <c r="BQ606" s="5"/>
      <c r="BS606" s="40"/>
      <c r="BT606" s="5"/>
      <c r="BV606" s="40"/>
      <c r="BW606" s="5"/>
      <c r="BY606" s="40"/>
      <c r="BZ606" s="5"/>
      <c r="CB606" s="40"/>
      <c r="CC606" s="5"/>
      <c r="CE606" s="40"/>
      <c r="CF606" s="5"/>
      <c r="CH606" s="40"/>
      <c r="CI606" s="5"/>
      <c r="CK606" s="40"/>
      <c r="CL606" s="5"/>
      <c r="CN606" s="40"/>
      <c r="CO606" s="5"/>
      <c r="CQ606" s="40"/>
      <c r="CR606" s="5"/>
    </row>
    <row r="607">
      <c r="AO607" s="40"/>
      <c r="AP607" s="5"/>
      <c r="AR607" s="40"/>
      <c r="AS607" s="5"/>
      <c r="AU607" s="40"/>
      <c r="AV607" s="5"/>
      <c r="AX607" s="40"/>
      <c r="AY607" s="5"/>
      <c r="BA607" s="40"/>
      <c r="BB607" s="5"/>
      <c r="BD607" s="40"/>
      <c r="BE607" s="5"/>
      <c r="BG607" s="40"/>
      <c r="BH607" s="5"/>
      <c r="BJ607" s="40"/>
      <c r="BK607" s="5"/>
      <c r="BM607" s="40"/>
      <c r="BN607" s="5"/>
      <c r="BP607" s="40"/>
      <c r="BQ607" s="5"/>
      <c r="BS607" s="40"/>
      <c r="BT607" s="5"/>
      <c r="BV607" s="40"/>
      <c r="BW607" s="5"/>
      <c r="BY607" s="40"/>
      <c r="BZ607" s="5"/>
      <c r="CB607" s="40"/>
      <c r="CC607" s="5"/>
      <c r="CE607" s="40"/>
      <c r="CF607" s="5"/>
      <c r="CH607" s="40"/>
      <c r="CI607" s="5"/>
      <c r="CK607" s="40"/>
      <c r="CL607" s="5"/>
      <c r="CN607" s="40"/>
      <c r="CO607" s="5"/>
      <c r="CQ607" s="40"/>
      <c r="CR607" s="5"/>
    </row>
    <row r="608">
      <c r="AO608" s="40"/>
      <c r="AP608" s="5"/>
      <c r="AR608" s="40"/>
      <c r="AS608" s="5"/>
      <c r="AU608" s="40"/>
      <c r="AV608" s="5"/>
      <c r="AX608" s="40"/>
      <c r="AY608" s="5"/>
      <c r="BA608" s="40"/>
      <c r="BB608" s="5"/>
      <c r="BD608" s="40"/>
      <c r="BE608" s="5"/>
      <c r="BG608" s="40"/>
      <c r="BH608" s="5"/>
      <c r="BJ608" s="40"/>
      <c r="BK608" s="5"/>
      <c r="BM608" s="40"/>
      <c r="BN608" s="5"/>
      <c r="BP608" s="40"/>
      <c r="BQ608" s="5"/>
      <c r="BS608" s="40"/>
      <c r="BT608" s="5"/>
      <c r="BV608" s="40"/>
      <c r="BW608" s="5"/>
      <c r="BY608" s="40"/>
      <c r="BZ608" s="5"/>
      <c r="CB608" s="40"/>
      <c r="CC608" s="5"/>
      <c r="CE608" s="40"/>
      <c r="CF608" s="5"/>
      <c r="CH608" s="40"/>
      <c r="CI608" s="5"/>
      <c r="CK608" s="40"/>
      <c r="CL608" s="5"/>
      <c r="CN608" s="40"/>
      <c r="CO608" s="5"/>
      <c r="CQ608" s="40"/>
      <c r="CR608" s="5"/>
    </row>
    <row r="609">
      <c r="AO609" s="40"/>
      <c r="AP609" s="5"/>
      <c r="AR609" s="40"/>
      <c r="AS609" s="5"/>
      <c r="AU609" s="40"/>
      <c r="AV609" s="5"/>
      <c r="AX609" s="40"/>
      <c r="AY609" s="5"/>
      <c r="BA609" s="40"/>
      <c r="BB609" s="5"/>
      <c r="BD609" s="40"/>
      <c r="BE609" s="5"/>
      <c r="BG609" s="40"/>
      <c r="BH609" s="5"/>
      <c r="BJ609" s="40"/>
      <c r="BK609" s="5"/>
      <c r="BM609" s="40"/>
      <c r="BN609" s="5"/>
      <c r="BP609" s="40"/>
      <c r="BQ609" s="5"/>
      <c r="BS609" s="40"/>
      <c r="BT609" s="5"/>
      <c r="BV609" s="40"/>
      <c r="BW609" s="5"/>
      <c r="BY609" s="40"/>
      <c r="BZ609" s="5"/>
      <c r="CB609" s="40"/>
      <c r="CC609" s="5"/>
      <c r="CE609" s="40"/>
      <c r="CF609" s="5"/>
      <c r="CH609" s="40"/>
      <c r="CI609" s="5"/>
      <c r="CK609" s="40"/>
      <c r="CL609" s="5"/>
      <c r="CN609" s="40"/>
      <c r="CO609" s="5"/>
      <c r="CQ609" s="40"/>
      <c r="CR609" s="5"/>
    </row>
    <row r="610">
      <c r="AO610" s="40"/>
      <c r="AP610" s="5"/>
      <c r="AR610" s="40"/>
      <c r="AS610" s="5"/>
      <c r="AU610" s="40"/>
      <c r="AV610" s="5"/>
      <c r="AX610" s="40"/>
      <c r="AY610" s="5"/>
      <c r="BA610" s="40"/>
      <c r="BB610" s="5"/>
      <c r="BD610" s="40"/>
      <c r="BE610" s="5"/>
      <c r="BG610" s="40"/>
      <c r="BH610" s="5"/>
      <c r="BJ610" s="40"/>
      <c r="BK610" s="5"/>
      <c r="BM610" s="40"/>
      <c r="BN610" s="5"/>
      <c r="BP610" s="40"/>
      <c r="BQ610" s="5"/>
      <c r="BS610" s="40"/>
      <c r="BT610" s="5"/>
      <c r="BV610" s="40"/>
      <c r="BW610" s="5"/>
      <c r="BY610" s="40"/>
      <c r="BZ610" s="5"/>
      <c r="CB610" s="40"/>
      <c r="CC610" s="5"/>
      <c r="CE610" s="40"/>
      <c r="CF610" s="5"/>
      <c r="CH610" s="40"/>
      <c r="CI610" s="5"/>
      <c r="CK610" s="40"/>
      <c r="CL610" s="5"/>
      <c r="CN610" s="40"/>
      <c r="CO610" s="5"/>
      <c r="CQ610" s="40"/>
      <c r="CR610" s="5"/>
    </row>
    <row r="611">
      <c r="AO611" s="40"/>
      <c r="AP611" s="5"/>
      <c r="AR611" s="40"/>
      <c r="AS611" s="5"/>
      <c r="AU611" s="40"/>
      <c r="AV611" s="5"/>
      <c r="AX611" s="40"/>
      <c r="AY611" s="5"/>
      <c r="BA611" s="40"/>
      <c r="BB611" s="5"/>
      <c r="BD611" s="40"/>
      <c r="BE611" s="5"/>
      <c r="BG611" s="40"/>
      <c r="BH611" s="5"/>
      <c r="BJ611" s="40"/>
      <c r="BK611" s="5"/>
      <c r="BM611" s="40"/>
      <c r="BN611" s="5"/>
      <c r="BP611" s="40"/>
      <c r="BQ611" s="5"/>
      <c r="BS611" s="40"/>
      <c r="BT611" s="5"/>
      <c r="BV611" s="40"/>
      <c r="BW611" s="5"/>
      <c r="BY611" s="40"/>
      <c r="BZ611" s="5"/>
      <c r="CB611" s="40"/>
      <c r="CC611" s="5"/>
      <c r="CE611" s="40"/>
      <c r="CF611" s="5"/>
      <c r="CH611" s="40"/>
      <c r="CI611" s="5"/>
      <c r="CK611" s="40"/>
      <c r="CL611" s="5"/>
      <c r="CN611" s="40"/>
      <c r="CO611" s="5"/>
      <c r="CQ611" s="40"/>
      <c r="CR611" s="5"/>
    </row>
    <row r="612">
      <c r="AO612" s="40"/>
      <c r="AP612" s="5"/>
      <c r="AR612" s="40"/>
      <c r="AS612" s="5"/>
      <c r="AU612" s="40"/>
      <c r="AV612" s="5"/>
      <c r="AX612" s="40"/>
      <c r="AY612" s="5"/>
      <c r="BA612" s="40"/>
      <c r="BB612" s="5"/>
      <c r="BD612" s="40"/>
      <c r="BE612" s="5"/>
      <c r="BG612" s="40"/>
      <c r="BH612" s="5"/>
      <c r="BJ612" s="40"/>
      <c r="BK612" s="5"/>
      <c r="BM612" s="40"/>
      <c r="BN612" s="5"/>
      <c r="BP612" s="40"/>
      <c r="BQ612" s="5"/>
      <c r="BS612" s="40"/>
      <c r="BT612" s="5"/>
      <c r="BV612" s="40"/>
      <c r="BW612" s="5"/>
      <c r="BY612" s="40"/>
      <c r="BZ612" s="5"/>
      <c r="CB612" s="40"/>
      <c r="CC612" s="5"/>
      <c r="CE612" s="40"/>
      <c r="CF612" s="5"/>
      <c r="CH612" s="40"/>
      <c r="CI612" s="5"/>
      <c r="CK612" s="40"/>
      <c r="CL612" s="5"/>
      <c r="CN612" s="40"/>
      <c r="CO612" s="5"/>
      <c r="CQ612" s="40"/>
      <c r="CR612" s="5"/>
    </row>
    <row r="613">
      <c r="AO613" s="40"/>
      <c r="AP613" s="5"/>
      <c r="AR613" s="40"/>
      <c r="AS613" s="5"/>
      <c r="AU613" s="40"/>
      <c r="AV613" s="5"/>
      <c r="AX613" s="40"/>
      <c r="AY613" s="5"/>
      <c r="BA613" s="40"/>
      <c r="BB613" s="5"/>
      <c r="BD613" s="40"/>
      <c r="BE613" s="5"/>
      <c r="BG613" s="40"/>
      <c r="BH613" s="5"/>
      <c r="BJ613" s="40"/>
      <c r="BK613" s="5"/>
      <c r="BM613" s="40"/>
      <c r="BN613" s="5"/>
      <c r="BP613" s="40"/>
      <c r="BQ613" s="5"/>
      <c r="BS613" s="40"/>
      <c r="BT613" s="5"/>
      <c r="BV613" s="40"/>
      <c r="BW613" s="5"/>
      <c r="BY613" s="40"/>
      <c r="BZ613" s="5"/>
      <c r="CB613" s="40"/>
      <c r="CC613" s="5"/>
      <c r="CE613" s="40"/>
      <c r="CF613" s="5"/>
      <c r="CH613" s="40"/>
      <c r="CI613" s="5"/>
      <c r="CK613" s="40"/>
      <c r="CL613" s="5"/>
      <c r="CN613" s="40"/>
      <c r="CO613" s="5"/>
      <c r="CQ613" s="40"/>
      <c r="CR613" s="5"/>
    </row>
    <row r="614">
      <c r="AO614" s="40"/>
      <c r="AP614" s="5"/>
      <c r="AR614" s="40"/>
      <c r="AS614" s="5"/>
      <c r="AU614" s="40"/>
      <c r="AV614" s="5"/>
      <c r="AX614" s="40"/>
      <c r="AY614" s="5"/>
      <c r="BA614" s="40"/>
      <c r="BB614" s="5"/>
      <c r="BD614" s="40"/>
      <c r="BE614" s="5"/>
      <c r="BG614" s="40"/>
      <c r="BH614" s="5"/>
      <c r="BJ614" s="40"/>
      <c r="BK614" s="5"/>
      <c r="BM614" s="40"/>
      <c r="BN614" s="5"/>
      <c r="BP614" s="40"/>
      <c r="BQ614" s="5"/>
      <c r="BS614" s="40"/>
      <c r="BT614" s="5"/>
      <c r="BV614" s="40"/>
      <c r="BW614" s="5"/>
      <c r="BY614" s="40"/>
      <c r="BZ614" s="5"/>
      <c r="CB614" s="40"/>
      <c r="CC614" s="5"/>
      <c r="CE614" s="40"/>
      <c r="CF614" s="5"/>
      <c r="CH614" s="40"/>
      <c r="CI614" s="5"/>
      <c r="CK614" s="40"/>
      <c r="CL614" s="5"/>
      <c r="CN614" s="40"/>
      <c r="CO614" s="5"/>
      <c r="CQ614" s="40"/>
      <c r="CR614" s="5"/>
    </row>
    <row r="615">
      <c r="AO615" s="40"/>
      <c r="AP615" s="5"/>
      <c r="AR615" s="40"/>
      <c r="AS615" s="5"/>
      <c r="AU615" s="40"/>
      <c r="AV615" s="5"/>
      <c r="AX615" s="40"/>
      <c r="AY615" s="5"/>
      <c r="BA615" s="40"/>
      <c r="BB615" s="5"/>
      <c r="BD615" s="40"/>
      <c r="BE615" s="5"/>
      <c r="BG615" s="40"/>
      <c r="BH615" s="5"/>
      <c r="BJ615" s="40"/>
      <c r="BK615" s="5"/>
      <c r="BM615" s="40"/>
      <c r="BN615" s="5"/>
      <c r="BP615" s="40"/>
      <c r="BQ615" s="5"/>
      <c r="BS615" s="40"/>
      <c r="BT615" s="5"/>
      <c r="BV615" s="40"/>
      <c r="BW615" s="5"/>
      <c r="BY615" s="40"/>
      <c r="BZ615" s="5"/>
      <c r="CB615" s="40"/>
      <c r="CC615" s="5"/>
      <c r="CE615" s="40"/>
      <c r="CF615" s="5"/>
      <c r="CH615" s="40"/>
      <c r="CI615" s="5"/>
      <c r="CK615" s="40"/>
      <c r="CL615" s="5"/>
      <c r="CN615" s="40"/>
      <c r="CO615" s="5"/>
      <c r="CQ615" s="40"/>
      <c r="CR615" s="5"/>
    </row>
    <row r="616">
      <c r="AO616" s="40"/>
      <c r="AP616" s="5"/>
      <c r="AR616" s="40"/>
      <c r="AS616" s="5"/>
      <c r="AU616" s="40"/>
      <c r="AV616" s="5"/>
      <c r="AX616" s="40"/>
      <c r="AY616" s="5"/>
      <c r="BA616" s="40"/>
      <c r="BB616" s="5"/>
      <c r="BD616" s="40"/>
      <c r="BE616" s="5"/>
      <c r="BG616" s="40"/>
      <c r="BH616" s="5"/>
      <c r="BJ616" s="40"/>
      <c r="BK616" s="5"/>
      <c r="BM616" s="40"/>
      <c r="BN616" s="5"/>
      <c r="BP616" s="40"/>
      <c r="BQ616" s="5"/>
      <c r="BS616" s="40"/>
      <c r="BT616" s="5"/>
      <c r="BV616" s="40"/>
      <c r="BW616" s="5"/>
      <c r="BY616" s="40"/>
      <c r="BZ616" s="5"/>
      <c r="CB616" s="40"/>
      <c r="CC616" s="5"/>
      <c r="CE616" s="40"/>
      <c r="CF616" s="5"/>
      <c r="CH616" s="40"/>
      <c r="CI616" s="5"/>
      <c r="CK616" s="40"/>
      <c r="CL616" s="5"/>
      <c r="CN616" s="40"/>
      <c r="CO616" s="5"/>
      <c r="CQ616" s="40"/>
      <c r="CR616" s="5"/>
    </row>
    <row r="617">
      <c r="AO617" s="40"/>
      <c r="AP617" s="5"/>
      <c r="AR617" s="40"/>
      <c r="AS617" s="5"/>
      <c r="AU617" s="40"/>
      <c r="AV617" s="5"/>
      <c r="AX617" s="40"/>
      <c r="AY617" s="5"/>
      <c r="BA617" s="40"/>
      <c r="BB617" s="5"/>
      <c r="BD617" s="40"/>
      <c r="BE617" s="5"/>
      <c r="BG617" s="40"/>
      <c r="BH617" s="5"/>
      <c r="BJ617" s="40"/>
      <c r="BK617" s="5"/>
      <c r="BM617" s="40"/>
      <c r="BN617" s="5"/>
      <c r="BP617" s="40"/>
      <c r="BQ617" s="5"/>
      <c r="BS617" s="40"/>
      <c r="BT617" s="5"/>
      <c r="BV617" s="40"/>
      <c r="BW617" s="5"/>
      <c r="BY617" s="40"/>
      <c r="BZ617" s="5"/>
      <c r="CB617" s="40"/>
      <c r="CC617" s="5"/>
      <c r="CE617" s="40"/>
      <c r="CF617" s="5"/>
      <c r="CH617" s="40"/>
      <c r="CI617" s="5"/>
      <c r="CK617" s="40"/>
      <c r="CL617" s="5"/>
      <c r="CN617" s="40"/>
      <c r="CO617" s="5"/>
      <c r="CQ617" s="40"/>
      <c r="CR617" s="5"/>
    </row>
    <row r="618">
      <c r="AO618" s="40"/>
      <c r="AP618" s="5"/>
      <c r="AR618" s="40"/>
      <c r="AS618" s="5"/>
      <c r="AU618" s="40"/>
      <c r="AV618" s="5"/>
      <c r="AX618" s="40"/>
      <c r="AY618" s="5"/>
      <c r="BA618" s="40"/>
      <c r="BB618" s="5"/>
      <c r="BD618" s="40"/>
      <c r="BE618" s="5"/>
      <c r="BG618" s="40"/>
      <c r="BH618" s="5"/>
      <c r="BJ618" s="40"/>
      <c r="BK618" s="5"/>
      <c r="BM618" s="40"/>
      <c r="BN618" s="5"/>
      <c r="BP618" s="40"/>
      <c r="BQ618" s="5"/>
      <c r="BS618" s="40"/>
      <c r="BT618" s="5"/>
      <c r="BV618" s="40"/>
      <c r="BW618" s="5"/>
      <c r="BY618" s="40"/>
      <c r="BZ618" s="5"/>
      <c r="CB618" s="40"/>
      <c r="CC618" s="5"/>
      <c r="CE618" s="40"/>
      <c r="CF618" s="5"/>
      <c r="CH618" s="40"/>
      <c r="CI618" s="5"/>
      <c r="CK618" s="40"/>
      <c r="CL618" s="5"/>
      <c r="CN618" s="40"/>
      <c r="CO618" s="5"/>
      <c r="CQ618" s="40"/>
      <c r="CR618" s="5"/>
    </row>
    <row r="619">
      <c r="AO619" s="40"/>
      <c r="AP619" s="5"/>
      <c r="AR619" s="40"/>
      <c r="AS619" s="5"/>
      <c r="AU619" s="40"/>
      <c r="AV619" s="5"/>
      <c r="AX619" s="40"/>
      <c r="AY619" s="5"/>
      <c r="BA619" s="40"/>
      <c r="BB619" s="5"/>
      <c r="BD619" s="40"/>
      <c r="BE619" s="5"/>
      <c r="BG619" s="40"/>
      <c r="BH619" s="5"/>
      <c r="BJ619" s="40"/>
      <c r="BK619" s="5"/>
      <c r="BM619" s="40"/>
      <c r="BN619" s="5"/>
      <c r="BP619" s="40"/>
      <c r="BQ619" s="5"/>
      <c r="BS619" s="40"/>
      <c r="BT619" s="5"/>
      <c r="BV619" s="40"/>
      <c r="BW619" s="5"/>
      <c r="BY619" s="40"/>
      <c r="BZ619" s="5"/>
      <c r="CB619" s="40"/>
      <c r="CC619" s="5"/>
      <c r="CE619" s="40"/>
      <c r="CF619" s="5"/>
      <c r="CH619" s="40"/>
      <c r="CI619" s="5"/>
      <c r="CK619" s="40"/>
      <c r="CL619" s="5"/>
      <c r="CN619" s="40"/>
      <c r="CO619" s="5"/>
      <c r="CQ619" s="40"/>
      <c r="CR619" s="5"/>
    </row>
    <row r="620">
      <c r="AO620" s="40"/>
      <c r="AP620" s="5"/>
      <c r="AR620" s="40"/>
      <c r="AS620" s="5"/>
      <c r="AU620" s="40"/>
      <c r="AV620" s="5"/>
      <c r="AX620" s="40"/>
      <c r="AY620" s="5"/>
      <c r="BA620" s="40"/>
      <c r="BB620" s="5"/>
      <c r="BD620" s="40"/>
      <c r="BE620" s="5"/>
      <c r="BG620" s="40"/>
      <c r="BH620" s="5"/>
      <c r="BJ620" s="40"/>
      <c r="BK620" s="5"/>
      <c r="BM620" s="40"/>
      <c r="BN620" s="5"/>
      <c r="BP620" s="40"/>
      <c r="BQ620" s="5"/>
      <c r="BS620" s="40"/>
      <c r="BT620" s="5"/>
      <c r="BV620" s="40"/>
      <c r="BW620" s="5"/>
      <c r="BY620" s="40"/>
      <c r="BZ620" s="5"/>
      <c r="CB620" s="40"/>
      <c r="CC620" s="5"/>
      <c r="CE620" s="40"/>
      <c r="CF620" s="5"/>
      <c r="CH620" s="40"/>
      <c r="CI620" s="5"/>
      <c r="CK620" s="40"/>
      <c r="CL620" s="5"/>
      <c r="CN620" s="40"/>
      <c r="CO620" s="5"/>
      <c r="CQ620" s="40"/>
      <c r="CR620" s="5"/>
    </row>
    <row r="621">
      <c r="AO621" s="40"/>
      <c r="AP621" s="5"/>
      <c r="AR621" s="40"/>
      <c r="AS621" s="5"/>
      <c r="AU621" s="40"/>
      <c r="AV621" s="5"/>
      <c r="AX621" s="40"/>
      <c r="AY621" s="5"/>
      <c r="BA621" s="40"/>
      <c r="BB621" s="5"/>
      <c r="BD621" s="40"/>
      <c r="BE621" s="5"/>
      <c r="BG621" s="40"/>
      <c r="BH621" s="5"/>
      <c r="BJ621" s="40"/>
      <c r="BK621" s="5"/>
      <c r="BM621" s="40"/>
      <c r="BN621" s="5"/>
      <c r="BP621" s="40"/>
      <c r="BQ621" s="5"/>
      <c r="BS621" s="40"/>
      <c r="BT621" s="5"/>
      <c r="BV621" s="40"/>
      <c r="BW621" s="5"/>
      <c r="BY621" s="40"/>
      <c r="BZ621" s="5"/>
      <c r="CB621" s="40"/>
      <c r="CC621" s="5"/>
      <c r="CE621" s="40"/>
      <c r="CF621" s="5"/>
      <c r="CH621" s="40"/>
      <c r="CI621" s="5"/>
      <c r="CK621" s="40"/>
      <c r="CL621" s="5"/>
      <c r="CN621" s="40"/>
      <c r="CO621" s="5"/>
      <c r="CQ621" s="40"/>
      <c r="CR621" s="5"/>
    </row>
    <row r="622">
      <c r="AO622" s="40"/>
      <c r="AP622" s="5"/>
      <c r="AR622" s="40"/>
      <c r="AS622" s="5"/>
      <c r="AU622" s="40"/>
      <c r="AV622" s="5"/>
      <c r="AX622" s="40"/>
      <c r="AY622" s="5"/>
      <c r="BA622" s="40"/>
      <c r="BB622" s="5"/>
      <c r="BD622" s="40"/>
      <c r="BE622" s="5"/>
      <c r="BG622" s="40"/>
      <c r="BH622" s="5"/>
      <c r="BJ622" s="40"/>
      <c r="BK622" s="5"/>
      <c r="BM622" s="40"/>
      <c r="BN622" s="5"/>
      <c r="BP622" s="40"/>
      <c r="BQ622" s="5"/>
      <c r="BS622" s="40"/>
      <c r="BT622" s="5"/>
      <c r="BV622" s="40"/>
      <c r="BW622" s="5"/>
      <c r="BY622" s="40"/>
      <c r="BZ622" s="5"/>
      <c r="CB622" s="40"/>
      <c r="CC622" s="5"/>
      <c r="CE622" s="40"/>
      <c r="CF622" s="5"/>
      <c r="CH622" s="40"/>
      <c r="CI622" s="5"/>
      <c r="CK622" s="40"/>
      <c r="CL622" s="5"/>
      <c r="CN622" s="40"/>
      <c r="CO622" s="5"/>
      <c r="CQ622" s="40"/>
      <c r="CR622" s="5"/>
    </row>
    <row r="623">
      <c r="AO623" s="40"/>
      <c r="AP623" s="5"/>
      <c r="AR623" s="40"/>
      <c r="AS623" s="5"/>
      <c r="AU623" s="40"/>
      <c r="AV623" s="5"/>
      <c r="AX623" s="40"/>
      <c r="AY623" s="5"/>
      <c r="BA623" s="40"/>
      <c r="BB623" s="5"/>
      <c r="BD623" s="40"/>
      <c r="BE623" s="5"/>
      <c r="BG623" s="40"/>
      <c r="BH623" s="5"/>
      <c r="BJ623" s="40"/>
      <c r="BK623" s="5"/>
      <c r="BM623" s="40"/>
      <c r="BN623" s="5"/>
      <c r="BP623" s="40"/>
      <c r="BQ623" s="5"/>
      <c r="BS623" s="40"/>
      <c r="BT623" s="5"/>
      <c r="BV623" s="40"/>
      <c r="BW623" s="5"/>
      <c r="BY623" s="40"/>
      <c r="BZ623" s="5"/>
      <c r="CB623" s="40"/>
      <c r="CC623" s="5"/>
      <c r="CE623" s="40"/>
      <c r="CF623" s="5"/>
      <c r="CH623" s="40"/>
      <c r="CI623" s="5"/>
      <c r="CK623" s="40"/>
      <c r="CL623" s="5"/>
      <c r="CN623" s="40"/>
      <c r="CO623" s="5"/>
      <c r="CQ623" s="40"/>
      <c r="CR623" s="5"/>
    </row>
    <row r="624">
      <c r="AO624" s="40"/>
      <c r="AP624" s="5"/>
      <c r="AR624" s="40"/>
      <c r="AS624" s="5"/>
      <c r="AU624" s="40"/>
      <c r="AV624" s="5"/>
      <c r="AX624" s="40"/>
      <c r="AY624" s="5"/>
      <c r="BA624" s="40"/>
      <c r="BB624" s="5"/>
      <c r="BD624" s="40"/>
      <c r="BE624" s="5"/>
      <c r="BG624" s="40"/>
      <c r="BH624" s="5"/>
      <c r="BJ624" s="40"/>
      <c r="BK624" s="5"/>
      <c r="BM624" s="40"/>
      <c r="BN624" s="5"/>
      <c r="BP624" s="40"/>
      <c r="BQ624" s="5"/>
      <c r="BS624" s="40"/>
      <c r="BT624" s="5"/>
      <c r="BV624" s="40"/>
      <c r="BW624" s="5"/>
      <c r="BY624" s="40"/>
      <c r="BZ624" s="5"/>
      <c r="CB624" s="40"/>
      <c r="CC624" s="5"/>
      <c r="CE624" s="40"/>
      <c r="CF624" s="5"/>
      <c r="CH624" s="40"/>
      <c r="CI624" s="5"/>
      <c r="CK624" s="40"/>
      <c r="CL624" s="5"/>
      <c r="CN624" s="40"/>
      <c r="CO624" s="5"/>
      <c r="CQ624" s="40"/>
      <c r="CR624" s="5"/>
    </row>
    <row r="625">
      <c r="AO625" s="40"/>
      <c r="AP625" s="5"/>
      <c r="AR625" s="40"/>
      <c r="AS625" s="5"/>
      <c r="AU625" s="40"/>
      <c r="AV625" s="5"/>
      <c r="AX625" s="40"/>
      <c r="AY625" s="5"/>
      <c r="BA625" s="40"/>
      <c r="BB625" s="5"/>
      <c r="BD625" s="40"/>
      <c r="BE625" s="5"/>
      <c r="BG625" s="40"/>
      <c r="BH625" s="5"/>
      <c r="BJ625" s="40"/>
      <c r="BK625" s="5"/>
      <c r="BM625" s="40"/>
      <c r="BN625" s="5"/>
      <c r="BP625" s="40"/>
      <c r="BQ625" s="5"/>
      <c r="BS625" s="40"/>
      <c r="BT625" s="5"/>
      <c r="BV625" s="40"/>
      <c r="BW625" s="5"/>
      <c r="BY625" s="40"/>
      <c r="BZ625" s="5"/>
      <c r="CB625" s="40"/>
      <c r="CC625" s="5"/>
      <c r="CE625" s="40"/>
      <c r="CF625" s="5"/>
      <c r="CH625" s="40"/>
      <c r="CI625" s="5"/>
      <c r="CK625" s="40"/>
      <c r="CL625" s="5"/>
      <c r="CN625" s="40"/>
      <c r="CO625" s="5"/>
      <c r="CQ625" s="40"/>
      <c r="CR625" s="5"/>
    </row>
    <row r="626">
      <c r="AO626" s="40"/>
      <c r="AP626" s="5"/>
      <c r="AR626" s="40"/>
      <c r="AS626" s="5"/>
      <c r="AU626" s="40"/>
      <c r="AV626" s="5"/>
      <c r="AX626" s="40"/>
      <c r="AY626" s="5"/>
      <c r="BA626" s="40"/>
      <c r="BB626" s="5"/>
      <c r="BD626" s="40"/>
      <c r="BE626" s="5"/>
      <c r="BG626" s="40"/>
      <c r="BH626" s="5"/>
      <c r="BJ626" s="40"/>
      <c r="BK626" s="5"/>
      <c r="BM626" s="40"/>
      <c r="BN626" s="5"/>
      <c r="BP626" s="40"/>
      <c r="BQ626" s="5"/>
      <c r="BS626" s="40"/>
      <c r="BT626" s="5"/>
      <c r="BV626" s="40"/>
      <c r="BW626" s="5"/>
      <c r="BY626" s="40"/>
      <c r="BZ626" s="5"/>
      <c r="CB626" s="40"/>
      <c r="CC626" s="5"/>
      <c r="CE626" s="40"/>
      <c r="CF626" s="5"/>
      <c r="CH626" s="40"/>
      <c r="CI626" s="5"/>
      <c r="CK626" s="40"/>
      <c r="CL626" s="5"/>
      <c r="CN626" s="40"/>
      <c r="CO626" s="5"/>
      <c r="CQ626" s="40"/>
      <c r="CR626" s="5"/>
    </row>
    <row r="627">
      <c r="AO627" s="40"/>
      <c r="AP627" s="5"/>
      <c r="AR627" s="40"/>
      <c r="AS627" s="5"/>
      <c r="AU627" s="40"/>
      <c r="AV627" s="5"/>
      <c r="AX627" s="40"/>
      <c r="AY627" s="5"/>
      <c r="BA627" s="40"/>
      <c r="BB627" s="5"/>
      <c r="BD627" s="40"/>
      <c r="BE627" s="5"/>
      <c r="BG627" s="40"/>
      <c r="BH627" s="5"/>
      <c r="BJ627" s="40"/>
      <c r="BK627" s="5"/>
      <c r="BM627" s="40"/>
      <c r="BN627" s="5"/>
      <c r="BP627" s="40"/>
      <c r="BQ627" s="5"/>
      <c r="BS627" s="40"/>
      <c r="BT627" s="5"/>
      <c r="BV627" s="40"/>
      <c r="BW627" s="5"/>
      <c r="BY627" s="40"/>
      <c r="BZ627" s="5"/>
      <c r="CB627" s="40"/>
      <c r="CC627" s="5"/>
      <c r="CE627" s="40"/>
      <c r="CF627" s="5"/>
      <c r="CH627" s="40"/>
      <c r="CI627" s="5"/>
      <c r="CK627" s="40"/>
      <c r="CL627" s="5"/>
      <c r="CN627" s="40"/>
      <c r="CO627" s="5"/>
      <c r="CQ627" s="40"/>
      <c r="CR627" s="5"/>
    </row>
    <row r="628">
      <c r="AO628" s="40"/>
      <c r="AP628" s="5"/>
      <c r="AR628" s="40"/>
      <c r="AS628" s="5"/>
      <c r="AU628" s="40"/>
      <c r="AV628" s="5"/>
      <c r="AX628" s="40"/>
      <c r="AY628" s="5"/>
      <c r="BA628" s="40"/>
      <c r="BB628" s="5"/>
      <c r="BD628" s="40"/>
      <c r="BE628" s="5"/>
      <c r="BG628" s="40"/>
      <c r="BH628" s="5"/>
      <c r="BJ628" s="40"/>
      <c r="BK628" s="5"/>
      <c r="BM628" s="40"/>
      <c r="BN628" s="5"/>
      <c r="BP628" s="40"/>
      <c r="BQ628" s="5"/>
      <c r="BS628" s="40"/>
      <c r="BT628" s="5"/>
      <c r="BV628" s="40"/>
      <c r="BW628" s="5"/>
      <c r="BY628" s="40"/>
      <c r="BZ628" s="5"/>
      <c r="CB628" s="40"/>
      <c r="CC628" s="5"/>
      <c r="CE628" s="40"/>
      <c r="CF628" s="5"/>
      <c r="CH628" s="40"/>
      <c r="CI628" s="5"/>
      <c r="CK628" s="40"/>
      <c r="CL628" s="5"/>
      <c r="CN628" s="40"/>
      <c r="CO628" s="5"/>
      <c r="CQ628" s="40"/>
      <c r="CR628" s="5"/>
    </row>
    <row r="629">
      <c r="AO629" s="40"/>
      <c r="AP629" s="5"/>
      <c r="AR629" s="40"/>
      <c r="AS629" s="5"/>
      <c r="AU629" s="40"/>
      <c r="AV629" s="5"/>
      <c r="AX629" s="40"/>
      <c r="AY629" s="5"/>
      <c r="BA629" s="40"/>
      <c r="BB629" s="5"/>
      <c r="BD629" s="40"/>
      <c r="BE629" s="5"/>
      <c r="BG629" s="40"/>
      <c r="BH629" s="5"/>
      <c r="BJ629" s="40"/>
      <c r="BK629" s="5"/>
      <c r="BM629" s="40"/>
      <c r="BN629" s="5"/>
      <c r="BP629" s="40"/>
      <c r="BQ629" s="5"/>
      <c r="BS629" s="40"/>
      <c r="BT629" s="5"/>
      <c r="BV629" s="40"/>
      <c r="BW629" s="5"/>
      <c r="BY629" s="40"/>
      <c r="BZ629" s="5"/>
      <c r="CB629" s="40"/>
      <c r="CC629" s="5"/>
      <c r="CE629" s="40"/>
      <c r="CF629" s="5"/>
      <c r="CH629" s="40"/>
      <c r="CI629" s="5"/>
      <c r="CK629" s="40"/>
      <c r="CL629" s="5"/>
      <c r="CN629" s="40"/>
      <c r="CO629" s="5"/>
      <c r="CQ629" s="40"/>
      <c r="CR629" s="5"/>
    </row>
    <row r="630">
      <c r="AO630" s="40"/>
      <c r="AP630" s="5"/>
      <c r="AR630" s="40"/>
      <c r="AS630" s="5"/>
      <c r="AU630" s="40"/>
      <c r="AV630" s="5"/>
      <c r="AX630" s="40"/>
      <c r="AY630" s="5"/>
      <c r="BA630" s="40"/>
      <c r="BB630" s="5"/>
      <c r="BD630" s="40"/>
      <c r="BE630" s="5"/>
      <c r="BG630" s="40"/>
      <c r="BH630" s="5"/>
      <c r="BJ630" s="40"/>
      <c r="BK630" s="5"/>
      <c r="BM630" s="40"/>
      <c r="BN630" s="5"/>
      <c r="BP630" s="40"/>
      <c r="BQ630" s="5"/>
      <c r="BS630" s="40"/>
      <c r="BT630" s="5"/>
      <c r="BV630" s="40"/>
      <c r="BW630" s="5"/>
      <c r="BY630" s="40"/>
      <c r="BZ630" s="5"/>
      <c r="CB630" s="40"/>
      <c r="CC630" s="5"/>
      <c r="CE630" s="40"/>
      <c r="CF630" s="5"/>
      <c r="CH630" s="40"/>
      <c r="CI630" s="5"/>
      <c r="CK630" s="40"/>
      <c r="CL630" s="5"/>
      <c r="CN630" s="40"/>
      <c r="CO630" s="5"/>
      <c r="CQ630" s="40"/>
      <c r="CR630" s="5"/>
    </row>
    <row r="631">
      <c r="AO631" s="40"/>
      <c r="AP631" s="5"/>
      <c r="AR631" s="40"/>
      <c r="AS631" s="5"/>
      <c r="AU631" s="40"/>
      <c r="AV631" s="5"/>
      <c r="AX631" s="40"/>
      <c r="AY631" s="5"/>
      <c r="BA631" s="40"/>
      <c r="BB631" s="5"/>
      <c r="BD631" s="40"/>
      <c r="BE631" s="5"/>
      <c r="BG631" s="40"/>
      <c r="BH631" s="5"/>
      <c r="BJ631" s="40"/>
      <c r="BK631" s="5"/>
      <c r="BM631" s="40"/>
      <c r="BN631" s="5"/>
      <c r="BP631" s="40"/>
      <c r="BQ631" s="5"/>
      <c r="BS631" s="40"/>
      <c r="BT631" s="5"/>
      <c r="BV631" s="40"/>
      <c r="BW631" s="5"/>
      <c r="BY631" s="40"/>
      <c r="BZ631" s="5"/>
      <c r="CB631" s="40"/>
      <c r="CC631" s="5"/>
      <c r="CE631" s="40"/>
      <c r="CF631" s="5"/>
      <c r="CH631" s="40"/>
      <c r="CI631" s="5"/>
      <c r="CK631" s="40"/>
      <c r="CL631" s="5"/>
      <c r="CN631" s="40"/>
      <c r="CO631" s="5"/>
      <c r="CQ631" s="40"/>
      <c r="CR631" s="5"/>
    </row>
    <row r="632">
      <c r="AO632" s="40"/>
      <c r="AP632" s="5"/>
      <c r="AR632" s="40"/>
      <c r="AS632" s="5"/>
      <c r="AU632" s="40"/>
      <c r="AV632" s="5"/>
      <c r="AX632" s="40"/>
      <c r="AY632" s="5"/>
      <c r="BA632" s="40"/>
      <c r="BB632" s="5"/>
      <c r="BD632" s="40"/>
      <c r="BE632" s="5"/>
      <c r="BG632" s="40"/>
      <c r="BH632" s="5"/>
      <c r="BJ632" s="40"/>
      <c r="BK632" s="5"/>
      <c r="BM632" s="40"/>
      <c r="BN632" s="5"/>
      <c r="BP632" s="40"/>
      <c r="BQ632" s="5"/>
      <c r="BS632" s="40"/>
      <c r="BT632" s="5"/>
      <c r="BV632" s="40"/>
      <c r="BW632" s="5"/>
      <c r="BY632" s="40"/>
      <c r="BZ632" s="5"/>
      <c r="CB632" s="40"/>
      <c r="CC632" s="5"/>
      <c r="CE632" s="40"/>
      <c r="CF632" s="5"/>
      <c r="CH632" s="40"/>
      <c r="CI632" s="5"/>
      <c r="CK632" s="40"/>
      <c r="CL632" s="5"/>
      <c r="CN632" s="40"/>
      <c r="CO632" s="5"/>
      <c r="CQ632" s="40"/>
      <c r="CR632" s="5"/>
    </row>
    <row r="633">
      <c r="AO633" s="40"/>
      <c r="AP633" s="5"/>
      <c r="AR633" s="40"/>
      <c r="AS633" s="5"/>
      <c r="AU633" s="40"/>
      <c r="AV633" s="5"/>
      <c r="AX633" s="40"/>
      <c r="AY633" s="5"/>
      <c r="BA633" s="40"/>
      <c r="BB633" s="5"/>
      <c r="BD633" s="40"/>
      <c r="BE633" s="5"/>
      <c r="BG633" s="40"/>
      <c r="BH633" s="5"/>
      <c r="BJ633" s="40"/>
      <c r="BK633" s="5"/>
      <c r="BM633" s="40"/>
      <c r="BN633" s="5"/>
      <c r="BP633" s="40"/>
      <c r="BQ633" s="5"/>
      <c r="BS633" s="40"/>
      <c r="BT633" s="5"/>
      <c r="BV633" s="40"/>
      <c r="BW633" s="5"/>
      <c r="BY633" s="40"/>
      <c r="BZ633" s="5"/>
      <c r="CB633" s="40"/>
      <c r="CC633" s="5"/>
      <c r="CE633" s="40"/>
      <c r="CF633" s="5"/>
      <c r="CH633" s="40"/>
      <c r="CI633" s="5"/>
      <c r="CK633" s="40"/>
      <c r="CL633" s="5"/>
      <c r="CN633" s="40"/>
      <c r="CO633" s="5"/>
      <c r="CQ633" s="40"/>
      <c r="CR633" s="5"/>
    </row>
    <row r="634">
      <c r="AO634" s="40"/>
      <c r="AP634" s="5"/>
      <c r="AR634" s="40"/>
      <c r="AS634" s="5"/>
      <c r="AU634" s="40"/>
      <c r="AV634" s="5"/>
      <c r="AX634" s="40"/>
      <c r="AY634" s="5"/>
      <c r="BA634" s="40"/>
      <c r="BB634" s="5"/>
      <c r="BD634" s="40"/>
      <c r="BE634" s="5"/>
      <c r="BG634" s="40"/>
      <c r="BH634" s="5"/>
      <c r="BJ634" s="40"/>
      <c r="BK634" s="5"/>
      <c r="BM634" s="40"/>
      <c r="BN634" s="5"/>
      <c r="BP634" s="40"/>
      <c r="BQ634" s="5"/>
      <c r="BS634" s="40"/>
      <c r="BT634" s="5"/>
      <c r="BV634" s="40"/>
      <c r="BW634" s="5"/>
      <c r="BY634" s="40"/>
      <c r="BZ634" s="5"/>
      <c r="CB634" s="40"/>
      <c r="CC634" s="5"/>
      <c r="CE634" s="40"/>
      <c r="CF634" s="5"/>
      <c r="CH634" s="40"/>
      <c r="CI634" s="5"/>
      <c r="CK634" s="40"/>
      <c r="CL634" s="5"/>
      <c r="CN634" s="40"/>
      <c r="CO634" s="5"/>
      <c r="CQ634" s="40"/>
      <c r="CR634" s="5"/>
    </row>
    <row r="635">
      <c r="AO635" s="40"/>
      <c r="AP635" s="5"/>
      <c r="AR635" s="40"/>
      <c r="AS635" s="5"/>
      <c r="AU635" s="40"/>
      <c r="AV635" s="5"/>
      <c r="AX635" s="40"/>
      <c r="AY635" s="5"/>
      <c r="BA635" s="40"/>
      <c r="BB635" s="5"/>
      <c r="BD635" s="40"/>
      <c r="BE635" s="5"/>
      <c r="BG635" s="40"/>
      <c r="BH635" s="5"/>
      <c r="BJ635" s="40"/>
      <c r="BK635" s="5"/>
      <c r="BM635" s="40"/>
      <c r="BN635" s="5"/>
      <c r="BP635" s="40"/>
      <c r="BQ635" s="5"/>
      <c r="BS635" s="40"/>
      <c r="BT635" s="5"/>
      <c r="BV635" s="40"/>
      <c r="BW635" s="5"/>
      <c r="BY635" s="40"/>
      <c r="BZ635" s="5"/>
      <c r="CB635" s="40"/>
      <c r="CC635" s="5"/>
      <c r="CE635" s="40"/>
      <c r="CF635" s="5"/>
      <c r="CH635" s="40"/>
      <c r="CI635" s="5"/>
      <c r="CK635" s="40"/>
      <c r="CL635" s="5"/>
      <c r="CN635" s="40"/>
      <c r="CO635" s="5"/>
      <c r="CQ635" s="40"/>
      <c r="CR635" s="5"/>
    </row>
    <row r="636">
      <c r="AO636" s="40"/>
      <c r="AP636" s="5"/>
      <c r="AR636" s="40"/>
      <c r="AS636" s="5"/>
      <c r="AU636" s="40"/>
      <c r="AV636" s="5"/>
      <c r="AX636" s="40"/>
      <c r="AY636" s="5"/>
      <c r="BA636" s="40"/>
      <c r="BB636" s="5"/>
      <c r="BD636" s="40"/>
      <c r="BE636" s="5"/>
      <c r="BG636" s="40"/>
      <c r="BH636" s="5"/>
      <c r="BJ636" s="40"/>
      <c r="BK636" s="5"/>
      <c r="BM636" s="40"/>
      <c r="BN636" s="5"/>
      <c r="BP636" s="40"/>
      <c r="BQ636" s="5"/>
      <c r="BS636" s="40"/>
      <c r="BT636" s="5"/>
      <c r="BV636" s="40"/>
      <c r="BW636" s="5"/>
      <c r="BY636" s="40"/>
      <c r="BZ636" s="5"/>
      <c r="CB636" s="40"/>
      <c r="CC636" s="5"/>
      <c r="CE636" s="40"/>
      <c r="CF636" s="5"/>
      <c r="CH636" s="40"/>
      <c r="CI636" s="5"/>
      <c r="CK636" s="40"/>
      <c r="CL636" s="5"/>
      <c r="CN636" s="40"/>
      <c r="CO636" s="5"/>
      <c r="CQ636" s="40"/>
      <c r="CR636" s="5"/>
    </row>
    <row r="637">
      <c r="AO637" s="40"/>
      <c r="AP637" s="5"/>
      <c r="AR637" s="40"/>
      <c r="AS637" s="5"/>
      <c r="AU637" s="40"/>
      <c r="AV637" s="5"/>
      <c r="AX637" s="40"/>
      <c r="AY637" s="5"/>
      <c r="BA637" s="40"/>
      <c r="BB637" s="5"/>
      <c r="BD637" s="40"/>
      <c r="BE637" s="5"/>
      <c r="BG637" s="40"/>
      <c r="BH637" s="5"/>
      <c r="BJ637" s="40"/>
      <c r="BK637" s="5"/>
      <c r="BM637" s="40"/>
      <c r="BN637" s="5"/>
      <c r="BP637" s="40"/>
      <c r="BQ637" s="5"/>
      <c r="BS637" s="40"/>
      <c r="BT637" s="5"/>
      <c r="BV637" s="40"/>
      <c r="BW637" s="5"/>
      <c r="BY637" s="40"/>
      <c r="BZ637" s="5"/>
      <c r="CB637" s="40"/>
      <c r="CC637" s="5"/>
      <c r="CE637" s="40"/>
      <c r="CF637" s="5"/>
      <c r="CH637" s="40"/>
      <c r="CI637" s="5"/>
      <c r="CK637" s="40"/>
      <c r="CL637" s="5"/>
      <c r="CN637" s="40"/>
      <c r="CO637" s="5"/>
      <c r="CQ637" s="40"/>
      <c r="CR637" s="5"/>
    </row>
    <row r="638">
      <c r="AO638" s="40"/>
      <c r="AP638" s="5"/>
      <c r="AR638" s="40"/>
      <c r="AS638" s="5"/>
      <c r="AU638" s="40"/>
      <c r="AV638" s="5"/>
      <c r="AX638" s="40"/>
      <c r="AY638" s="5"/>
      <c r="BA638" s="40"/>
      <c r="BB638" s="5"/>
      <c r="BD638" s="40"/>
      <c r="BE638" s="5"/>
      <c r="BG638" s="40"/>
      <c r="BH638" s="5"/>
      <c r="BJ638" s="40"/>
      <c r="BK638" s="5"/>
      <c r="BM638" s="40"/>
      <c r="BN638" s="5"/>
      <c r="BP638" s="40"/>
      <c r="BQ638" s="5"/>
      <c r="BS638" s="40"/>
      <c r="BT638" s="5"/>
      <c r="BV638" s="40"/>
      <c r="BW638" s="5"/>
      <c r="BY638" s="40"/>
      <c r="BZ638" s="5"/>
      <c r="CB638" s="40"/>
      <c r="CC638" s="5"/>
      <c r="CE638" s="40"/>
      <c r="CF638" s="5"/>
      <c r="CH638" s="40"/>
      <c r="CI638" s="5"/>
      <c r="CK638" s="40"/>
      <c r="CL638" s="5"/>
      <c r="CN638" s="40"/>
      <c r="CO638" s="5"/>
      <c r="CQ638" s="40"/>
      <c r="CR638" s="5"/>
    </row>
    <row r="639">
      <c r="AO639" s="40"/>
      <c r="AP639" s="5"/>
      <c r="AR639" s="40"/>
      <c r="AS639" s="5"/>
      <c r="AU639" s="40"/>
      <c r="AV639" s="5"/>
      <c r="AX639" s="40"/>
      <c r="AY639" s="5"/>
      <c r="BA639" s="40"/>
      <c r="BB639" s="5"/>
      <c r="BD639" s="40"/>
      <c r="BE639" s="5"/>
      <c r="BG639" s="40"/>
      <c r="BH639" s="5"/>
      <c r="BJ639" s="40"/>
      <c r="BK639" s="5"/>
      <c r="BM639" s="40"/>
      <c r="BN639" s="5"/>
      <c r="BP639" s="40"/>
      <c r="BQ639" s="5"/>
      <c r="BS639" s="40"/>
      <c r="BT639" s="5"/>
      <c r="BV639" s="40"/>
      <c r="BW639" s="5"/>
      <c r="BY639" s="40"/>
      <c r="BZ639" s="5"/>
      <c r="CB639" s="40"/>
      <c r="CC639" s="5"/>
      <c r="CE639" s="40"/>
      <c r="CF639" s="5"/>
      <c r="CH639" s="40"/>
      <c r="CI639" s="5"/>
      <c r="CK639" s="40"/>
      <c r="CL639" s="5"/>
      <c r="CN639" s="40"/>
      <c r="CO639" s="5"/>
      <c r="CQ639" s="40"/>
      <c r="CR639" s="5"/>
    </row>
    <row r="640">
      <c r="AO640" s="40"/>
      <c r="AP640" s="5"/>
      <c r="AR640" s="40"/>
      <c r="AS640" s="5"/>
      <c r="AU640" s="40"/>
      <c r="AV640" s="5"/>
      <c r="AX640" s="40"/>
      <c r="AY640" s="5"/>
      <c r="BA640" s="40"/>
      <c r="BB640" s="5"/>
      <c r="BD640" s="40"/>
      <c r="BE640" s="5"/>
      <c r="BG640" s="40"/>
      <c r="BH640" s="5"/>
      <c r="BJ640" s="40"/>
      <c r="BK640" s="5"/>
      <c r="BM640" s="40"/>
      <c r="BN640" s="5"/>
      <c r="BP640" s="40"/>
      <c r="BQ640" s="5"/>
      <c r="BS640" s="40"/>
      <c r="BT640" s="5"/>
      <c r="BV640" s="40"/>
      <c r="BW640" s="5"/>
      <c r="BY640" s="40"/>
      <c r="BZ640" s="5"/>
      <c r="CB640" s="40"/>
      <c r="CC640" s="5"/>
      <c r="CE640" s="40"/>
      <c r="CF640" s="5"/>
      <c r="CH640" s="40"/>
      <c r="CI640" s="5"/>
      <c r="CK640" s="40"/>
      <c r="CL640" s="5"/>
      <c r="CN640" s="40"/>
      <c r="CO640" s="5"/>
      <c r="CQ640" s="40"/>
      <c r="CR640" s="5"/>
    </row>
    <row r="641">
      <c r="AO641" s="40"/>
      <c r="AP641" s="5"/>
      <c r="AR641" s="40"/>
      <c r="AS641" s="5"/>
      <c r="AU641" s="40"/>
      <c r="AV641" s="5"/>
      <c r="AX641" s="40"/>
      <c r="AY641" s="5"/>
      <c r="BA641" s="40"/>
      <c r="BB641" s="5"/>
      <c r="BD641" s="40"/>
      <c r="BE641" s="5"/>
      <c r="BG641" s="40"/>
      <c r="BH641" s="5"/>
      <c r="BJ641" s="40"/>
      <c r="BK641" s="5"/>
      <c r="BM641" s="40"/>
      <c r="BN641" s="5"/>
      <c r="BP641" s="40"/>
      <c r="BQ641" s="5"/>
      <c r="BS641" s="40"/>
      <c r="BT641" s="5"/>
      <c r="BV641" s="40"/>
      <c r="BW641" s="5"/>
      <c r="BY641" s="40"/>
      <c r="BZ641" s="5"/>
      <c r="CB641" s="40"/>
      <c r="CC641" s="5"/>
      <c r="CE641" s="40"/>
      <c r="CF641" s="5"/>
      <c r="CH641" s="40"/>
      <c r="CI641" s="5"/>
      <c r="CK641" s="40"/>
      <c r="CL641" s="5"/>
      <c r="CN641" s="40"/>
      <c r="CO641" s="5"/>
      <c r="CQ641" s="40"/>
      <c r="CR641" s="5"/>
    </row>
    <row r="642">
      <c r="AO642" s="40"/>
      <c r="AP642" s="5"/>
      <c r="AR642" s="40"/>
      <c r="AS642" s="5"/>
      <c r="AU642" s="40"/>
      <c r="AV642" s="5"/>
      <c r="AX642" s="40"/>
      <c r="AY642" s="5"/>
      <c r="BA642" s="40"/>
      <c r="BB642" s="5"/>
      <c r="BD642" s="40"/>
      <c r="BE642" s="5"/>
      <c r="BG642" s="40"/>
      <c r="BH642" s="5"/>
      <c r="BJ642" s="40"/>
      <c r="BK642" s="5"/>
      <c r="BM642" s="40"/>
      <c r="BN642" s="5"/>
      <c r="BP642" s="40"/>
      <c r="BQ642" s="5"/>
      <c r="BS642" s="40"/>
      <c r="BT642" s="5"/>
      <c r="BV642" s="40"/>
      <c r="BW642" s="5"/>
      <c r="BY642" s="40"/>
      <c r="BZ642" s="5"/>
      <c r="CB642" s="40"/>
      <c r="CC642" s="5"/>
      <c r="CE642" s="40"/>
      <c r="CF642" s="5"/>
      <c r="CH642" s="40"/>
      <c r="CI642" s="5"/>
      <c r="CK642" s="40"/>
      <c r="CL642" s="5"/>
      <c r="CN642" s="40"/>
      <c r="CO642" s="5"/>
      <c r="CQ642" s="40"/>
      <c r="CR642" s="5"/>
    </row>
    <row r="643">
      <c r="AO643" s="40"/>
      <c r="AP643" s="5"/>
      <c r="AR643" s="40"/>
      <c r="AS643" s="5"/>
      <c r="AU643" s="40"/>
      <c r="AV643" s="5"/>
      <c r="AX643" s="40"/>
      <c r="AY643" s="5"/>
      <c r="BA643" s="40"/>
      <c r="BB643" s="5"/>
      <c r="BD643" s="40"/>
      <c r="BE643" s="5"/>
      <c r="BG643" s="40"/>
      <c r="BH643" s="5"/>
      <c r="BJ643" s="40"/>
      <c r="BK643" s="5"/>
      <c r="BM643" s="40"/>
      <c r="BN643" s="5"/>
      <c r="BP643" s="40"/>
      <c r="BQ643" s="5"/>
      <c r="BS643" s="40"/>
      <c r="BT643" s="5"/>
      <c r="BV643" s="40"/>
      <c r="BW643" s="5"/>
      <c r="BY643" s="40"/>
      <c r="BZ643" s="5"/>
      <c r="CB643" s="40"/>
      <c r="CC643" s="5"/>
      <c r="CE643" s="40"/>
      <c r="CF643" s="5"/>
      <c r="CH643" s="40"/>
      <c r="CI643" s="5"/>
      <c r="CK643" s="40"/>
      <c r="CL643" s="5"/>
      <c r="CN643" s="40"/>
      <c r="CO643" s="5"/>
      <c r="CQ643" s="40"/>
      <c r="CR643" s="5"/>
    </row>
    <row r="644">
      <c r="AO644" s="40"/>
      <c r="AP644" s="5"/>
      <c r="AR644" s="40"/>
      <c r="AS644" s="5"/>
      <c r="AU644" s="40"/>
      <c r="AV644" s="5"/>
      <c r="AX644" s="40"/>
      <c r="AY644" s="5"/>
      <c r="BA644" s="40"/>
      <c r="BB644" s="5"/>
      <c r="BD644" s="40"/>
      <c r="BE644" s="5"/>
      <c r="BG644" s="40"/>
      <c r="BH644" s="5"/>
      <c r="BJ644" s="40"/>
      <c r="BK644" s="5"/>
      <c r="BM644" s="40"/>
      <c r="BN644" s="5"/>
      <c r="BP644" s="40"/>
      <c r="BQ644" s="5"/>
      <c r="BS644" s="40"/>
      <c r="BT644" s="5"/>
      <c r="BV644" s="40"/>
      <c r="BW644" s="5"/>
      <c r="BY644" s="40"/>
      <c r="BZ644" s="5"/>
      <c r="CB644" s="40"/>
      <c r="CC644" s="5"/>
      <c r="CE644" s="40"/>
      <c r="CF644" s="5"/>
      <c r="CH644" s="40"/>
      <c r="CI644" s="5"/>
      <c r="CK644" s="40"/>
      <c r="CL644" s="5"/>
      <c r="CN644" s="40"/>
      <c r="CO644" s="5"/>
      <c r="CQ644" s="40"/>
      <c r="CR644" s="5"/>
    </row>
    <row r="645">
      <c r="AO645" s="40"/>
      <c r="AP645" s="5"/>
      <c r="AR645" s="40"/>
      <c r="AS645" s="5"/>
      <c r="AU645" s="40"/>
      <c r="AV645" s="5"/>
      <c r="AX645" s="40"/>
      <c r="AY645" s="5"/>
      <c r="BA645" s="40"/>
      <c r="BB645" s="5"/>
      <c r="BD645" s="40"/>
      <c r="BE645" s="5"/>
      <c r="BG645" s="40"/>
      <c r="BH645" s="5"/>
      <c r="BJ645" s="40"/>
      <c r="BK645" s="5"/>
      <c r="BM645" s="40"/>
      <c r="BN645" s="5"/>
      <c r="BP645" s="40"/>
      <c r="BQ645" s="5"/>
      <c r="BS645" s="40"/>
      <c r="BT645" s="5"/>
      <c r="BV645" s="40"/>
      <c r="BW645" s="5"/>
      <c r="BY645" s="40"/>
      <c r="BZ645" s="5"/>
      <c r="CB645" s="40"/>
      <c r="CC645" s="5"/>
      <c r="CE645" s="40"/>
      <c r="CF645" s="5"/>
      <c r="CH645" s="40"/>
      <c r="CI645" s="5"/>
      <c r="CK645" s="40"/>
      <c r="CL645" s="5"/>
      <c r="CN645" s="40"/>
      <c r="CO645" s="5"/>
      <c r="CQ645" s="40"/>
      <c r="CR645" s="5"/>
    </row>
    <row r="646">
      <c r="AO646" s="40"/>
      <c r="AP646" s="5"/>
      <c r="AR646" s="40"/>
      <c r="AS646" s="5"/>
      <c r="AU646" s="40"/>
      <c r="AV646" s="5"/>
      <c r="AX646" s="40"/>
      <c r="AY646" s="5"/>
      <c r="BA646" s="40"/>
      <c r="BB646" s="5"/>
      <c r="BD646" s="40"/>
      <c r="BE646" s="5"/>
      <c r="BG646" s="40"/>
      <c r="BH646" s="5"/>
      <c r="BJ646" s="40"/>
      <c r="BK646" s="5"/>
      <c r="BM646" s="40"/>
      <c r="BN646" s="5"/>
      <c r="BP646" s="40"/>
      <c r="BQ646" s="5"/>
      <c r="BS646" s="40"/>
      <c r="BT646" s="5"/>
      <c r="BV646" s="40"/>
      <c r="BW646" s="5"/>
      <c r="BY646" s="40"/>
      <c r="BZ646" s="5"/>
      <c r="CB646" s="40"/>
      <c r="CC646" s="5"/>
      <c r="CE646" s="40"/>
      <c r="CF646" s="5"/>
      <c r="CH646" s="40"/>
      <c r="CI646" s="5"/>
      <c r="CK646" s="40"/>
      <c r="CL646" s="5"/>
      <c r="CN646" s="40"/>
      <c r="CO646" s="5"/>
      <c r="CQ646" s="40"/>
      <c r="CR646" s="5"/>
    </row>
    <row r="647">
      <c r="AO647" s="40"/>
      <c r="AP647" s="5"/>
      <c r="AR647" s="40"/>
      <c r="AS647" s="5"/>
      <c r="AU647" s="40"/>
      <c r="AV647" s="5"/>
      <c r="AX647" s="40"/>
      <c r="AY647" s="5"/>
      <c r="BA647" s="40"/>
      <c r="BB647" s="5"/>
      <c r="BD647" s="40"/>
      <c r="BE647" s="5"/>
      <c r="BG647" s="40"/>
      <c r="BH647" s="5"/>
      <c r="BJ647" s="40"/>
      <c r="BK647" s="5"/>
      <c r="BM647" s="40"/>
      <c r="BN647" s="5"/>
      <c r="BP647" s="40"/>
      <c r="BQ647" s="5"/>
      <c r="BS647" s="40"/>
      <c r="BT647" s="5"/>
      <c r="BV647" s="40"/>
      <c r="BW647" s="5"/>
      <c r="BY647" s="40"/>
      <c r="BZ647" s="5"/>
      <c r="CB647" s="40"/>
      <c r="CC647" s="5"/>
      <c r="CE647" s="40"/>
      <c r="CF647" s="5"/>
      <c r="CH647" s="40"/>
      <c r="CI647" s="5"/>
      <c r="CK647" s="40"/>
      <c r="CL647" s="5"/>
      <c r="CN647" s="40"/>
      <c r="CO647" s="5"/>
      <c r="CQ647" s="40"/>
      <c r="CR647" s="5"/>
    </row>
    <row r="648">
      <c r="AO648" s="40"/>
      <c r="AP648" s="5"/>
      <c r="AR648" s="40"/>
      <c r="AS648" s="5"/>
      <c r="AU648" s="40"/>
      <c r="AV648" s="5"/>
      <c r="AX648" s="40"/>
      <c r="AY648" s="5"/>
      <c r="BA648" s="40"/>
      <c r="BB648" s="5"/>
      <c r="BD648" s="40"/>
      <c r="BE648" s="5"/>
      <c r="BG648" s="40"/>
      <c r="BH648" s="5"/>
      <c r="BJ648" s="40"/>
      <c r="BK648" s="5"/>
      <c r="BM648" s="40"/>
      <c r="BN648" s="5"/>
      <c r="BP648" s="40"/>
      <c r="BQ648" s="5"/>
      <c r="BS648" s="40"/>
      <c r="BT648" s="5"/>
      <c r="BV648" s="40"/>
      <c r="BW648" s="5"/>
      <c r="BY648" s="40"/>
      <c r="BZ648" s="5"/>
      <c r="CB648" s="40"/>
      <c r="CC648" s="5"/>
      <c r="CE648" s="40"/>
      <c r="CF648" s="5"/>
      <c r="CH648" s="40"/>
      <c r="CI648" s="5"/>
      <c r="CK648" s="40"/>
      <c r="CL648" s="5"/>
      <c r="CN648" s="40"/>
      <c r="CO648" s="5"/>
      <c r="CQ648" s="40"/>
      <c r="CR648" s="5"/>
    </row>
    <row r="649">
      <c r="AO649" s="40"/>
      <c r="AP649" s="5"/>
      <c r="AR649" s="40"/>
      <c r="AS649" s="5"/>
      <c r="AU649" s="40"/>
      <c r="AV649" s="5"/>
      <c r="AX649" s="40"/>
      <c r="AY649" s="5"/>
      <c r="BA649" s="40"/>
      <c r="BB649" s="5"/>
      <c r="BD649" s="40"/>
      <c r="BE649" s="5"/>
      <c r="BG649" s="40"/>
      <c r="BH649" s="5"/>
      <c r="BJ649" s="40"/>
      <c r="BK649" s="5"/>
      <c r="BM649" s="40"/>
      <c r="BN649" s="5"/>
      <c r="BP649" s="40"/>
      <c r="BQ649" s="5"/>
      <c r="BS649" s="40"/>
      <c r="BT649" s="5"/>
      <c r="BV649" s="40"/>
      <c r="BW649" s="5"/>
      <c r="BY649" s="40"/>
      <c r="BZ649" s="5"/>
      <c r="CB649" s="40"/>
      <c r="CC649" s="5"/>
      <c r="CE649" s="40"/>
      <c r="CF649" s="5"/>
      <c r="CH649" s="40"/>
      <c r="CI649" s="5"/>
      <c r="CK649" s="40"/>
      <c r="CL649" s="5"/>
      <c r="CN649" s="40"/>
      <c r="CO649" s="5"/>
      <c r="CQ649" s="40"/>
      <c r="CR649" s="5"/>
    </row>
    <row r="650">
      <c r="AO650" s="40"/>
      <c r="AP650" s="5"/>
      <c r="AR650" s="40"/>
      <c r="AS650" s="5"/>
      <c r="AU650" s="40"/>
      <c r="AV650" s="5"/>
      <c r="AX650" s="40"/>
      <c r="AY650" s="5"/>
      <c r="BA650" s="40"/>
      <c r="BB650" s="5"/>
      <c r="BD650" s="40"/>
      <c r="BE650" s="5"/>
      <c r="BG650" s="40"/>
      <c r="BH650" s="5"/>
      <c r="BJ650" s="40"/>
      <c r="BK650" s="5"/>
      <c r="BM650" s="40"/>
      <c r="BN650" s="5"/>
      <c r="BP650" s="40"/>
      <c r="BQ650" s="5"/>
      <c r="BS650" s="40"/>
      <c r="BT650" s="5"/>
      <c r="BV650" s="40"/>
      <c r="BW650" s="5"/>
      <c r="BY650" s="40"/>
      <c r="BZ650" s="5"/>
      <c r="CB650" s="40"/>
      <c r="CC650" s="5"/>
      <c r="CE650" s="40"/>
      <c r="CF650" s="5"/>
      <c r="CH650" s="40"/>
      <c r="CI650" s="5"/>
      <c r="CK650" s="40"/>
      <c r="CL650" s="5"/>
      <c r="CN650" s="40"/>
      <c r="CO650" s="5"/>
      <c r="CQ650" s="40"/>
      <c r="CR650" s="5"/>
    </row>
    <row r="651">
      <c r="AO651" s="40"/>
      <c r="AP651" s="5"/>
      <c r="AR651" s="40"/>
      <c r="AS651" s="5"/>
      <c r="AU651" s="40"/>
      <c r="AV651" s="5"/>
      <c r="AX651" s="40"/>
      <c r="AY651" s="5"/>
      <c r="BA651" s="40"/>
      <c r="BB651" s="5"/>
      <c r="BD651" s="40"/>
      <c r="BE651" s="5"/>
      <c r="BG651" s="40"/>
      <c r="BH651" s="5"/>
      <c r="BJ651" s="40"/>
      <c r="BK651" s="5"/>
      <c r="BM651" s="40"/>
      <c r="BN651" s="5"/>
      <c r="BP651" s="40"/>
      <c r="BQ651" s="5"/>
      <c r="BS651" s="40"/>
      <c r="BT651" s="5"/>
      <c r="BV651" s="40"/>
      <c r="BW651" s="5"/>
      <c r="BY651" s="40"/>
      <c r="BZ651" s="5"/>
      <c r="CB651" s="40"/>
      <c r="CC651" s="5"/>
      <c r="CE651" s="40"/>
      <c r="CF651" s="5"/>
      <c r="CH651" s="40"/>
      <c r="CI651" s="5"/>
      <c r="CK651" s="40"/>
      <c r="CL651" s="5"/>
      <c r="CN651" s="40"/>
      <c r="CO651" s="5"/>
      <c r="CQ651" s="40"/>
      <c r="CR651" s="5"/>
    </row>
    <row r="652">
      <c r="AO652" s="40"/>
      <c r="AP652" s="5"/>
      <c r="AR652" s="40"/>
      <c r="AS652" s="5"/>
      <c r="AU652" s="40"/>
      <c r="AV652" s="5"/>
      <c r="AX652" s="40"/>
      <c r="AY652" s="5"/>
      <c r="BA652" s="40"/>
      <c r="BB652" s="5"/>
      <c r="BD652" s="40"/>
      <c r="BE652" s="5"/>
      <c r="BG652" s="40"/>
      <c r="BH652" s="5"/>
      <c r="BJ652" s="40"/>
      <c r="BK652" s="5"/>
      <c r="BM652" s="40"/>
      <c r="BN652" s="5"/>
      <c r="BP652" s="40"/>
      <c r="BQ652" s="5"/>
      <c r="BS652" s="40"/>
      <c r="BT652" s="5"/>
      <c r="BV652" s="40"/>
      <c r="BW652" s="5"/>
      <c r="BY652" s="40"/>
      <c r="BZ652" s="5"/>
      <c r="CB652" s="40"/>
      <c r="CC652" s="5"/>
      <c r="CE652" s="40"/>
      <c r="CF652" s="5"/>
      <c r="CH652" s="40"/>
      <c r="CI652" s="5"/>
      <c r="CK652" s="40"/>
      <c r="CL652" s="5"/>
      <c r="CN652" s="40"/>
      <c r="CO652" s="5"/>
      <c r="CQ652" s="40"/>
      <c r="CR652" s="5"/>
    </row>
    <row r="653">
      <c r="AO653" s="40"/>
      <c r="AP653" s="5"/>
      <c r="AR653" s="40"/>
      <c r="AS653" s="5"/>
      <c r="AU653" s="40"/>
      <c r="AV653" s="5"/>
      <c r="AX653" s="40"/>
      <c r="AY653" s="5"/>
      <c r="BA653" s="40"/>
      <c r="BB653" s="5"/>
      <c r="BD653" s="40"/>
      <c r="BE653" s="5"/>
      <c r="BG653" s="40"/>
      <c r="BH653" s="5"/>
      <c r="BJ653" s="40"/>
      <c r="BK653" s="5"/>
      <c r="BM653" s="40"/>
      <c r="BN653" s="5"/>
      <c r="BP653" s="40"/>
      <c r="BQ653" s="5"/>
      <c r="BS653" s="40"/>
      <c r="BT653" s="5"/>
      <c r="BV653" s="40"/>
      <c r="BW653" s="5"/>
      <c r="BY653" s="40"/>
      <c r="BZ653" s="5"/>
      <c r="CB653" s="40"/>
      <c r="CC653" s="5"/>
      <c r="CE653" s="40"/>
      <c r="CF653" s="5"/>
      <c r="CH653" s="40"/>
      <c r="CI653" s="5"/>
      <c r="CK653" s="40"/>
      <c r="CL653" s="5"/>
      <c r="CN653" s="40"/>
      <c r="CO653" s="5"/>
      <c r="CQ653" s="40"/>
      <c r="CR653" s="5"/>
    </row>
    <row r="654">
      <c r="AO654" s="40"/>
      <c r="AP654" s="5"/>
      <c r="AR654" s="40"/>
      <c r="AS654" s="5"/>
      <c r="AU654" s="40"/>
      <c r="AV654" s="5"/>
      <c r="AX654" s="40"/>
      <c r="AY654" s="5"/>
      <c r="BA654" s="40"/>
      <c r="BB654" s="5"/>
      <c r="BD654" s="40"/>
      <c r="BE654" s="5"/>
      <c r="BG654" s="40"/>
      <c r="BH654" s="5"/>
      <c r="BJ654" s="40"/>
      <c r="BK654" s="5"/>
      <c r="BM654" s="40"/>
      <c r="BN654" s="5"/>
      <c r="BP654" s="40"/>
      <c r="BQ654" s="5"/>
      <c r="BS654" s="40"/>
      <c r="BT654" s="5"/>
      <c r="BV654" s="40"/>
      <c r="BW654" s="5"/>
      <c r="BY654" s="40"/>
      <c r="BZ654" s="5"/>
      <c r="CB654" s="40"/>
      <c r="CC654" s="5"/>
      <c r="CE654" s="40"/>
      <c r="CF654" s="5"/>
      <c r="CH654" s="40"/>
      <c r="CI654" s="5"/>
      <c r="CK654" s="40"/>
      <c r="CL654" s="5"/>
      <c r="CN654" s="40"/>
      <c r="CO654" s="5"/>
      <c r="CQ654" s="40"/>
      <c r="CR654" s="5"/>
    </row>
    <row r="655">
      <c r="AO655" s="40"/>
      <c r="AP655" s="5"/>
      <c r="AR655" s="40"/>
      <c r="AS655" s="5"/>
      <c r="AU655" s="40"/>
      <c r="AV655" s="5"/>
      <c r="AX655" s="40"/>
      <c r="AY655" s="5"/>
      <c r="BA655" s="40"/>
      <c r="BB655" s="5"/>
      <c r="BD655" s="40"/>
      <c r="BE655" s="5"/>
      <c r="BG655" s="40"/>
      <c r="BH655" s="5"/>
      <c r="BJ655" s="40"/>
      <c r="BK655" s="5"/>
      <c r="BM655" s="40"/>
      <c r="BN655" s="5"/>
      <c r="BP655" s="40"/>
      <c r="BQ655" s="5"/>
      <c r="BS655" s="40"/>
      <c r="BT655" s="5"/>
      <c r="BV655" s="40"/>
      <c r="BW655" s="5"/>
      <c r="BY655" s="40"/>
      <c r="BZ655" s="5"/>
      <c r="CB655" s="40"/>
      <c r="CC655" s="5"/>
      <c r="CE655" s="40"/>
      <c r="CF655" s="5"/>
      <c r="CH655" s="40"/>
      <c r="CI655" s="5"/>
      <c r="CK655" s="40"/>
      <c r="CL655" s="5"/>
      <c r="CN655" s="40"/>
      <c r="CO655" s="5"/>
      <c r="CQ655" s="40"/>
      <c r="CR655" s="5"/>
    </row>
    <row r="656">
      <c r="AO656" s="40"/>
      <c r="AP656" s="5"/>
      <c r="AR656" s="40"/>
      <c r="AS656" s="5"/>
      <c r="AU656" s="40"/>
      <c r="AV656" s="5"/>
      <c r="AX656" s="40"/>
      <c r="AY656" s="5"/>
      <c r="BA656" s="40"/>
      <c r="BB656" s="5"/>
      <c r="BD656" s="40"/>
      <c r="BE656" s="5"/>
      <c r="BG656" s="40"/>
      <c r="BH656" s="5"/>
      <c r="BJ656" s="40"/>
      <c r="BK656" s="5"/>
      <c r="BM656" s="40"/>
      <c r="BN656" s="5"/>
      <c r="BP656" s="40"/>
      <c r="BQ656" s="5"/>
      <c r="BS656" s="40"/>
      <c r="BT656" s="5"/>
      <c r="BV656" s="40"/>
      <c r="BW656" s="5"/>
      <c r="BY656" s="40"/>
      <c r="BZ656" s="5"/>
      <c r="CB656" s="40"/>
      <c r="CC656" s="5"/>
      <c r="CE656" s="40"/>
      <c r="CF656" s="5"/>
      <c r="CH656" s="40"/>
      <c r="CI656" s="5"/>
      <c r="CK656" s="40"/>
      <c r="CL656" s="5"/>
      <c r="CN656" s="40"/>
      <c r="CO656" s="5"/>
      <c r="CQ656" s="40"/>
      <c r="CR656" s="5"/>
    </row>
    <row r="657">
      <c r="AO657" s="40"/>
      <c r="AP657" s="5"/>
      <c r="AR657" s="40"/>
      <c r="AS657" s="5"/>
      <c r="AU657" s="40"/>
      <c r="AV657" s="5"/>
      <c r="AX657" s="40"/>
      <c r="AY657" s="5"/>
      <c r="BA657" s="40"/>
      <c r="BB657" s="5"/>
      <c r="BD657" s="40"/>
      <c r="BE657" s="5"/>
      <c r="BG657" s="40"/>
      <c r="BH657" s="5"/>
      <c r="BJ657" s="40"/>
      <c r="BK657" s="5"/>
      <c r="BM657" s="40"/>
      <c r="BN657" s="5"/>
      <c r="BP657" s="40"/>
      <c r="BQ657" s="5"/>
      <c r="BS657" s="40"/>
      <c r="BT657" s="5"/>
      <c r="BV657" s="40"/>
      <c r="BW657" s="5"/>
      <c r="BY657" s="40"/>
      <c r="BZ657" s="5"/>
      <c r="CB657" s="40"/>
      <c r="CC657" s="5"/>
      <c r="CE657" s="40"/>
      <c r="CF657" s="5"/>
      <c r="CH657" s="40"/>
      <c r="CI657" s="5"/>
      <c r="CK657" s="40"/>
      <c r="CL657" s="5"/>
      <c r="CN657" s="40"/>
      <c r="CO657" s="5"/>
      <c r="CQ657" s="40"/>
      <c r="CR657" s="5"/>
    </row>
    <row r="658">
      <c r="AO658" s="40"/>
      <c r="AP658" s="5"/>
      <c r="AR658" s="40"/>
      <c r="AS658" s="5"/>
      <c r="AU658" s="40"/>
      <c r="AV658" s="5"/>
      <c r="AX658" s="40"/>
      <c r="AY658" s="5"/>
      <c r="BA658" s="40"/>
      <c r="BB658" s="5"/>
      <c r="BD658" s="40"/>
      <c r="BE658" s="5"/>
      <c r="BG658" s="40"/>
      <c r="BH658" s="5"/>
      <c r="BJ658" s="40"/>
      <c r="BK658" s="5"/>
      <c r="BM658" s="40"/>
      <c r="BN658" s="5"/>
      <c r="BP658" s="40"/>
      <c r="BQ658" s="5"/>
      <c r="BS658" s="40"/>
      <c r="BT658" s="5"/>
      <c r="BV658" s="40"/>
      <c r="BW658" s="5"/>
      <c r="BY658" s="40"/>
      <c r="BZ658" s="5"/>
      <c r="CB658" s="40"/>
      <c r="CC658" s="5"/>
      <c r="CE658" s="40"/>
      <c r="CF658" s="5"/>
      <c r="CH658" s="40"/>
      <c r="CI658" s="5"/>
      <c r="CK658" s="40"/>
      <c r="CL658" s="5"/>
      <c r="CN658" s="40"/>
      <c r="CO658" s="5"/>
      <c r="CQ658" s="40"/>
      <c r="CR658" s="5"/>
    </row>
    <row r="659">
      <c r="AO659" s="40"/>
      <c r="AP659" s="5"/>
      <c r="AR659" s="40"/>
      <c r="AS659" s="5"/>
      <c r="AU659" s="40"/>
      <c r="AV659" s="5"/>
      <c r="AX659" s="40"/>
      <c r="AY659" s="5"/>
      <c r="BA659" s="40"/>
      <c r="BB659" s="5"/>
      <c r="BD659" s="40"/>
      <c r="BE659" s="5"/>
      <c r="BG659" s="40"/>
      <c r="BH659" s="5"/>
      <c r="BJ659" s="40"/>
      <c r="BK659" s="5"/>
      <c r="BM659" s="40"/>
      <c r="BN659" s="5"/>
      <c r="BP659" s="40"/>
      <c r="BQ659" s="5"/>
      <c r="BS659" s="40"/>
      <c r="BT659" s="5"/>
      <c r="BV659" s="40"/>
      <c r="BW659" s="5"/>
      <c r="BY659" s="40"/>
      <c r="BZ659" s="5"/>
      <c r="CB659" s="40"/>
      <c r="CC659" s="5"/>
      <c r="CE659" s="40"/>
      <c r="CF659" s="5"/>
      <c r="CH659" s="40"/>
      <c r="CI659" s="5"/>
      <c r="CK659" s="40"/>
      <c r="CL659" s="5"/>
      <c r="CN659" s="40"/>
      <c r="CO659" s="5"/>
      <c r="CQ659" s="40"/>
      <c r="CR659" s="5"/>
    </row>
    <row r="660">
      <c r="AO660" s="40"/>
      <c r="AP660" s="5"/>
      <c r="AR660" s="40"/>
      <c r="AS660" s="5"/>
      <c r="AU660" s="40"/>
      <c r="AV660" s="5"/>
      <c r="AX660" s="40"/>
      <c r="AY660" s="5"/>
      <c r="BA660" s="40"/>
      <c r="BB660" s="5"/>
      <c r="BD660" s="40"/>
      <c r="BE660" s="5"/>
      <c r="BG660" s="40"/>
      <c r="BH660" s="5"/>
      <c r="BJ660" s="40"/>
      <c r="BK660" s="5"/>
      <c r="BM660" s="40"/>
      <c r="BN660" s="5"/>
      <c r="BP660" s="40"/>
      <c r="BQ660" s="5"/>
      <c r="BS660" s="40"/>
      <c r="BT660" s="5"/>
      <c r="BV660" s="40"/>
      <c r="BW660" s="5"/>
      <c r="BY660" s="40"/>
      <c r="BZ660" s="5"/>
      <c r="CB660" s="40"/>
      <c r="CC660" s="5"/>
      <c r="CE660" s="40"/>
      <c r="CF660" s="5"/>
      <c r="CH660" s="40"/>
      <c r="CI660" s="5"/>
      <c r="CK660" s="40"/>
      <c r="CL660" s="5"/>
      <c r="CN660" s="40"/>
      <c r="CO660" s="5"/>
      <c r="CQ660" s="40"/>
      <c r="CR660" s="5"/>
    </row>
    <row r="661">
      <c r="AO661" s="40"/>
      <c r="AP661" s="5"/>
      <c r="AR661" s="40"/>
      <c r="AS661" s="5"/>
      <c r="AU661" s="40"/>
      <c r="AV661" s="5"/>
      <c r="AX661" s="40"/>
      <c r="AY661" s="5"/>
      <c r="BA661" s="40"/>
      <c r="BB661" s="5"/>
      <c r="BD661" s="40"/>
      <c r="BE661" s="5"/>
      <c r="BG661" s="40"/>
      <c r="BH661" s="5"/>
      <c r="BJ661" s="40"/>
      <c r="BK661" s="5"/>
      <c r="BM661" s="40"/>
      <c r="BN661" s="5"/>
      <c r="BP661" s="40"/>
      <c r="BQ661" s="5"/>
      <c r="BS661" s="40"/>
      <c r="BT661" s="5"/>
      <c r="BV661" s="40"/>
      <c r="BW661" s="5"/>
      <c r="BY661" s="40"/>
      <c r="BZ661" s="5"/>
      <c r="CB661" s="40"/>
      <c r="CC661" s="5"/>
      <c r="CE661" s="40"/>
      <c r="CF661" s="5"/>
      <c r="CH661" s="40"/>
      <c r="CI661" s="5"/>
      <c r="CK661" s="40"/>
      <c r="CL661" s="5"/>
      <c r="CN661" s="40"/>
      <c r="CO661" s="5"/>
      <c r="CQ661" s="40"/>
      <c r="CR661" s="5"/>
    </row>
    <row r="662">
      <c r="AO662" s="40"/>
      <c r="AP662" s="5"/>
      <c r="AR662" s="40"/>
      <c r="AS662" s="5"/>
      <c r="AU662" s="40"/>
      <c r="AV662" s="5"/>
      <c r="AX662" s="40"/>
      <c r="AY662" s="5"/>
      <c r="BA662" s="40"/>
      <c r="BB662" s="5"/>
      <c r="BD662" s="40"/>
      <c r="BE662" s="5"/>
      <c r="BG662" s="40"/>
      <c r="BH662" s="5"/>
      <c r="BJ662" s="40"/>
      <c r="BK662" s="5"/>
      <c r="BM662" s="40"/>
      <c r="BN662" s="5"/>
      <c r="BP662" s="40"/>
      <c r="BQ662" s="5"/>
      <c r="BS662" s="40"/>
      <c r="BT662" s="5"/>
      <c r="BV662" s="40"/>
      <c r="BW662" s="5"/>
      <c r="BY662" s="40"/>
      <c r="BZ662" s="5"/>
      <c r="CB662" s="40"/>
      <c r="CC662" s="5"/>
      <c r="CE662" s="40"/>
      <c r="CF662" s="5"/>
      <c r="CH662" s="40"/>
      <c r="CI662" s="5"/>
      <c r="CK662" s="40"/>
      <c r="CL662" s="5"/>
      <c r="CN662" s="40"/>
      <c r="CO662" s="5"/>
      <c r="CQ662" s="40"/>
      <c r="CR662" s="5"/>
    </row>
    <row r="663">
      <c r="AO663" s="40"/>
      <c r="AP663" s="5"/>
      <c r="AR663" s="40"/>
      <c r="AS663" s="5"/>
      <c r="AU663" s="40"/>
      <c r="AV663" s="5"/>
      <c r="AX663" s="40"/>
      <c r="AY663" s="5"/>
      <c r="BA663" s="40"/>
      <c r="BB663" s="5"/>
      <c r="BD663" s="40"/>
      <c r="BE663" s="5"/>
      <c r="BG663" s="40"/>
      <c r="BH663" s="5"/>
      <c r="BJ663" s="40"/>
      <c r="BK663" s="5"/>
      <c r="BM663" s="40"/>
      <c r="BN663" s="5"/>
      <c r="BP663" s="40"/>
      <c r="BQ663" s="5"/>
      <c r="BS663" s="40"/>
      <c r="BT663" s="5"/>
      <c r="BV663" s="40"/>
      <c r="BW663" s="5"/>
      <c r="BY663" s="40"/>
      <c r="BZ663" s="5"/>
      <c r="CB663" s="40"/>
      <c r="CC663" s="5"/>
      <c r="CE663" s="40"/>
      <c r="CF663" s="5"/>
      <c r="CH663" s="40"/>
      <c r="CI663" s="5"/>
      <c r="CK663" s="40"/>
      <c r="CL663" s="5"/>
      <c r="CN663" s="40"/>
      <c r="CO663" s="5"/>
      <c r="CQ663" s="40"/>
      <c r="CR663" s="5"/>
    </row>
    <row r="664">
      <c r="AO664" s="40"/>
      <c r="AP664" s="5"/>
      <c r="AR664" s="40"/>
      <c r="AS664" s="5"/>
      <c r="AU664" s="40"/>
      <c r="AV664" s="5"/>
      <c r="AX664" s="40"/>
      <c r="AY664" s="5"/>
      <c r="BA664" s="40"/>
      <c r="BB664" s="5"/>
      <c r="BD664" s="40"/>
      <c r="BE664" s="5"/>
      <c r="BG664" s="40"/>
      <c r="BH664" s="5"/>
      <c r="BJ664" s="40"/>
      <c r="BK664" s="5"/>
      <c r="BM664" s="40"/>
      <c r="BN664" s="5"/>
      <c r="BP664" s="40"/>
      <c r="BQ664" s="5"/>
      <c r="BS664" s="40"/>
      <c r="BT664" s="5"/>
      <c r="BV664" s="40"/>
      <c r="BW664" s="5"/>
      <c r="BY664" s="40"/>
      <c r="BZ664" s="5"/>
      <c r="CB664" s="40"/>
      <c r="CC664" s="5"/>
      <c r="CE664" s="40"/>
      <c r="CF664" s="5"/>
      <c r="CH664" s="40"/>
      <c r="CI664" s="5"/>
      <c r="CK664" s="40"/>
      <c r="CL664" s="5"/>
      <c r="CN664" s="40"/>
      <c r="CO664" s="5"/>
      <c r="CQ664" s="40"/>
      <c r="CR664" s="5"/>
    </row>
    <row r="665">
      <c r="AO665" s="40"/>
      <c r="AP665" s="5"/>
      <c r="AR665" s="40"/>
      <c r="AS665" s="5"/>
      <c r="AU665" s="40"/>
      <c r="AV665" s="5"/>
      <c r="AX665" s="40"/>
      <c r="AY665" s="5"/>
      <c r="BA665" s="40"/>
      <c r="BB665" s="5"/>
      <c r="BD665" s="40"/>
      <c r="BE665" s="5"/>
      <c r="BG665" s="40"/>
      <c r="BH665" s="5"/>
      <c r="BJ665" s="40"/>
      <c r="BK665" s="5"/>
      <c r="BM665" s="40"/>
      <c r="BN665" s="5"/>
      <c r="BP665" s="40"/>
      <c r="BQ665" s="5"/>
      <c r="BS665" s="40"/>
      <c r="BT665" s="5"/>
      <c r="BV665" s="40"/>
      <c r="BW665" s="5"/>
      <c r="BY665" s="40"/>
      <c r="BZ665" s="5"/>
      <c r="CB665" s="40"/>
      <c r="CC665" s="5"/>
      <c r="CE665" s="40"/>
      <c r="CF665" s="5"/>
      <c r="CH665" s="40"/>
      <c r="CI665" s="5"/>
      <c r="CK665" s="40"/>
      <c r="CL665" s="5"/>
      <c r="CN665" s="40"/>
      <c r="CO665" s="5"/>
      <c r="CQ665" s="40"/>
      <c r="CR665" s="5"/>
    </row>
    <row r="666">
      <c r="AO666" s="40"/>
      <c r="AP666" s="5"/>
      <c r="AR666" s="40"/>
      <c r="AS666" s="5"/>
      <c r="AU666" s="40"/>
      <c r="AV666" s="5"/>
      <c r="AX666" s="40"/>
      <c r="AY666" s="5"/>
      <c r="BA666" s="40"/>
      <c r="BB666" s="5"/>
      <c r="BD666" s="40"/>
      <c r="BE666" s="5"/>
      <c r="BG666" s="40"/>
      <c r="BH666" s="5"/>
      <c r="BJ666" s="40"/>
      <c r="BK666" s="5"/>
      <c r="BM666" s="40"/>
      <c r="BN666" s="5"/>
      <c r="BP666" s="40"/>
      <c r="BQ666" s="5"/>
      <c r="BS666" s="40"/>
      <c r="BT666" s="5"/>
      <c r="BV666" s="40"/>
      <c r="BW666" s="5"/>
      <c r="BY666" s="40"/>
      <c r="BZ666" s="5"/>
      <c r="CB666" s="40"/>
      <c r="CC666" s="5"/>
      <c r="CE666" s="40"/>
      <c r="CF666" s="5"/>
      <c r="CH666" s="40"/>
      <c r="CI666" s="5"/>
      <c r="CK666" s="40"/>
      <c r="CL666" s="5"/>
      <c r="CN666" s="40"/>
      <c r="CO666" s="5"/>
      <c r="CQ666" s="40"/>
      <c r="CR666" s="5"/>
    </row>
    <row r="667">
      <c r="AO667" s="40"/>
      <c r="AP667" s="5"/>
      <c r="AR667" s="40"/>
      <c r="AS667" s="5"/>
      <c r="AU667" s="40"/>
      <c r="AV667" s="5"/>
      <c r="AX667" s="40"/>
      <c r="AY667" s="5"/>
      <c r="BA667" s="40"/>
      <c r="BB667" s="5"/>
      <c r="BD667" s="40"/>
      <c r="BE667" s="5"/>
      <c r="BG667" s="40"/>
      <c r="BH667" s="5"/>
      <c r="BJ667" s="40"/>
      <c r="BK667" s="5"/>
      <c r="BM667" s="40"/>
      <c r="BN667" s="5"/>
      <c r="BP667" s="40"/>
      <c r="BQ667" s="5"/>
      <c r="BS667" s="40"/>
      <c r="BT667" s="5"/>
      <c r="BV667" s="40"/>
      <c r="BW667" s="5"/>
      <c r="BY667" s="40"/>
      <c r="BZ667" s="5"/>
      <c r="CB667" s="40"/>
      <c r="CC667" s="5"/>
      <c r="CE667" s="40"/>
      <c r="CF667" s="5"/>
      <c r="CH667" s="40"/>
      <c r="CI667" s="5"/>
      <c r="CK667" s="40"/>
      <c r="CL667" s="5"/>
      <c r="CN667" s="40"/>
      <c r="CO667" s="5"/>
      <c r="CQ667" s="40"/>
      <c r="CR667" s="5"/>
    </row>
    <row r="668">
      <c r="AO668" s="40"/>
      <c r="AP668" s="5"/>
      <c r="AR668" s="40"/>
      <c r="AS668" s="5"/>
      <c r="AU668" s="40"/>
      <c r="AV668" s="5"/>
      <c r="AX668" s="40"/>
      <c r="AY668" s="5"/>
      <c r="BA668" s="40"/>
      <c r="BB668" s="5"/>
      <c r="BD668" s="40"/>
      <c r="BE668" s="5"/>
      <c r="BG668" s="40"/>
      <c r="BH668" s="5"/>
      <c r="BJ668" s="40"/>
      <c r="BK668" s="5"/>
      <c r="BM668" s="40"/>
      <c r="BN668" s="5"/>
      <c r="BP668" s="40"/>
      <c r="BQ668" s="5"/>
      <c r="BS668" s="40"/>
      <c r="BT668" s="5"/>
      <c r="BV668" s="40"/>
      <c r="BW668" s="5"/>
      <c r="BY668" s="40"/>
      <c r="BZ668" s="5"/>
      <c r="CB668" s="40"/>
      <c r="CC668" s="5"/>
      <c r="CE668" s="40"/>
      <c r="CF668" s="5"/>
      <c r="CH668" s="40"/>
      <c r="CI668" s="5"/>
      <c r="CK668" s="40"/>
      <c r="CL668" s="5"/>
      <c r="CN668" s="40"/>
      <c r="CO668" s="5"/>
      <c r="CQ668" s="40"/>
      <c r="CR668" s="5"/>
    </row>
    <row r="669">
      <c r="AO669" s="40"/>
      <c r="AP669" s="5"/>
      <c r="AR669" s="40"/>
      <c r="AS669" s="5"/>
      <c r="AU669" s="40"/>
      <c r="AV669" s="5"/>
      <c r="AX669" s="40"/>
      <c r="AY669" s="5"/>
      <c r="BA669" s="40"/>
      <c r="BB669" s="5"/>
      <c r="BD669" s="40"/>
      <c r="BE669" s="5"/>
      <c r="BG669" s="40"/>
      <c r="BH669" s="5"/>
      <c r="BJ669" s="40"/>
      <c r="BK669" s="5"/>
      <c r="BM669" s="40"/>
      <c r="BN669" s="5"/>
      <c r="BP669" s="40"/>
      <c r="BQ669" s="5"/>
      <c r="BS669" s="40"/>
      <c r="BT669" s="5"/>
      <c r="BV669" s="40"/>
      <c r="BW669" s="5"/>
      <c r="BY669" s="40"/>
      <c r="BZ669" s="5"/>
      <c r="CB669" s="40"/>
      <c r="CC669" s="5"/>
      <c r="CE669" s="40"/>
      <c r="CF669" s="5"/>
      <c r="CH669" s="40"/>
      <c r="CI669" s="5"/>
      <c r="CK669" s="40"/>
      <c r="CL669" s="5"/>
      <c r="CN669" s="40"/>
      <c r="CO669" s="5"/>
      <c r="CQ669" s="40"/>
      <c r="CR669" s="5"/>
    </row>
    <row r="670">
      <c r="AO670" s="40"/>
      <c r="AP670" s="5"/>
      <c r="AR670" s="40"/>
      <c r="AS670" s="5"/>
      <c r="AU670" s="40"/>
      <c r="AV670" s="5"/>
      <c r="AX670" s="40"/>
      <c r="AY670" s="5"/>
      <c r="BA670" s="40"/>
      <c r="BB670" s="5"/>
      <c r="BD670" s="40"/>
      <c r="BE670" s="5"/>
      <c r="BG670" s="40"/>
      <c r="BH670" s="5"/>
      <c r="BJ670" s="40"/>
      <c r="BK670" s="5"/>
      <c r="BM670" s="40"/>
      <c r="BN670" s="5"/>
      <c r="BP670" s="40"/>
      <c r="BQ670" s="5"/>
      <c r="BS670" s="40"/>
      <c r="BT670" s="5"/>
      <c r="BV670" s="40"/>
      <c r="BW670" s="5"/>
      <c r="BY670" s="40"/>
      <c r="BZ670" s="5"/>
      <c r="CB670" s="40"/>
      <c r="CC670" s="5"/>
      <c r="CE670" s="40"/>
      <c r="CF670" s="5"/>
      <c r="CH670" s="40"/>
      <c r="CI670" s="5"/>
      <c r="CK670" s="40"/>
      <c r="CL670" s="5"/>
      <c r="CN670" s="40"/>
      <c r="CO670" s="5"/>
      <c r="CQ670" s="40"/>
      <c r="CR670" s="5"/>
    </row>
    <row r="671">
      <c r="AO671" s="40"/>
      <c r="AP671" s="5"/>
      <c r="AR671" s="40"/>
      <c r="AS671" s="5"/>
      <c r="AU671" s="40"/>
      <c r="AV671" s="5"/>
      <c r="AX671" s="40"/>
      <c r="AY671" s="5"/>
      <c r="BA671" s="40"/>
      <c r="BB671" s="5"/>
      <c r="BD671" s="40"/>
      <c r="BE671" s="5"/>
      <c r="BG671" s="40"/>
      <c r="BH671" s="5"/>
      <c r="BJ671" s="40"/>
      <c r="BK671" s="5"/>
      <c r="BM671" s="40"/>
      <c r="BN671" s="5"/>
      <c r="BP671" s="40"/>
      <c r="BQ671" s="5"/>
      <c r="BS671" s="40"/>
      <c r="BT671" s="5"/>
      <c r="BV671" s="40"/>
      <c r="BW671" s="5"/>
      <c r="BY671" s="40"/>
      <c r="BZ671" s="5"/>
      <c r="CB671" s="40"/>
      <c r="CC671" s="5"/>
      <c r="CE671" s="40"/>
      <c r="CF671" s="5"/>
      <c r="CH671" s="40"/>
      <c r="CI671" s="5"/>
      <c r="CK671" s="40"/>
      <c r="CL671" s="5"/>
      <c r="CN671" s="40"/>
      <c r="CO671" s="5"/>
      <c r="CQ671" s="40"/>
      <c r="CR671" s="5"/>
    </row>
    <row r="672">
      <c r="AO672" s="40"/>
      <c r="AP672" s="5"/>
      <c r="AR672" s="40"/>
      <c r="AS672" s="5"/>
      <c r="AU672" s="40"/>
      <c r="AV672" s="5"/>
      <c r="AX672" s="40"/>
      <c r="AY672" s="5"/>
      <c r="BA672" s="40"/>
      <c r="BB672" s="5"/>
      <c r="BD672" s="40"/>
      <c r="BE672" s="5"/>
      <c r="BG672" s="40"/>
      <c r="BH672" s="5"/>
      <c r="BJ672" s="40"/>
      <c r="BK672" s="5"/>
      <c r="BM672" s="40"/>
      <c r="BN672" s="5"/>
      <c r="BP672" s="40"/>
      <c r="BQ672" s="5"/>
      <c r="BS672" s="40"/>
      <c r="BT672" s="5"/>
      <c r="BV672" s="40"/>
      <c r="BW672" s="5"/>
      <c r="BY672" s="40"/>
      <c r="BZ672" s="5"/>
      <c r="CB672" s="40"/>
      <c r="CC672" s="5"/>
      <c r="CE672" s="40"/>
      <c r="CF672" s="5"/>
      <c r="CH672" s="40"/>
      <c r="CI672" s="5"/>
      <c r="CK672" s="40"/>
      <c r="CL672" s="5"/>
      <c r="CN672" s="40"/>
      <c r="CO672" s="5"/>
      <c r="CQ672" s="40"/>
      <c r="CR672" s="5"/>
    </row>
    <row r="673">
      <c r="AO673" s="40"/>
      <c r="AP673" s="5"/>
      <c r="AR673" s="40"/>
      <c r="AS673" s="5"/>
      <c r="AU673" s="40"/>
      <c r="AV673" s="5"/>
      <c r="AX673" s="40"/>
      <c r="AY673" s="5"/>
      <c r="BA673" s="40"/>
      <c r="BB673" s="5"/>
      <c r="BD673" s="40"/>
      <c r="BE673" s="5"/>
      <c r="BG673" s="40"/>
      <c r="BH673" s="5"/>
      <c r="BJ673" s="40"/>
      <c r="BK673" s="5"/>
      <c r="BM673" s="40"/>
      <c r="BN673" s="5"/>
      <c r="BP673" s="40"/>
      <c r="BQ673" s="5"/>
      <c r="BS673" s="40"/>
      <c r="BT673" s="5"/>
      <c r="BV673" s="40"/>
      <c r="BW673" s="5"/>
      <c r="BY673" s="40"/>
      <c r="BZ673" s="5"/>
      <c r="CB673" s="40"/>
      <c r="CC673" s="5"/>
      <c r="CE673" s="40"/>
      <c r="CF673" s="5"/>
      <c r="CH673" s="40"/>
      <c r="CI673" s="5"/>
      <c r="CK673" s="40"/>
      <c r="CL673" s="5"/>
      <c r="CN673" s="40"/>
      <c r="CO673" s="5"/>
      <c r="CQ673" s="40"/>
      <c r="CR673" s="5"/>
    </row>
    <row r="674">
      <c r="AO674" s="40"/>
      <c r="AP674" s="5"/>
      <c r="AR674" s="40"/>
      <c r="AS674" s="5"/>
      <c r="AU674" s="40"/>
      <c r="AV674" s="5"/>
      <c r="AX674" s="40"/>
      <c r="AY674" s="5"/>
      <c r="BA674" s="40"/>
      <c r="BB674" s="5"/>
      <c r="BD674" s="40"/>
      <c r="BE674" s="5"/>
      <c r="BG674" s="40"/>
      <c r="BH674" s="5"/>
      <c r="BJ674" s="40"/>
      <c r="BK674" s="5"/>
      <c r="BM674" s="40"/>
      <c r="BN674" s="5"/>
      <c r="BP674" s="40"/>
      <c r="BQ674" s="5"/>
      <c r="BS674" s="40"/>
      <c r="BT674" s="5"/>
      <c r="BV674" s="40"/>
      <c r="BW674" s="5"/>
      <c r="BY674" s="40"/>
      <c r="BZ674" s="5"/>
      <c r="CB674" s="40"/>
      <c r="CC674" s="5"/>
      <c r="CE674" s="40"/>
      <c r="CF674" s="5"/>
      <c r="CH674" s="40"/>
      <c r="CI674" s="5"/>
      <c r="CK674" s="40"/>
      <c r="CL674" s="5"/>
      <c r="CN674" s="40"/>
      <c r="CO674" s="5"/>
      <c r="CQ674" s="40"/>
      <c r="CR674" s="5"/>
    </row>
    <row r="675">
      <c r="AO675" s="40"/>
      <c r="AP675" s="5"/>
      <c r="AR675" s="40"/>
      <c r="AS675" s="5"/>
      <c r="AU675" s="40"/>
      <c r="AV675" s="5"/>
      <c r="AX675" s="40"/>
      <c r="AY675" s="5"/>
      <c r="BA675" s="40"/>
      <c r="BB675" s="5"/>
      <c r="BD675" s="40"/>
      <c r="BE675" s="5"/>
      <c r="BG675" s="40"/>
      <c r="BH675" s="5"/>
      <c r="BJ675" s="40"/>
      <c r="BK675" s="5"/>
      <c r="BM675" s="40"/>
      <c r="BN675" s="5"/>
      <c r="BP675" s="40"/>
      <c r="BQ675" s="5"/>
      <c r="BS675" s="40"/>
      <c r="BT675" s="5"/>
      <c r="BV675" s="40"/>
      <c r="BW675" s="5"/>
      <c r="BY675" s="40"/>
      <c r="BZ675" s="5"/>
      <c r="CB675" s="40"/>
      <c r="CC675" s="5"/>
      <c r="CE675" s="40"/>
      <c r="CF675" s="5"/>
      <c r="CH675" s="40"/>
      <c r="CI675" s="5"/>
      <c r="CK675" s="40"/>
      <c r="CL675" s="5"/>
      <c r="CN675" s="40"/>
      <c r="CO675" s="5"/>
      <c r="CQ675" s="40"/>
      <c r="CR675" s="5"/>
    </row>
    <row r="676">
      <c r="AO676" s="40"/>
      <c r="AP676" s="5"/>
      <c r="AR676" s="40"/>
      <c r="AS676" s="5"/>
      <c r="AU676" s="40"/>
      <c r="AV676" s="5"/>
      <c r="AX676" s="40"/>
      <c r="AY676" s="5"/>
      <c r="BA676" s="40"/>
      <c r="BB676" s="5"/>
      <c r="BD676" s="40"/>
      <c r="BE676" s="5"/>
      <c r="BG676" s="40"/>
      <c r="BH676" s="5"/>
      <c r="BJ676" s="40"/>
      <c r="BK676" s="5"/>
      <c r="BM676" s="40"/>
      <c r="BN676" s="5"/>
      <c r="BP676" s="40"/>
      <c r="BQ676" s="5"/>
      <c r="BS676" s="40"/>
      <c r="BT676" s="5"/>
      <c r="BV676" s="40"/>
      <c r="BW676" s="5"/>
      <c r="BY676" s="40"/>
      <c r="BZ676" s="5"/>
      <c r="CB676" s="40"/>
      <c r="CC676" s="5"/>
      <c r="CE676" s="40"/>
      <c r="CF676" s="5"/>
      <c r="CH676" s="40"/>
      <c r="CI676" s="5"/>
      <c r="CK676" s="40"/>
      <c r="CL676" s="5"/>
      <c r="CN676" s="40"/>
      <c r="CO676" s="5"/>
      <c r="CQ676" s="40"/>
      <c r="CR676" s="5"/>
    </row>
    <row r="677">
      <c r="AO677" s="40"/>
      <c r="AP677" s="5"/>
      <c r="AR677" s="40"/>
      <c r="AS677" s="5"/>
      <c r="AU677" s="40"/>
      <c r="AV677" s="5"/>
      <c r="AX677" s="40"/>
      <c r="AY677" s="5"/>
      <c r="BA677" s="40"/>
      <c r="BB677" s="5"/>
      <c r="BD677" s="40"/>
      <c r="BE677" s="5"/>
      <c r="BG677" s="40"/>
      <c r="BH677" s="5"/>
      <c r="BJ677" s="40"/>
      <c r="BK677" s="5"/>
      <c r="BM677" s="40"/>
      <c r="BN677" s="5"/>
      <c r="BP677" s="40"/>
      <c r="BQ677" s="5"/>
      <c r="BS677" s="40"/>
      <c r="BT677" s="5"/>
      <c r="BV677" s="40"/>
      <c r="BW677" s="5"/>
      <c r="BY677" s="40"/>
      <c r="BZ677" s="5"/>
      <c r="CB677" s="40"/>
      <c r="CC677" s="5"/>
      <c r="CE677" s="40"/>
      <c r="CF677" s="5"/>
      <c r="CH677" s="40"/>
      <c r="CI677" s="5"/>
      <c r="CK677" s="40"/>
      <c r="CL677" s="5"/>
      <c r="CN677" s="40"/>
      <c r="CO677" s="5"/>
      <c r="CQ677" s="40"/>
      <c r="CR677" s="5"/>
    </row>
    <row r="678">
      <c r="AO678" s="40"/>
      <c r="AP678" s="5"/>
      <c r="AR678" s="40"/>
      <c r="AS678" s="5"/>
      <c r="AU678" s="40"/>
      <c r="AV678" s="5"/>
      <c r="AX678" s="40"/>
      <c r="AY678" s="5"/>
      <c r="BA678" s="40"/>
      <c r="BB678" s="5"/>
      <c r="BD678" s="40"/>
      <c r="BE678" s="5"/>
      <c r="BG678" s="40"/>
      <c r="BH678" s="5"/>
      <c r="BJ678" s="40"/>
      <c r="BK678" s="5"/>
      <c r="BM678" s="40"/>
      <c r="BN678" s="5"/>
      <c r="BP678" s="40"/>
      <c r="BQ678" s="5"/>
      <c r="BS678" s="40"/>
      <c r="BT678" s="5"/>
      <c r="BV678" s="40"/>
      <c r="BW678" s="5"/>
      <c r="BY678" s="40"/>
      <c r="BZ678" s="5"/>
      <c r="CB678" s="40"/>
      <c r="CC678" s="5"/>
      <c r="CE678" s="40"/>
      <c r="CF678" s="5"/>
      <c r="CH678" s="40"/>
      <c r="CI678" s="5"/>
      <c r="CK678" s="40"/>
      <c r="CL678" s="5"/>
      <c r="CN678" s="40"/>
      <c r="CO678" s="5"/>
      <c r="CQ678" s="40"/>
      <c r="CR678" s="5"/>
    </row>
    <row r="679">
      <c r="AO679" s="40"/>
      <c r="AP679" s="5"/>
      <c r="AR679" s="40"/>
      <c r="AS679" s="5"/>
      <c r="AU679" s="40"/>
      <c r="AV679" s="5"/>
      <c r="AX679" s="40"/>
      <c r="AY679" s="5"/>
      <c r="BA679" s="40"/>
      <c r="BB679" s="5"/>
      <c r="BD679" s="40"/>
      <c r="BE679" s="5"/>
      <c r="BG679" s="40"/>
      <c r="BH679" s="5"/>
      <c r="BJ679" s="40"/>
      <c r="BK679" s="5"/>
      <c r="BM679" s="40"/>
      <c r="BN679" s="5"/>
      <c r="BP679" s="40"/>
      <c r="BQ679" s="5"/>
      <c r="BS679" s="40"/>
      <c r="BT679" s="5"/>
      <c r="BV679" s="40"/>
      <c r="BW679" s="5"/>
      <c r="BY679" s="40"/>
      <c r="BZ679" s="5"/>
      <c r="CB679" s="40"/>
      <c r="CC679" s="5"/>
      <c r="CE679" s="40"/>
      <c r="CF679" s="5"/>
      <c r="CH679" s="40"/>
      <c r="CI679" s="5"/>
      <c r="CK679" s="40"/>
      <c r="CL679" s="5"/>
      <c r="CN679" s="40"/>
      <c r="CO679" s="5"/>
      <c r="CQ679" s="40"/>
      <c r="CR679" s="5"/>
    </row>
    <row r="680">
      <c r="AO680" s="40"/>
      <c r="AP680" s="5"/>
      <c r="AR680" s="40"/>
      <c r="AS680" s="5"/>
      <c r="AU680" s="40"/>
      <c r="AV680" s="5"/>
      <c r="AX680" s="40"/>
      <c r="AY680" s="5"/>
      <c r="BA680" s="40"/>
      <c r="BB680" s="5"/>
      <c r="BD680" s="40"/>
      <c r="BE680" s="5"/>
      <c r="BG680" s="40"/>
      <c r="BH680" s="5"/>
      <c r="BJ680" s="40"/>
      <c r="BK680" s="5"/>
      <c r="BM680" s="40"/>
      <c r="BN680" s="5"/>
      <c r="BP680" s="40"/>
      <c r="BQ680" s="5"/>
      <c r="BS680" s="40"/>
      <c r="BT680" s="5"/>
      <c r="BV680" s="40"/>
      <c r="BW680" s="5"/>
      <c r="BY680" s="40"/>
      <c r="BZ680" s="5"/>
      <c r="CB680" s="40"/>
      <c r="CC680" s="5"/>
      <c r="CE680" s="40"/>
      <c r="CF680" s="5"/>
      <c r="CH680" s="40"/>
      <c r="CI680" s="5"/>
      <c r="CK680" s="40"/>
      <c r="CL680" s="5"/>
      <c r="CN680" s="40"/>
      <c r="CO680" s="5"/>
      <c r="CQ680" s="40"/>
      <c r="CR680" s="5"/>
    </row>
    <row r="681">
      <c r="AO681" s="40"/>
      <c r="AP681" s="5"/>
      <c r="AR681" s="40"/>
      <c r="AS681" s="5"/>
      <c r="AU681" s="40"/>
      <c r="AV681" s="5"/>
      <c r="AX681" s="40"/>
      <c r="AY681" s="5"/>
      <c r="BA681" s="40"/>
      <c r="BB681" s="5"/>
      <c r="BD681" s="40"/>
      <c r="BE681" s="5"/>
      <c r="BG681" s="40"/>
      <c r="BH681" s="5"/>
      <c r="BJ681" s="40"/>
      <c r="BK681" s="5"/>
      <c r="BM681" s="40"/>
      <c r="BN681" s="5"/>
      <c r="BP681" s="40"/>
      <c r="BQ681" s="5"/>
      <c r="BS681" s="40"/>
      <c r="BT681" s="5"/>
      <c r="BV681" s="40"/>
      <c r="BW681" s="5"/>
      <c r="BY681" s="40"/>
      <c r="BZ681" s="5"/>
      <c r="CB681" s="40"/>
      <c r="CC681" s="5"/>
      <c r="CE681" s="40"/>
      <c r="CF681" s="5"/>
      <c r="CH681" s="40"/>
      <c r="CI681" s="5"/>
      <c r="CK681" s="40"/>
      <c r="CL681" s="5"/>
      <c r="CN681" s="40"/>
      <c r="CO681" s="5"/>
      <c r="CQ681" s="40"/>
      <c r="CR681" s="5"/>
    </row>
    <row r="682">
      <c r="AO682" s="40"/>
      <c r="AP682" s="5"/>
      <c r="AR682" s="40"/>
      <c r="AS682" s="5"/>
      <c r="AU682" s="40"/>
      <c r="AV682" s="5"/>
      <c r="AX682" s="40"/>
      <c r="AY682" s="5"/>
      <c r="BA682" s="40"/>
      <c r="BB682" s="5"/>
      <c r="BD682" s="40"/>
      <c r="BE682" s="5"/>
      <c r="BG682" s="40"/>
      <c r="BH682" s="5"/>
      <c r="BJ682" s="40"/>
      <c r="BK682" s="5"/>
      <c r="BM682" s="40"/>
      <c r="BN682" s="5"/>
      <c r="BP682" s="40"/>
      <c r="BQ682" s="5"/>
      <c r="BS682" s="40"/>
      <c r="BT682" s="5"/>
      <c r="BV682" s="40"/>
      <c r="BW682" s="5"/>
      <c r="BY682" s="40"/>
      <c r="BZ682" s="5"/>
      <c r="CB682" s="40"/>
      <c r="CC682" s="5"/>
      <c r="CE682" s="40"/>
      <c r="CF682" s="5"/>
      <c r="CH682" s="40"/>
      <c r="CI682" s="5"/>
      <c r="CK682" s="40"/>
      <c r="CL682" s="5"/>
      <c r="CN682" s="40"/>
      <c r="CO682" s="5"/>
      <c r="CQ682" s="40"/>
      <c r="CR682" s="5"/>
    </row>
    <row r="683">
      <c r="AO683" s="40"/>
      <c r="AP683" s="5"/>
      <c r="AR683" s="40"/>
      <c r="AS683" s="5"/>
      <c r="AU683" s="40"/>
      <c r="AV683" s="5"/>
      <c r="AX683" s="40"/>
      <c r="AY683" s="5"/>
      <c r="BA683" s="40"/>
      <c r="BB683" s="5"/>
      <c r="BD683" s="40"/>
      <c r="BE683" s="5"/>
      <c r="BG683" s="40"/>
      <c r="BH683" s="5"/>
      <c r="BJ683" s="40"/>
      <c r="BK683" s="5"/>
      <c r="BM683" s="40"/>
      <c r="BN683" s="5"/>
      <c r="BP683" s="40"/>
      <c r="BQ683" s="5"/>
      <c r="BS683" s="40"/>
      <c r="BT683" s="5"/>
      <c r="BV683" s="40"/>
      <c r="BW683" s="5"/>
      <c r="BY683" s="40"/>
      <c r="BZ683" s="5"/>
      <c r="CB683" s="40"/>
      <c r="CC683" s="5"/>
      <c r="CE683" s="40"/>
      <c r="CF683" s="5"/>
      <c r="CH683" s="40"/>
      <c r="CI683" s="5"/>
      <c r="CK683" s="40"/>
      <c r="CL683" s="5"/>
      <c r="CN683" s="40"/>
      <c r="CO683" s="5"/>
      <c r="CQ683" s="40"/>
      <c r="CR683" s="5"/>
    </row>
    <row r="684">
      <c r="AO684" s="40"/>
      <c r="AP684" s="5"/>
      <c r="AR684" s="40"/>
      <c r="AS684" s="5"/>
      <c r="AU684" s="40"/>
      <c r="AV684" s="5"/>
      <c r="AX684" s="40"/>
      <c r="AY684" s="5"/>
      <c r="BA684" s="40"/>
      <c r="BB684" s="5"/>
      <c r="BD684" s="40"/>
      <c r="BE684" s="5"/>
      <c r="BG684" s="40"/>
      <c r="BH684" s="5"/>
      <c r="BJ684" s="40"/>
      <c r="BK684" s="5"/>
      <c r="BM684" s="40"/>
      <c r="BN684" s="5"/>
      <c r="BP684" s="40"/>
      <c r="BQ684" s="5"/>
      <c r="BS684" s="40"/>
      <c r="BT684" s="5"/>
      <c r="BV684" s="40"/>
      <c r="BW684" s="5"/>
      <c r="BY684" s="40"/>
      <c r="BZ684" s="5"/>
      <c r="CB684" s="40"/>
      <c r="CC684" s="5"/>
      <c r="CE684" s="40"/>
      <c r="CF684" s="5"/>
      <c r="CH684" s="40"/>
      <c r="CI684" s="5"/>
      <c r="CK684" s="40"/>
      <c r="CL684" s="5"/>
      <c r="CN684" s="40"/>
      <c r="CO684" s="5"/>
      <c r="CQ684" s="40"/>
      <c r="CR684" s="5"/>
    </row>
    <row r="685">
      <c r="AO685" s="40"/>
      <c r="AP685" s="5"/>
      <c r="AR685" s="40"/>
      <c r="AS685" s="5"/>
      <c r="AU685" s="40"/>
      <c r="AV685" s="5"/>
      <c r="AX685" s="40"/>
      <c r="AY685" s="5"/>
      <c r="BA685" s="40"/>
      <c r="BB685" s="5"/>
      <c r="BD685" s="40"/>
      <c r="BE685" s="5"/>
      <c r="BG685" s="40"/>
      <c r="BH685" s="5"/>
      <c r="BJ685" s="40"/>
      <c r="BK685" s="5"/>
      <c r="BM685" s="40"/>
      <c r="BN685" s="5"/>
      <c r="BP685" s="40"/>
      <c r="BQ685" s="5"/>
      <c r="BS685" s="40"/>
      <c r="BT685" s="5"/>
      <c r="BV685" s="40"/>
      <c r="BW685" s="5"/>
      <c r="BY685" s="40"/>
      <c r="BZ685" s="5"/>
      <c r="CB685" s="40"/>
      <c r="CC685" s="5"/>
      <c r="CE685" s="40"/>
      <c r="CF685" s="5"/>
      <c r="CH685" s="40"/>
      <c r="CI685" s="5"/>
      <c r="CK685" s="40"/>
      <c r="CL685" s="5"/>
      <c r="CN685" s="40"/>
      <c r="CO685" s="5"/>
      <c r="CQ685" s="40"/>
      <c r="CR685" s="5"/>
    </row>
    <row r="686">
      <c r="AO686" s="40"/>
      <c r="AP686" s="5"/>
      <c r="AR686" s="40"/>
      <c r="AS686" s="5"/>
      <c r="AU686" s="40"/>
      <c r="AV686" s="5"/>
      <c r="AX686" s="40"/>
      <c r="AY686" s="5"/>
      <c r="BA686" s="40"/>
      <c r="BB686" s="5"/>
      <c r="BD686" s="40"/>
      <c r="BE686" s="5"/>
      <c r="BG686" s="40"/>
      <c r="BH686" s="5"/>
      <c r="BJ686" s="40"/>
      <c r="BK686" s="5"/>
      <c r="BM686" s="40"/>
      <c r="BN686" s="5"/>
      <c r="BP686" s="40"/>
      <c r="BQ686" s="5"/>
      <c r="BS686" s="40"/>
      <c r="BT686" s="5"/>
      <c r="BV686" s="40"/>
      <c r="BW686" s="5"/>
      <c r="BY686" s="40"/>
      <c r="BZ686" s="5"/>
      <c r="CB686" s="40"/>
      <c r="CC686" s="5"/>
      <c r="CE686" s="40"/>
      <c r="CF686" s="5"/>
      <c r="CH686" s="40"/>
      <c r="CI686" s="5"/>
      <c r="CK686" s="40"/>
      <c r="CL686" s="5"/>
      <c r="CN686" s="40"/>
      <c r="CO686" s="5"/>
      <c r="CQ686" s="40"/>
      <c r="CR686" s="5"/>
    </row>
    <row r="687">
      <c r="AO687" s="40"/>
      <c r="AP687" s="5"/>
      <c r="AR687" s="40"/>
      <c r="AS687" s="5"/>
      <c r="AU687" s="40"/>
      <c r="AV687" s="5"/>
      <c r="AX687" s="40"/>
      <c r="AY687" s="5"/>
      <c r="BA687" s="40"/>
      <c r="BB687" s="5"/>
      <c r="BD687" s="40"/>
      <c r="BE687" s="5"/>
      <c r="BG687" s="40"/>
      <c r="BH687" s="5"/>
      <c r="BJ687" s="40"/>
      <c r="BK687" s="5"/>
      <c r="BM687" s="40"/>
      <c r="BN687" s="5"/>
      <c r="BP687" s="40"/>
      <c r="BQ687" s="5"/>
      <c r="BS687" s="40"/>
      <c r="BT687" s="5"/>
      <c r="BV687" s="40"/>
      <c r="BW687" s="5"/>
      <c r="BY687" s="40"/>
      <c r="BZ687" s="5"/>
      <c r="CB687" s="40"/>
      <c r="CC687" s="5"/>
      <c r="CE687" s="40"/>
      <c r="CF687" s="5"/>
      <c r="CH687" s="40"/>
      <c r="CI687" s="5"/>
      <c r="CK687" s="40"/>
      <c r="CL687" s="5"/>
      <c r="CN687" s="40"/>
      <c r="CO687" s="5"/>
      <c r="CQ687" s="40"/>
      <c r="CR687" s="5"/>
    </row>
    <row r="688">
      <c r="AO688" s="40"/>
      <c r="AP688" s="5"/>
      <c r="AR688" s="40"/>
      <c r="AS688" s="5"/>
      <c r="AU688" s="40"/>
      <c r="AV688" s="5"/>
      <c r="AX688" s="40"/>
      <c r="AY688" s="5"/>
      <c r="BA688" s="40"/>
      <c r="BB688" s="5"/>
      <c r="BD688" s="40"/>
      <c r="BE688" s="5"/>
      <c r="BG688" s="40"/>
      <c r="BH688" s="5"/>
      <c r="BJ688" s="40"/>
      <c r="BK688" s="5"/>
      <c r="BM688" s="40"/>
      <c r="BN688" s="5"/>
      <c r="BP688" s="40"/>
      <c r="BQ688" s="5"/>
      <c r="BS688" s="40"/>
      <c r="BT688" s="5"/>
      <c r="BV688" s="40"/>
      <c r="BW688" s="5"/>
      <c r="BY688" s="40"/>
      <c r="BZ688" s="5"/>
      <c r="CB688" s="40"/>
      <c r="CC688" s="5"/>
      <c r="CE688" s="40"/>
      <c r="CF688" s="5"/>
      <c r="CH688" s="40"/>
      <c r="CI688" s="5"/>
      <c r="CK688" s="40"/>
      <c r="CL688" s="5"/>
      <c r="CN688" s="40"/>
      <c r="CO688" s="5"/>
      <c r="CQ688" s="40"/>
      <c r="CR688" s="5"/>
    </row>
    <row r="689">
      <c r="AO689" s="40"/>
      <c r="AP689" s="5"/>
      <c r="AR689" s="40"/>
      <c r="AS689" s="5"/>
      <c r="AU689" s="40"/>
      <c r="AV689" s="5"/>
      <c r="AX689" s="40"/>
      <c r="AY689" s="5"/>
      <c r="BA689" s="40"/>
      <c r="BB689" s="5"/>
      <c r="BD689" s="40"/>
      <c r="BE689" s="5"/>
      <c r="BG689" s="40"/>
      <c r="BH689" s="5"/>
      <c r="BJ689" s="40"/>
      <c r="BK689" s="5"/>
      <c r="BM689" s="40"/>
      <c r="BN689" s="5"/>
      <c r="BP689" s="40"/>
      <c r="BQ689" s="5"/>
      <c r="BS689" s="40"/>
      <c r="BT689" s="5"/>
      <c r="BV689" s="40"/>
      <c r="BW689" s="5"/>
      <c r="BY689" s="40"/>
      <c r="BZ689" s="5"/>
      <c r="CB689" s="40"/>
      <c r="CC689" s="5"/>
      <c r="CE689" s="40"/>
      <c r="CF689" s="5"/>
      <c r="CH689" s="40"/>
      <c r="CI689" s="5"/>
      <c r="CK689" s="40"/>
      <c r="CL689" s="5"/>
      <c r="CN689" s="40"/>
      <c r="CO689" s="5"/>
      <c r="CQ689" s="40"/>
      <c r="CR689" s="5"/>
    </row>
    <row r="690">
      <c r="AO690" s="40"/>
      <c r="AP690" s="5"/>
      <c r="AR690" s="40"/>
      <c r="AS690" s="5"/>
      <c r="AU690" s="40"/>
      <c r="AV690" s="5"/>
      <c r="AX690" s="40"/>
      <c r="AY690" s="5"/>
      <c r="BA690" s="40"/>
      <c r="BB690" s="5"/>
      <c r="BD690" s="40"/>
      <c r="BE690" s="5"/>
      <c r="BG690" s="40"/>
      <c r="BH690" s="5"/>
      <c r="BJ690" s="40"/>
      <c r="BK690" s="5"/>
      <c r="BM690" s="40"/>
      <c r="BN690" s="5"/>
      <c r="BP690" s="40"/>
      <c r="BQ690" s="5"/>
      <c r="BS690" s="40"/>
      <c r="BT690" s="5"/>
      <c r="BV690" s="40"/>
      <c r="BW690" s="5"/>
      <c r="BY690" s="40"/>
      <c r="BZ690" s="5"/>
      <c r="CB690" s="40"/>
      <c r="CC690" s="5"/>
      <c r="CE690" s="40"/>
      <c r="CF690" s="5"/>
      <c r="CH690" s="40"/>
      <c r="CI690" s="5"/>
      <c r="CK690" s="40"/>
      <c r="CL690" s="5"/>
      <c r="CN690" s="40"/>
      <c r="CO690" s="5"/>
      <c r="CQ690" s="40"/>
      <c r="CR690" s="5"/>
    </row>
    <row r="691">
      <c r="AO691" s="40"/>
      <c r="AP691" s="5"/>
      <c r="AR691" s="40"/>
      <c r="AS691" s="5"/>
      <c r="AU691" s="40"/>
      <c r="AV691" s="5"/>
      <c r="AX691" s="40"/>
      <c r="AY691" s="5"/>
      <c r="BA691" s="40"/>
      <c r="BB691" s="5"/>
      <c r="BD691" s="40"/>
      <c r="BE691" s="5"/>
      <c r="BG691" s="40"/>
      <c r="BH691" s="5"/>
      <c r="BJ691" s="40"/>
      <c r="BK691" s="5"/>
      <c r="BM691" s="40"/>
      <c r="BN691" s="5"/>
      <c r="BP691" s="40"/>
      <c r="BQ691" s="5"/>
      <c r="BS691" s="40"/>
      <c r="BT691" s="5"/>
      <c r="BV691" s="40"/>
      <c r="BW691" s="5"/>
      <c r="BY691" s="40"/>
      <c r="BZ691" s="5"/>
      <c r="CB691" s="40"/>
      <c r="CC691" s="5"/>
      <c r="CE691" s="40"/>
      <c r="CF691" s="5"/>
      <c r="CH691" s="40"/>
      <c r="CI691" s="5"/>
      <c r="CK691" s="40"/>
      <c r="CL691" s="5"/>
      <c r="CN691" s="40"/>
      <c r="CO691" s="5"/>
      <c r="CQ691" s="40"/>
      <c r="CR691" s="5"/>
    </row>
    <row r="692">
      <c r="AO692" s="40"/>
      <c r="AP692" s="5"/>
      <c r="AR692" s="40"/>
      <c r="AS692" s="5"/>
      <c r="AU692" s="40"/>
      <c r="AV692" s="5"/>
      <c r="AX692" s="40"/>
      <c r="AY692" s="5"/>
      <c r="BA692" s="40"/>
      <c r="BB692" s="5"/>
      <c r="BD692" s="40"/>
      <c r="BE692" s="5"/>
      <c r="BG692" s="40"/>
      <c r="BH692" s="5"/>
      <c r="BJ692" s="40"/>
      <c r="BK692" s="5"/>
      <c r="BM692" s="40"/>
      <c r="BN692" s="5"/>
      <c r="BP692" s="40"/>
      <c r="BQ692" s="5"/>
      <c r="BS692" s="40"/>
      <c r="BT692" s="5"/>
      <c r="BV692" s="40"/>
      <c r="BW692" s="5"/>
      <c r="BY692" s="40"/>
      <c r="BZ692" s="5"/>
      <c r="CB692" s="40"/>
      <c r="CC692" s="5"/>
      <c r="CE692" s="40"/>
      <c r="CF692" s="5"/>
      <c r="CH692" s="40"/>
      <c r="CI692" s="5"/>
      <c r="CK692" s="40"/>
      <c r="CL692" s="5"/>
      <c r="CN692" s="40"/>
      <c r="CO692" s="5"/>
      <c r="CQ692" s="40"/>
      <c r="CR692" s="5"/>
    </row>
    <row r="693">
      <c r="AO693" s="40"/>
      <c r="AP693" s="5"/>
      <c r="AR693" s="40"/>
      <c r="AS693" s="5"/>
      <c r="AU693" s="40"/>
      <c r="AV693" s="5"/>
      <c r="AX693" s="40"/>
      <c r="AY693" s="5"/>
      <c r="BA693" s="40"/>
      <c r="BB693" s="5"/>
      <c r="BD693" s="40"/>
      <c r="BE693" s="5"/>
      <c r="BG693" s="40"/>
      <c r="BH693" s="5"/>
      <c r="BJ693" s="40"/>
      <c r="BK693" s="5"/>
      <c r="BM693" s="40"/>
      <c r="BN693" s="5"/>
      <c r="BP693" s="40"/>
      <c r="BQ693" s="5"/>
      <c r="BS693" s="40"/>
      <c r="BT693" s="5"/>
      <c r="BV693" s="40"/>
      <c r="BW693" s="5"/>
      <c r="BY693" s="40"/>
      <c r="BZ693" s="5"/>
      <c r="CB693" s="40"/>
      <c r="CC693" s="5"/>
      <c r="CE693" s="40"/>
      <c r="CF693" s="5"/>
      <c r="CH693" s="40"/>
      <c r="CI693" s="5"/>
      <c r="CK693" s="40"/>
      <c r="CL693" s="5"/>
      <c r="CN693" s="40"/>
      <c r="CO693" s="5"/>
      <c r="CQ693" s="40"/>
      <c r="CR693" s="5"/>
    </row>
    <row r="694">
      <c r="AO694" s="40"/>
      <c r="AP694" s="5"/>
      <c r="AR694" s="40"/>
      <c r="AS694" s="5"/>
      <c r="AU694" s="40"/>
      <c r="AV694" s="5"/>
      <c r="AX694" s="40"/>
      <c r="AY694" s="5"/>
      <c r="BA694" s="40"/>
      <c r="BB694" s="5"/>
      <c r="BD694" s="40"/>
      <c r="BE694" s="5"/>
      <c r="BG694" s="40"/>
      <c r="BH694" s="5"/>
      <c r="BJ694" s="40"/>
      <c r="BK694" s="5"/>
      <c r="BM694" s="40"/>
      <c r="BN694" s="5"/>
      <c r="BP694" s="40"/>
      <c r="BQ694" s="5"/>
      <c r="BS694" s="40"/>
      <c r="BT694" s="5"/>
      <c r="BV694" s="40"/>
      <c r="BW694" s="5"/>
      <c r="BY694" s="40"/>
      <c r="BZ694" s="5"/>
      <c r="CB694" s="40"/>
      <c r="CC694" s="5"/>
      <c r="CE694" s="40"/>
      <c r="CF694" s="5"/>
      <c r="CH694" s="40"/>
      <c r="CI694" s="5"/>
      <c r="CK694" s="40"/>
      <c r="CL694" s="5"/>
      <c r="CN694" s="40"/>
      <c r="CO694" s="5"/>
      <c r="CQ694" s="40"/>
      <c r="CR694" s="5"/>
    </row>
    <row r="695">
      <c r="AO695" s="40"/>
      <c r="AP695" s="5"/>
      <c r="AR695" s="40"/>
      <c r="AS695" s="5"/>
      <c r="AU695" s="40"/>
      <c r="AV695" s="5"/>
      <c r="AX695" s="40"/>
      <c r="AY695" s="5"/>
      <c r="BA695" s="40"/>
      <c r="BB695" s="5"/>
      <c r="BD695" s="40"/>
      <c r="BE695" s="5"/>
      <c r="BG695" s="40"/>
      <c r="BH695" s="5"/>
      <c r="BJ695" s="40"/>
      <c r="BK695" s="5"/>
      <c r="BM695" s="40"/>
      <c r="BN695" s="5"/>
      <c r="BP695" s="40"/>
      <c r="BQ695" s="5"/>
      <c r="BS695" s="40"/>
      <c r="BT695" s="5"/>
      <c r="BV695" s="40"/>
      <c r="BW695" s="5"/>
      <c r="BY695" s="40"/>
      <c r="BZ695" s="5"/>
      <c r="CB695" s="40"/>
      <c r="CC695" s="5"/>
      <c r="CE695" s="40"/>
      <c r="CF695" s="5"/>
      <c r="CH695" s="40"/>
      <c r="CI695" s="5"/>
      <c r="CK695" s="40"/>
      <c r="CL695" s="5"/>
      <c r="CN695" s="40"/>
      <c r="CO695" s="5"/>
      <c r="CQ695" s="40"/>
      <c r="CR695" s="5"/>
    </row>
    <row r="696">
      <c r="AO696" s="40"/>
      <c r="AP696" s="5"/>
      <c r="AR696" s="40"/>
      <c r="AS696" s="5"/>
      <c r="AU696" s="40"/>
      <c r="AV696" s="5"/>
      <c r="AX696" s="40"/>
      <c r="AY696" s="5"/>
      <c r="BA696" s="40"/>
      <c r="BB696" s="5"/>
      <c r="BD696" s="40"/>
      <c r="BE696" s="5"/>
      <c r="BG696" s="40"/>
      <c r="BH696" s="5"/>
      <c r="BJ696" s="40"/>
      <c r="BK696" s="5"/>
      <c r="BM696" s="40"/>
      <c r="BN696" s="5"/>
      <c r="BP696" s="40"/>
      <c r="BQ696" s="5"/>
      <c r="BS696" s="40"/>
      <c r="BT696" s="5"/>
      <c r="BV696" s="40"/>
      <c r="BW696" s="5"/>
      <c r="BY696" s="40"/>
      <c r="BZ696" s="5"/>
      <c r="CB696" s="40"/>
      <c r="CC696" s="5"/>
      <c r="CE696" s="40"/>
      <c r="CF696" s="5"/>
      <c r="CH696" s="40"/>
      <c r="CI696" s="5"/>
      <c r="CK696" s="40"/>
      <c r="CL696" s="5"/>
      <c r="CN696" s="40"/>
      <c r="CO696" s="5"/>
      <c r="CQ696" s="40"/>
      <c r="CR696" s="5"/>
    </row>
    <row r="697">
      <c r="AO697" s="40"/>
      <c r="AP697" s="5"/>
      <c r="AR697" s="40"/>
      <c r="AS697" s="5"/>
      <c r="AU697" s="40"/>
      <c r="AV697" s="5"/>
      <c r="AX697" s="40"/>
      <c r="AY697" s="5"/>
      <c r="BA697" s="40"/>
      <c r="BB697" s="5"/>
      <c r="BD697" s="40"/>
      <c r="BE697" s="5"/>
      <c r="BG697" s="40"/>
      <c r="BH697" s="5"/>
      <c r="BJ697" s="40"/>
      <c r="BK697" s="5"/>
      <c r="BM697" s="40"/>
      <c r="BN697" s="5"/>
      <c r="BP697" s="40"/>
      <c r="BQ697" s="5"/>
      <c r="BS697" s="40"/>
      <c r="BT697" s="5"/>
      <c r="BV697" s="40"/>
      <c r="BW697" s="5"/>
      <c r="BY697" s="40"/>
      <c r="BZ697" s="5"/>
      <c r="CB697" s="40"/>
      <c r="CC697" s="5"/>
      <c r="CE697" s="40"/>
      <c r="CF697" s="5"/>
      <c r="CH697" s="40"/>
      <c r="CI697" s="5"/>
      <c r="CK697" s="40"/>
      <c r="CL697" s="5"/>
      <c r="CN697" s="40"/>
      <c r="CO697" s="5"/>
      <c r="CQ697" s="40"/>
      <c r="CR697" s="5"/>
    </row>
    <row r="698">
      <c r="AO698" s="40"/>
      <c r="AP698" s="5"/>
      <c r="AR698" s="40"/>
      <c r="AS698" s="5"/>
      <c r="AU698" s="40"/>
      <c r="AV698" s="5"/>
      <c r="AX698" s="40"/>
      <c r="AY698" s="5"/>
      <c r="BA698" s="40"/>
      <c r="BB698" s="5"/>
      <c r="BD698" s="40"/>
      <c r="BE698" s="5"/>
      <c r="BG698" s="40"/>
      <c r="BH698" s="5"/>
      <c r="BJ698" s="40"/>
      <c r="BK698" s="5"/>
      <c r="BM698" s="40"/>
      <c r="BN698" s="5"/>
      <c r="BP698" s="40"/>
      <c r="BQ698" s="5"/>
      <c r="BS698" s="40"/>
      <c r="BT698" s="5"/>
      <c r="BV698" s="40"/>
      <c r="BW698" s="5"/>
      <c r="BY698" s="40"/>
      <c r="BZ698" s="5"/>
      <c r="CB698" s="40"/>
      <c r="CC698" s="5"/>
      <c r="CE698" s="40"/>
      <c r="CF698" s="5"/>
      <c r="CH698" s="40"/>
      <c r="CI698" s="5"/>
      <c r="CK698" s="40"/>
      <c r="CL698" s="5"/>
      <c r="CN698" s="40"/>
      <c r="CO698" s="5"/>
      <c r="CQ698" s="40"/>
      <c r="CR698" s="5"/>
    </row>
    <row r="699">
      <c r="AO699" s="40"/>
      <c r="AP699" s="5"/>
      <c r="AR699" s="40"/>
      <c r="AS699" s="5"/>
      <c r="AU699" s="40"/>
      <c r="AV699" s="5"/>
      <c r="AX699" s="40"/>
      <c r="AY699" s="5"/>
      <c r="BA699" s="40"/>
      <c r="BB699" s="5"/>
      <c r="BD699" s="40"/>
      <c r="BE699" s="5"/>
      <c r="BG699" s="40"/>
      <c r="BH699" s="5"/>
      <c r="BJ699" s="40"/>
      <c r="BK699" s="5"/>
      <c r="BM699" s="40"/>
      <c r="BN699" s="5"/>
      <c r="BP699" s="40"/>
      <c r="BQ699" s="5"/>
      <c r="BS699" s="40"/>
      <c r="BT699" s="5"/>
      <c r="BV699" s="40"/>
      <c r="BW699" s="5"/>
      <c r="BY699" s="40"/>
      <c r="BZ699" s="5"/>
      <c r="CB699" s="40"/>
      <c r="CC699" s="5"/>
      <c r="CE699" s="40"/>
      <c r="CF699" s="5"/>
      <c r="CH699" s="40"/>
      <c r="CI699" s="5"/>
      <c r="CK699" s="40"/>
      <c r="CL699" s="5"/>
      <c r="CN699" s="40"/>
      <c r="CO699" s="5"/>
      <c r="CQ699" s="40"/>
      <c r="CR699" s="5"/>
    </row>
    <row r="700">
      <c r="AO700" s="40"/>
      <c r="AP700" s="5"/>
      <c r="AR700" s="40"/>
      <c r="AS700" s="5"/>
      <c r="AU700" s="40"/>
      <c r="AV700" s="5"/>
      <c r="AX700" s="40"/>
      <c r="AY700" s="5"/>
      <c r="BA700" s="40"/>
      <c r="BB700" s="5"/>
      <c r="BD700" s="40"/>
      <c r="BE700" s="5"/>
      <c r="BG700" s="40"/>
      <c r="BH700" s="5"/>
      <c r="BJ700" s="40"/>
      <c r="BK700" s="5"/>
      <c r="BM700" s="40"/>
      <c r="BN700" s="5"/>
      <c r="BP700" s="40"/>
      <c r="BQ700" s="5"/>
      <c r="BS700" s="40"/>
      <c r="BT700" s="5"/>
      <c r="BV700" s="40"/>
      <c r="BW700" s="5"/>
      <c r="BY700" s="40"/>
      <c r="BZ700" s="5"/>
      <c r="CB700" s="40"/>
      <c r="CC700" s="5"/>
      <c r="CE700" s="40"/>
      <c r="CF700" s="5"/>
      <c r="CH700" s="40"/>
      <c r="CI700" s="5"/>
      <c r="CK700" s="40"/>
      <c r="CL700" s="5"/>
      <c r="CN700" s="40"/>
      <c r="CO700" s="5"/>
      <c r="CQ700" s="40"/>
      <c r="CR700" s="5"/>
    </row>
    <row r="701">
      <c r="AO701" s="40"/>
      <c r="AP701" s="5"/>
      <c r="AR701" s="40"/>
      <c r="AS701" s="5"/>
      <c r="AU701" s="40"/>
      <c r="AV701" s="5"/>
      <c r="AX701" s="40"/>
      <c r="AY701" s="5"/>
      <c r="BA701" s="40"/>
      <c r="BB701" s="5"/>
      <c r="BD701" s="40"/>
      <c r="BE701" s="5"/>
      <c r="BG701" s="40"/>
      <c r="BH701" s="5"/>
      <c r="BJ701" s="40"/>
      <c r="BK701" s="5"/>
      <c r="BM701" s="40"/>
      <c r="BN701" s="5"/>
      <c r="BP701" s="40"/>
      <c r="BQ701" s="5"/>
      <c r="BS701" s="40"/>
      <c r="BT701" s="5"/>
      <c r="BV701" s="40"/>
      <c r="BW701" s="5"/>
      <c r="BY701" s="40"/>
      <c r="BZ701" s="5"/>
      <c r="CB701" s="40"/>
      <c r="CC701" s="5"/>
      <c r="CE701" s="40"/>
      <c r="CF701" s="5"/>
      <c r="CH701" s="40"/>
      <c r="CI701" s="5"/>
      <c r="CK701" s="40"/>
      <c r="CL701" s="5"/>
      <c r="CN701" s="40"/>
      <c r="CO701" s="5"/>
      <c r="CQ701" s="40"/>
      <c r="CR701" s="5"/>
    </row>
    <row r="702">
      <c r="AO702" s="40"/>
      <c r="AP702" s="5"/>
      <c r="AR702" s="40"/>
      <c r="AS702" s="5"/>
      <c r="AU702" s="40"/>
      <c r="AV702" s="5"/>
      <c r="AX702" s="40"/>
      <c r="AY702" s="5"/>
      <c r="BA702" s="40"/>
      <c r="BB702" s="5"/>
      <c r="BD702" s="40"/>
      <c r="BE702" s="5"/>
      <c r="BG702" s="40"/>
      <c r="BH702" s="5"/>
      <c r="BJ702" s="40"/>
      <c r="BK702" s="5"/>
      <c r="BM702" s="40"/>
      <c r="BN702" s="5"/>
      <c r="BP702" s="40"/>
      <c r="BQ702" s="5"/>
      <c r="BS702" s="40"/>
      <c r="BT702" s="5"/>
      <c r="BV702" s="40"/>
      <c r="BW702" s="5"/>
      <c r="BY702" s="40"/>
      <c r="BZ702" s="5"/>
      <c r="CB702" s="40"/>
      <c r="CC702" s="5"/>
      <c r="CE702" s="40"/>
      <c r="CF702" s="5"/>
      <c r="CH702" s="40"/>
      <c r="CI702" s="5"/>
      <c r="CK702" s="40"/>
      <c r="CL702" s="5"/>
      <c r="CN702" s="40"/>
      <c r="CO702" s="5"/>
      <c r="CQ702" s="40"/>
      <c r="CR702" s="5"/>
    </row>
    <row r="703">
      <c r="AO703" s="40"/>
      <c r="AP703" s="5"/>
      <c r="AR703" s="40"/>
      <c r="AS703" s="5"/>
      <c r="AU703" s="40"/>
      <c r="AV703" s="5"/>
      <c r="AX703" s="40"/>
      <c r="AY703" s="5"/>
      <c r="BA703" s="40"/>
      <c r="BB703" s="5"/>
      <c r="BD703" s="40"/>
      <c r="BE703" s="5"/>
      <c r="BG703" s="40"/>
      <c r="BH703" s="5"/>
      <c r="BJ703" s="40"/>
      <c r="BK703" s="5"/>
      <c r="BM703" s="40"/>
      <c r="BN703" s="5"/>
      <c r="BP703" s="40"/>
      <c r="BQ703" s="5"/>
      <c r="BS703" s="40"/>
      <c r="BT703" s="5"/>
      <c r="BV703" s="40"/>
      <c r="BW703" s="5"/>
      <c r="BY703" s="40"/>
      <c r="BZ703" s="5"/>
      <c r="CB703" s="40"/>
      <c r="CC703" s="5"/>
      <c r="CE703" s="40"/>
      <c r="CF703" s="5"/>
      <c r="CH703" s="40"/>
      <c r="CI703" s="5"/>
      <c r="CK703" s="40"/>
      <c r="CL703" s="5"/>
      <c r="CN703" s="40"/>
      <c r="CO703" s="5"/>
      <c r="CQ703" s="40"/>
      <c r="CR703" s="5"/>
    </row>
    <row r="704">
      <c r="AO704" s="40"/>
      <c r="AP704" s="5"/>
      <c r="AR704" s="40"/>
      <c r="AS704" s="5"/>
      <c r="AU704" s="40"/>
      <c r="AV704" s="5"/>
      <c r="AX704" s="40"/>
      <c r="AY704" s="5"/>
      <c r="BA704" s="40"/>
      <c r="BB704" s="5"/>
      <c r="BD704" s="40"/>
      <c r="BE704" s="5"/>
      <c r="BG704" s="40"/>
      <c r="BH704" s="5"/>
      <c r="BJ704" s="40"/>
      <c r="BK704" s="5"/>
      <c r="BM704" s="40"/>
      <c r="BN704" s="5"/>
      <c r="BP704" s="40"/>
      <c r="BQ704" s="5"/>
      <c r="BS704" s="40"/>
      <c r="BT704" s="5"/>
      <c r="BV704" s="40"/>
      <c r="BW704" s="5"/>
      <c r="BY704" s="40"/>
      <c r="BZ704" s="5"/>
      <c r="CB704" s="40"/>
      <c r="CC704" s="5"/>
      <c r="CE704" s="40"/>
      <c r="CF704" s="5"/>
      <c r="CH704" s="40"/>
      <c r="CI704" s="5"/>
      <c r="CK704" s="40"/>
      <c r="CL704" s="5"/>
      <c r="CN704" s="40"/>
      <c r="CO704" s="5"/>
      <c r="CQ704" s="40"/>
      <c r="CR704" s="5"/>
    </row>
    <row r="705">
      <c r="AO705" s="40"/>
      <c r="AP705" s="5"/>
      <c r="AR705" s="40"/>
      <c r="AS705" s="5"/>
      <c r="AU705" s="40"/>
      <c r="AV705" s="5"/>
      <c r="AX705" s="40"/>
      <c r="AY705" s="5"/>
      <c r="BA705" s="40"/>
      <c r="BB705" s="5"/>
      <c r="BD705" s="40"/>
      <c r="BE705" s="5"/>
      <c r="BG705" s="40"/>
      <c r="BH705" s="5"/>
      <c r="BJ705" s="40"/>
      <c r="BK705" s="5"/>
      <c r="BM705" s="40"/>
      <c r="BN705" s="5"/>
      <c r="BP705" s="40"/>
      <c r="BQ705" s="5"/>
      <c r="BS705" s="40"/>
      <c r="BT705" s="5"/>
      <c r="BV705" s="40"/>
      <c r="BW705" s="5"/>
      <c r="BY705" s="40"/>
      <c r="BZ705" s="5"/>
      <c r="CB705" s="40"/>
      <c r="CC705" s="5"/>
      <c r="CE705" s="40"/>
      <c r="CF705" s="5"/>
      <c r="CH705" s="40"/>
      <c r="CI705" s="5"/>
      <c r="CK705" s="40"/>
      <c r="CL705" s="5"/>
      <c r="CN705" s="40"/>
      <c r="CO705" s="5"/>
      <c r="CQ705" s="40"/>
      <c r="CR705" s="5"/>
    </row>
    <row r="706">
      <c r="AO706" s="40"/>
      <c r="AP706" s="5"/>
      <c r="AR706" s="40"/>
      <c r="AS706" s="5"/>
      <c r="AU706" s="40"/>
      <c r="AV706" s="5"/>
      <c r="AX706" s="40"/>
      <c r="AY706" s="5"/>
      <c r="BA706" s="40"/>
      <c r="BB706" s="5"/>
      <c r="BD706" s="40"/>
      <c r="BE706" s="5"/>
      <c r="BG706" s="40"/>
      <c r="BH706" s="5"/>
      <c r="BJ706" s="40"/>
      <c r="BK706" s="5"/>
      <c r="BM706" s="40"/>
      <c r="BN706" s="5"/>
      <c r="BP706" s="40"/>
      <c r="BQ706" s="5"/>
      <c r="BS706" s="40"/>
      <c r="BT706" s="5"/>
      <c r="BV706" s="40"/>
      <c r="BW706" s="5"/>
      <c r="BY706" s="40"/>
      <c r="BZ706" s="5"/>
      <c r="CB706" s="40"/>
      <c r="CC706" s="5"/>
      <c r="CE706" s="40"/>
      <c r="CF706" s="5"/>
      <c r="CH706" s="40"/>
      <c r="CI706" s="5"/>
      <c r="CK706" s="40"/>
      <c r="CL706" s="5"/>
      <c r="CN706" s="40"/>
      <c r="CO706" s="5"/>
      <c r="CQ706" s="40"/>
      <c r="CR706" s="5"/>
    </row>
    <row r="707">
      <c r="AO707" s="40"/>
      <c r="AP707" s="5"/>
      <c r="AR707" s="40"/>
      <c r="AS707" s="5"/>
      <c r="AU707" s="40"/>
      <c r="AV707" s="5"/>
      <c r="AX707" s="40"/>
      <c r="AY707" s="5"/>
      <c r="BA707" s="40"/>
      <c r="BB707" s="5"/>
      <c r="BD707" s="40"/>
      <c r="BE707" s="5"/>
      <c r="BG707" s="40"/>
      <c r="BH707" s="5"/>
      <c r="BJ707" s="40"/>
      <c r="BK707" s="5"/>
      <c r="BM707" s="40"/>
      <c r="BN707" s="5"/>
      <c r="BP707" s="40"/>
      <c r="BQ707" s="5"/>
      <c r="BS707" s="40"/>
      <c r="BT707" s="5"/>
      <c r="BV707" s="40"/>
      <c r="BW707" s="5"/>
      <c r="BY707" s="40"/>
      <c r="BZ707" s="5"/>
      <c r="CB707" s="40"/>
      <c r="CC707" s="5"/>
      <c r="CE707" s="40"/>
      <c r="CF707" s="5"/>
      <c r="CH707" s="40"/>
      <c r="CI707" s="5"/>
      <c r="CK707" s="40"/>
      <c r="CL707" s="5"/>
      <c r="CN707" s="40"/>
      <c r="CO707" s="5"/>
      <c r="CQ707" s="40"/>
      <c r="CR707" s="5"/>
    </row>
    <row r="708">
      <c r="AO708" s="40"/>
      <c r="AP708" s="5"/>
      <c r="AR708" s="40"/>
      <c r="AS708" s="5"/>
      <c r="AU708" s="40"/>
      <c r="AV708" s="5"/>
      <c r="AX708" s="40"/>
      <c r="AY708" s="5"/>
      <c r="BA708" s="40"/>
      <c r="BB708" s="5"/>
      <c r="BD708" s="40"/>
      <c r="BE708" s="5"/>
      <c r="BG708" s="40"/>
      <c r="BH708" s="5"/>
      <c r="BJ708" s="40"/>
      <c r="BK708" s="5"/>
      <c r="BM708" s="40"/>
      <c r="BN708" s="5"/>
      <c r="BP708" s="40"/>
      <c r="BQ708" s="5"/>
      <c r="BS708" s="40"/>
      <c r="BT708" s="5"/>
      <c r="BV708" s="40"/>
      <c r="BW708" s="5"/>
      <c r="BY708" s="40"/>
      <c r="BZ708" s="5"/>
      <c r="CB708" s="40"/>
      <c r="CC708" s="5"/>
      <c r="CE708" s="40"/>
      <c r="CF708" s="5"/>
      <c r="CH708" s="40"/>
      <c r="CI708" s="5"/>
      <c r="CK708" s="40"/>
      <c r="CL708" s="5"/>
      <c r="CN708" s="40"/>
      <c r="CO708" s="5"/>
      <c r="CQ708" s="40"/>
      <c r="CR708" s="5"/>
    </row>
    <row r="709">
      <c r="AO709" s="40"/>
      <c r="AP709" s="5"/>
      <c r="AR709" s="40"/>
      <c r="AS709" s="5"/>
      <c r="AU709" s="40"/>
      <c r="AV709" s="5"/>
      <c r="AX709" s="40"/>
      <c r="AY709" s="5"/>
      <c r="BA709" s="40"/>
      <c r="BB709" s="5"/>
      <c r="BD709" s="40"/>
      <c r="BE709" s="5"/>
      <c r="BG709" s="40"/>
      <c r="BH709" s="5"/>
      <c r="BJ709" s="40"/>
      <c r="BK709" s="5"/>
      <c r="BM709" s="40"/>
      <c r="BN709" s="5"/>
      <c r="BP709" s="40"/>
      <c r="BQ709" s="5"/>
      <c r="BS709" s="40"/>
      <c r="BT709" s="5"/>
      <c r="BV709" s="40"/>
      <c r="BW709" s="5"/>
      <c r="BY709" s="40"/>
      <c r="BZ709" s="5"/>
      <c r="CB709" s="40"/>
      <c r="CC709" s="5"/>
      <c r="CE709" s="40"/>
      <c r="CF709" s="5"/>
      <c r="CH709" s="40"/>
      <c r="CI709" s="5"/>
      <c r="CK709" s="40"/>
      <c r="CL709" s="5"/>
      <c r="CN709" s="40"/>
      <c r="CO709" s="5"/>
      <c r="CQ709" s="40"/>
      <c r="CR709" s="5"/>
    </row>
    <row r="710">
      <c r="AO710" s="40"/>
      <c r="AP710" s="5"/>
      <c r="AR710" s="40"/>
      <c r="AS710" s="5"/>
      <c r="AU710" s="40"/>
      <c r="AV710" s="5"/>
      <c r="AX710" s="40"/>
      <c r="AY710" s="5"/>
      <c r="BA710" s="40"/>
      <c r="BB710" s="5"/>
      <c r="BD710" s="40"/>
      <c r="BE710" s="5"/>
      <c r="BG710" s="40"/>
      <c r="BH710" s="5"/>
      <c r="BJ710" s="40"/>
      <c r="BK710" s="5"/>
      <c r="BM710" s="40"/>
      <c r="BN710" s="5"/>
      <c r="BP710" s="40"/>
      <c r="BQ710" s="5"/>
      <c r="BS710" s="40"/>
      <c r="BT710" s="5"/>
      <c r="BV710" s="40"/>
      <c r="BW710" s="5"/>
      <c r="BY710" s="40"/>
      <c r="BZ710" s="5"/>
      <c r="CB710" s="40"/>
      <c r="CC710" s="5"/>
      <c r="CE710" s="40"/>
      <c r="CF710" s="5"/>
      <c r="CH710" s="40"/>
      <c r="CI710" s="5"/>
      <c r="CK710" s="40"/>
      <c r="CL710" s="5"/>
      <c r="CN710" s="40"/>
      <c r="CO710" s="5"/>
      <c r="CQ710" s="40"/>
      <c r="CR710" s="5"/>
    </row>
    <row r="711">
      <c r="AO711" s="40"/>
      <c r="AP711" s="5"/>
      <c r="AR711" s="40"/>
      <c r="AS711" s="5"/>
      <c r="AU711" s="40"/>
      <c r="AV711" s="5"/>
      <c r="AX711" s="40"/>
      <c r="AY711" s="5"/>
      <c r="BA711" s="40"/>
      <c r="BB711" s="5"/>
      <c r="BD711" s="40"/>
      <c r="BE711" s="5"/>
      <c r="BG711" s="40"/>
      <c r="BH711" s="5"/>
      <c r="BJ711" s="40"/>
      <c r="BK711" s="5"/>
      <c r="BM711" s="40"/>
      <c r="BN711" s="5"/>
      <c r="BP711" s="40"/>
      <c r="BQ711" s="5"/>
      <c r="BS711" s="40"/>
      <c r="BT711" s="5"/>
      <c r="BV711" s="40"/>
      <c r="BW711" s="5"/>
      <c r="BY711" s="40"/>
      <c r="BZ711" s="5"/>
      <c r="CB711" s="40"/>
      <c r="CC711" s="5"/>
      <c r="CE711" s="40"/>
      <c r="CF711" s="5"/>
      <c r="CH711" s="40"/>
      <c r="CI711" s="5"/>
      <c r="CK711" s="40"/>
      <c r="CL711" s="5"/>
      <c r="CN711" s="40"/>
      <c r="CO711" s="5"/>
      <c r="CQ711" s="40"/>
      <c r="CR711" s="5"/>
    </row>
    <row r="712">
      <c r="AO712" s="40"/>
      <c r="AP712" s="5"/>
      <c r="AR712" s="40"/>
      <c r="AS712" s="5"/>
      <c r="AU712" s="40"/>
      <c r="AV712" s="5"/>
      <c r="AX712" s="40"/>
      <c r="AY712" s="5"/>
      <c r="BA712" s="40"/>
      <c r="BB712" s="5"/>
      <c r="BD712" s="40"/>
      <c r="BE712" s="5"/>
      <c r="BG712" s="40"/>
      <c r="BH712" s="5"/>
      <c r="BJ712" s="40"/>
      <c r="BK712" s="5"/>
      <c r="BM712" s="40"/>
      <c r="BN712" s="5"/>
      <c r="BP712" s="40"/>
      <c r="BQ712" s="5"/>
      <c r="BS712" s="40"/>
      <c r="BT712" s="5"/>
      <c r="BV712" s="40"/>
      <c r="BW712" s="5"/>
      <c r="BY712" s="40"/>
      <c r="BZ712" s="5"/>
      <c r="CB712" s="40"/>
      <c r="CC712" s="5"/>
      <c r="CE712" s="40"/>
      <c r="CF712" s="5"/>
      <c r="CH712" s="40"/>
      <c r="CI712" s="5"/>
      <c r="CK712" s="40"/>
      <c r="CL712" s="5"/>
      <c r="CN712" s="40"/>
      <c r="CO712" s="5"/>
      <c r="CQ712" s="40"/>
      <c r="CR712" s="5"/>
    </row>
    <row r="713">
      <c r="AO713" s="40"/>
      <c r="AP713" s="5"/>
      <c r="AR713" s="40"/>
      <c r="AS713" s="5"/>
      <c r="AU713" s="40"/>
      <c r="AV713" s="5"/>
      <c r="AX713" s="40"/>
      <c r="AY713" s="5"/>
      <c r="BA713" s="40"/>
      <c r="BB713" s="5"/>
      <c r="BD713" s="40"/>
      <c r="BE713" s="5"/>
      <c r="BG713" s="40"/>
      <c r="BH713" s="5"/>
      <c r="BJ713" s="40"/>
      <c r="BK713" s="5"/>
      <c r="BM713" s="40"/>
      <c r="BN713" s="5"/>
      <c r="BP713" s="40"/>
      <c r="BQ713" s="5"/>
      <c r="BS713" s="40"/>
      <c r="BT713" s="5"/>
      <c r="BV713" s="40"/>
      <c r="BW713" s="5"/>
      <c r="BY713" s="40"/>
      <c r="BZ713" s="5"/>
      <c r="CB713" s="40"/>
      <c r="CC713" s="5"/>
      <c r="CE713" s="40"/>
      <c r="CF713" s="5"/>
      <c r="CH713" s="40"/>
      <c r="CI713" s="5"/>
      <c r="CK713" s="40"/>
      <c r="CL713" s="5"/>
      <c r="CN713" s="40"/>
      <c r="CO713" s="5"/>
      <c r="CQ713" s="40"/>
      <c r="CR713" s="5"/>
    </row>
    <row r="714">
      <c r="AO714" s="40"/>
      <c r="AP714" s="5"/>
      <c r="AR714" s="40"/>
      <c r="AS714" s="5"/>
      <c r="AU714" s="40"/>
      <c r="AV714" s="5"/>
      <c r="AX714" s="40"/>
      <c r="AY714" s="5"/>
      <c r="BA714" s="40"/>
      <c r="BB714" s="5"/>
      <c r="BD714" s="40"/>
      <c r="BE714" s="5"/>
      <c r="BG714" s="40"/>
      <c r="BH714" s="5"/>
      <c r="BJ714" s="40"/>
      <c r="BK714" s="5"/>
      <c r="BM714" s="40"/>
      <c r="BN714" s="5"/>
      <c r="BP714" s="40"/>
      <c r="BQ714" s="5"/>
      <c r="BS714" s="40"/>
      <c r="BT714" s="5"/>
      <c r="BV714" s="40"/>
      <c r="BW714" s="5"/>
      <c r="BY714" s="40"/>
      <c r="BZ714" s="5"/>
      <c r="CB714" s="40"/>
      <c r="CC714" s="5"/>
      <c r="CE714" s="40"/>
      <c r="CF714" s="5"/>
      <c r="CH714" s="40"/>
      <c r="CI714" s="5"/>
      <c r="CK714" s="40"/>
      <c r="CL714" s="5"/>
      <c r="CN714" s="40"/>
      <c r="CO714" s="5"/>
      <c r="CQ714" s="40"/>
      <c r="CR714" s="5"/>
    </row>
    <row r="715">
      <c r="AO715" s="40"/>
      <c r="AP715" s="5"/>
      <c r="AR715" s="40"/>
      <c r="AS715" s="5"/>
      <c r="AU715" s="40"/>
      <c r="AV715" s="5"/>
      <c r="AX715" s="40"/>
      <c r="AY715" s="5"/>
      <c r="BA715" s="40"/>
      <c r="BB715" s="5"/>
      <c r="BD715" s="40"/>
      <c r="BE715" s="5"/>
      <c r="BG715" s="40"/>
      <c r="BH715" s="5"/>
      <c r="BJ715" s="40"/>
      <c r="BK715" s="5"/>
      <c r="BM715" s="40"/>
      <c r="BN715" s="5"/>
      <c r="BP715" s="40"/>
      <c r="BQ715" s="5"/>
      <c r="BS715" s="40"/>
      <c r="BT715" s="5"/>
      <c r="BV715" s="40"/>
      <c r="BW715" s="5"/>
      <c r="BY715" s="40"/>
      <c r="BZ715" s="5"/>
      <c r="CB715" s="40"/>
      <c r="CC715" s="5"/>
      <c r="CE715" s="40"/>
      <c r="CF715" s="5"/>
      <c r="CH715" s="40"/>
      <c r="CI715" s="5"/>
      <c r="CK715" s="40"/>
      <c r="CL715" s="5"/>
      <c r="CN715" s="40"/>
      <c r="CO715" s="5"/>
      <c r="CQ715" s="40"/>
      <c r="CR715" s="5"/>
    </row>
    <row r="716">
      <c r="AO716" s="40"/>
      <c r="AP716" s="5"/>
      <c r="AR716" s="40"/>
      <c r="AS716" s="5"/>
      <c r="AU716" s="40"/>
      <c r="AV716" s="5"/>
      <c r="AX716" s="40"/>
      <c r="AY716" s="5"/>
      <c r="BA716" s="40"/>
      <c r="BB716" s="5"/>
      <c r="BD716" s="40"/>
      <c r="BE716" s="5"/>
      <c r="BG716" s="40"/>
      <c r="BH716" s="5"/>
      <c r="BJ716" s="40"/>
      <c r="BK716" s="5"/>
      <c r="BM716" s="40"/>
      <c r="BN716" s="5"/>
      <c r="BP716" s="40"/>
      <c r="BQ716" s="5"/>
      <c r="BS716" s="40"/>
      <c r="BT716" s="5"/>
      <c r="BV716" s="40"/>
      <c r="BW716" s="5"/>
      <c r="BY716" s="40"/>
      <c r="BZ716" s="5"/>
      <c r="CB716" s="40"/>
      <c r="CC716" s="5"/>
      <c r="CE716" s="40"/>
      <c r="CF716" s="5"/>
      <c r="CH716" s="40"/>
      <c r="CI716" s="5"/>
      <c r="CK716" s="40"/>
      <c r="CL716" s="5"/>
      <c r="CN716" s="40"/>
      <c r="CO716" s="5"/>
      <c r="CQ716" s="40"/>
      <c r="CR716" s="5"/>
    </row>
    <row r="717">
      <c r="AO717" s="40"/>
      <c r="AP717" s="5"/>
      <c r="AR717" s="40"/>
      <c r="AS717" s="5"/>
      <c r="AU717" s="40"/>
      <c r="AV717" s="5"/>
      <c r="AX717" s="40"/>
      <c r="AY717" s="5"/>
      <c r="BA717" s="40"/>
      <c r="BB717" s="5"/>
      <c r="BD717" s="40"/>
      <c r="BE717" s="5"/>
      <c r="BG717" s="40"/>
      <c r="BH717" s="5"/>
      <c r="BJ717" s="40"/>
      <c r="BK717" s="5"/>
      <c r="BM717" s="40"/>
      <c r="BN717" s="5"/>
      <c r="BP717" s="40"/>
      <c r="BQ717" s="5"/>
      <c r="BS717" s="40"/>
      <c r="BT717" s="5"/>
      <c r="BV717" s="40"/>
      <c r="BW717" s="5"/>
      <c r="BY717" s="40"/>
      <c r="BZ717" s="5"/>
      <c r="CB717" s="40"/>
      <c r="CC717" s="5"/>
      <c r="CE717" s="40"/>
      <c r="CF717" s="5"/>
      <c r="CH717" s="40"/>
      <c r="CI717" s="5"/>
      <c r="CK717" s="40"/>
      <c r="CL717" s="5"/>
      <c r="CN717" s="40"/>
      <c r="CO717" s="5"/>
      <c r="CQ717" s="40"/>
      <c r="CR717" s="5"/>
    </row>
    <row r="718">
      <c r="AO718" s="40"/>
      <c r="AP718" s="5"/>
      <c r="AR718" s="40"/>
      <c r="AS718" s="5"/>
      <c r="AU718" s="40"/>
      <c r="AV718" s="5"/>
      <c r="AX718" s="40"/>
      <c r="AY718" s="5"/>
      <c r="BA718" s="40"/>
      <c r="BB718" s="5"/>
      <c r="BD718" s="40"/>
      <c r="BE718" s="5"/>
      <c r="BG718" s="40"/>
      <c r="BH718" s="5"/>
      <c r="BJ718" s="40"/>
      <c r="BK718" s="5"/>
      <c r="BM718" s="40"/>
      <c r="BN718" s="5"/>
      <c r="BP718" s="40"/>
      <c r="BQ718" s="5"/>
      <c r="BS718" s="40"/>
      <c r="BT718" s="5"/>
      <c r="BV718" s="40"/>
      <c r="BW718" s="5"/>
      <c r="BY718" s="40"/>
      <c r="BZ718" s="5"/>
      <c r="CB718" s="40"/>
      <c r="CC718" s="5"/>
      <c r="CE718" s="40"/>
      <c r="CF718" s="5"/>
      <c r="CH718" s="40"/>
      <c r="CI718" s="5"/>
      <c r="CK718" s="40"/>
      <c r="CL718" s="5"/>
      <c r="CN718" s="40"/>
      <c r="CO718" s="5"/>
      <c r="CQ718" s="40"/>
      <c r="CR718" s="5"/>
    </row>
    <row r="719">
      <c r="AO719" s="40"/>
      <c r="AP719" s="5"/>
      <c r="AR719" s="40"/>
      <c r="AS719" s="5"/>
      <c r="AU719" s="40"/>
      <c r="AV719" s="5"/>
      <c r="AX719" s="40"/>
      <c r="AY719" s="5"/>
      <c r="BA719" s="40"/>
      <c r="BB719" s="5"/>
      <c r="BD719" s="40"/>
      <c r="BE719" s="5"/>
      <c r="BG719" s="40"/>
      <c r="BH719" s="5"/>
      <c r="BJ719" s="40"/>
      <c r="BK719" s="5"/>
      <c r="BM719" s="40"/>
      <c r="BN719" s="5"/>
      <c r="BP719" s="40"/>
      <c r="BQ719" s="5"/>
      <c r="BS719" s="40"/>
      <c r="BT719" s="5"/>
      <c r="BV719" s="40"/>
      <c r="BW719" s="5"/>
      <c r="BY719" s="40"/>
      <c r="BZ719" s="5"/>
      <c r="CB719" s="40"/>
      <c r="CC719" s="5"/>
      <c r="CE719" s="40"/>
      <c r="CF719" s="5"/>
      <c r="CH719" s="40"/>
      <c r="CI719" s="5"/>
      <c r="CK719" s="40"/>
      <c r="CL719" s="5"/>
      <c r="CN719" s="40"/>
      <c r="CO719" s="5"/>
      <c r="CQ719" s="40"/>
      <c r="CR719" s="5"/>
    </row>
    <row r="720">
      <c r="AO720" s="40"/>
      <c r="AP720" s="5"/>
      <c r="AR720" s="40"/>
      <c r="AS720" s="5"/>
      <c r="AU720" s="40"/>
      <c r="AV720" s="5"/>
      <c r="AX720" s="40"/>
      <c r="AY720" s="5"/>
      <c r="BA720" s="40"/>
      <c r="BB720" s="5"/>
      <c r="BD720" s="40"/>
      <c r="BE720" s="5"/>
      <c r="BG720" s="40"/>
      <c r="BH720" s="5"/>
      <c r="BJ720" s="40"/>
      <c r="BK720" s="5"/>
      <c r="BM720" s="40"/>
      <c r="BN720" s="5"/>
      <c r="BP720" s="40"/>
      <c r="BQ720" s="5"/>
      <c r="BS720" s="40"/>
      <c r="BT720" s="5"/>
      <c r="BV720" s="40"/>
      <c r="BW720" s="5"/>
      <c r="BY720" s="40"/>
      <c r="BZ720" s="5"/>
      <c r="CB720" s="40"/>
      <c r="CC720" s="5"/>
      <c r="CE720" s="40"/>
      <c r="CF720" s="5"/>
      <c r="CH720" s="40"/>
      <c r="CI720" s="5"/>
      <c r="CK720" s="40"/>
      <c r="CL720" s="5"/>
      <c r="CN720" s="40"/>
      <c r="CO720" s="5"/>
      <c r="CQ720" s="40"/>
      <c r="CR720" s="5"/>
    </row>
    <row r="721">
      <c r="AO721" s="40"/>
      <c r="AP721" s="5"/>
      <c r="AR721" s="40"/>
      <c r="AS721" s="5"/>
      <c r="AU721" s="40"/>
      <c r="AV721" s="5"/>
      <c r="AX721" s="40"/>
      <c r="AY721" s="5"/>
      <c r="BA721" s="40"/>
      <c r="BB721" s="5"/>
      <c r="BD721" s="40"/>
      <c r="BE721" s="5"/>
      <c r="BG721" s="40"/>
      <c r="BH721" s="5"/>
      <c r="BJ721" s="40"/>
      <c r="BK721" s="5"/>
      <c r="BM721" s="40"/>
      <c r="BN721" s="5"/>
      <c r="BP721" s="40"/>
      <c r="BQ721" s="5"/>
      <c r="BS721" s="40"/>
      <c r="BT721" s="5"/>
      <c r="BV721" s="40"/>
      <c r="BW721" s="5"/>
      <c r="BY721" s="40"/>
      <c r="BZ721" s="5"/>
      <c r="CB721" s="40"/>
      <c r="CC721" s="5"/>
      <c r="CE721" s="40"/>
      <c r="CF721" s="5"/>
      <c r="CH721" s="40"/>
      <c r="CI721" s="5"/>
      <c r="CK721" s="40"/>
      <c r="CL721" s="5"/>
      <c r="CN721" s="40"/>
      <c r="CO721" s="5"/>
      <c r="CQ721" s="40"/>
      <c r="CR721" s="5"/>
    </row>
    <row r="722">
      <c r="AO722" s="40"/>
      <c r="AP722" s="5"/>
      <c r="AR722" s="40"/>
      <c r="AS722" s="5"/>
      <c r="AU722" s="40"/>
      <c r="AV722" s="5"/>
      <c r="AX722" s="40"/>
      <c r="AY722" s="5"/>
      <c r="BA722" s="40"/>
      <c r="BB722" s="5"/>
      <c r="BD722" s="40"/>
      <c r="BE722" s="5"/>
      <c r="BG722" s="40"/>
      <c r="BH722" s="5"/>
      <c r="BJ722" s="40"/>
      <c r="BK722" s="5"/>
      <c r="BM722" s="40"/>
      <c r="BN722" s="5"/>
      <c r="BP722" s="40"/>
      <c r="BQ722" s="5"/>
      <c r="BS722" s="40"/>
      <c r="BT722" s="5"/>
      <c r="BV722" s="40"/>
      <c r="BW722" s="5"/>
      <c r="BY722" s="40"/>
      <c r="BZ722" s="5"/>
      <c r="CB722" s="40"/>
      <c r="CC722" s="5"/>
      <c r="CE722" s="40"/>
      <c r="CF722" s="5"/>
      <c r="CH722" s="40"/>
      <c r="CI722" s="5"/>
      <c r="CK722" s="40"/>
      <c r="CL722" s="5"/>
      <c r="CN722" s="40"/>
      <c r="CO722" s="5"/>
      <c r="CQ722" s="40"/>
      <c r="CR722" s="5"/>
    </row>
    <row r="723">
      <c r="AO723" s="40"/>
      <c r="AP723" s="5"/>
      <c r="AR723" s="40"/>
      <c r="AS723" s="5"/>
      <c r="AU723" s="40"/>
      <c r="AV723" s="5"/>
      <c r="AX723" s="40"/>
      <c r="AY723" s="5"/>
      <c r="BA723" s="40"/>
      <c r="BB723" s="5"/>
      <c r="BD723" s="40"/>
      <c r="BE723" s="5"/>
      <c r="BG723" s="40"/>
      <c r="BH723" s="5"/>
      <c r="BJ723" s="40"/>
      <c r="BK723" s="5"/>
      <c r="BM723" s="40"/>
      <c r="BN723" s="5"/>
      <c r="BP723" s="40"/>
      <c r="BQ723" s="5"/>
      <c r="BS723" s="40"/>
      <c r="BT723" s="5"/>
      <c r="BV723" s="40"/>
      <c r="BW723" s="5"/>
      <c r="BY723" s="40"/>
      <c r="BZ723" s="5"/>
      <c r="CB723" s="40"/>
      <c r="CC723" s="5"/>
      <c r="CE723" s="40"/>
      <c r="CF723" s="5"/>
      <c r="CH723" s="40"/>
      <c r="CI723" s="5"/>
      <c r="CK723" s="40"/>
      <c r="CL723" s="5"/>
      <c r="CN723" s="40"/>
      <c r="CO723" s="5"/>
      <c r="CQ723" s="40"/>
      <c r="CR723" s="5"/>
    </row>
    <row r="724">
      <c r="AO724" s="40"/>
      <c r="AP724" s="5"/>
      <c r="AR724" s="40"/>
      <c r="AS724" s="5"/>
      <c r="AU724" s="40"/>
      <c r="AV724" s="5"/>
      <c r="AX724" s="40"/>
      <c r="AY724" s="5"/>
      <c r="BA724" s="40"/>
      <c r="BB724" s="5"/>
      <c r="BD724" s="40"/>
      <c r="BE724" s="5"/>
      <c r="BG724" s="40"/>
      <c r="BH724" s="5"/>
      <c r="BJ724" s="40"/>
      <c r="BK724" s="5"/>
      <c r="BM724" s="40"/>
      <c r="BN724" s="5"/>
      <c r="BP724" s="40"/>
      <c r="BQ724" s="5"/>
      <c r="BS724" s="40"/>
      <c r="BT724" s="5"/>
      <c r="BV724" s="40"/>
      <c r="BW724" s="5"/>
      <c r="BY724" s="40"/>
      <c r="BZ724" s="5"/>
      <c r="CB724" s="40"/>
      <c r="CC724" s="5"/>
      <c r="CE724" s="40"/>
      <c r="CF724" s="5"/>
      <c r="CH724" s="40"/>
      <c r="CI724" s="5"/>
      <c r="CK724" s="40"/>
      <c r="CL724" s="5"/>
      <c r="CN724" s="40"/>
      <c r="CO724" s="5"/>
      <c r="CQ724" s="40"/>
      <c r="CR724" s="5"/>
    </row>
    <row r="725">
      <c r="AO725" s="40"/>
      <c r="AP725" s="5"/>
      <c r="AR725" s="40"/>
      <c r="AS725" s="5"/>
      <c r="AU725" s="40"/>
      <c r="AV725" s="5"/>
      <c r="AX725" s="40"/>
      <c r="AY725" s="5"/>
      <c r="BA725" s="40"/>
      <c r="BB725" s="5"/>
      <c r="BD725" s="40"/>
      <c r="BE725" s="5"/>
      <c r="BG725" s="40"/>
      <c r="BH725" s="5"/>
      <c r="BJ725" s="40"/>
      <c r="BK725" s="5"/>
      <c r="BM725" s="40"/>
      <c r="BN725" s="5"/>
      <c r="BP725" s="40"/>
      <c r="BQ725" s="5"/>
      <c r="BS725" s="40"/>
      <c r="BT725" s="5"/>
      <c r="BV725" s="40"/>
      <c r="BW725" s="5"/>
      <c r="BY725" s="40"/>
      <c r="BZ725" s="5"/>
      <c r="CB725" s="40"/>
      <c r="CC725" s="5"/>
      <c r="CE725" s="40"/>
      <c r="CF725" s="5"/>
      <c r="CH725" s="40"/>
      <c r="CI725" s="5"/>
      <c r="CK725" s="40"/>
      <c r="CL725" s="5"/>
      <c r="CN725" s="40"/>
      <c r="CO725" s="5"/>
      <c r="CQ725" s="40"/>
      <c r="CR725" s="5"/>
    </row>
    <row r="726">
      <c r="AO726" s="40"/>
      <c r="AP726" s="5"/>
      <c r="AR726" s="40"/>
      <c r="AS726" s="5"/>
      <c r="AU726" s="40"/>
      <c r="AV726" s="5"/>
      <c r="AX726" s="40"/>
      <c r="AY726" s="5"/>
      <c r="BA726" s="40"/>
      <c r="BB726" s="5"/>
      <c r="BD726" s="40"/>
      <c r="BE726" s="5"/>
      <c r="BG726" s="40"/>
      <c r="BH726" s="5"/>
      <c r="BJ726" s="40"/>
      <c r="BK726" s="5"/>
      <c r="BM726" s="40"/>
      <c r="BN726" s="5"/>
      <c r="BP726" s="40"/>
      <c r="BQ726" s="5"/>
      <c r="BS726" s="40"/>
      <c r="BT726" s="5"/>
      <c r="BV726" s="40"/>
      <c r="BW726" s="5"/>
      <c r="BY726" s="40"/>
      <c r="BZ726" s="5"/>
      <c r="CB726" s="40"/>
      <c r="CC726" s="5"/>
      <c r="CE726" s="40"/>
      <c r="CF726" s="5"/>
      <c r="CH726" s="40"/>
      <c r="CI726" s="5"/>
      <c r="CK726" s="40"/>
      <c r="CL726" s="5"/>
      <c r="CN726" s="40"/>
      <c r="CO726" s="5"/>
      <c r="CQ726" s="40"/>
      <c r="CR726" s="5"/>
    </row>
    <row r="727">
      <c r="AO727" s="40"/>
      <c r="AP727" s="5"/>
      <c r="AR727" s="40"/>
      <c r="AS727" s="5"/>
      <c r="AU727" s="40"/>
      <c r="AV727" s="5"/>
      <c r="AX727" s="40"/>
      <c r="AY727" s="5"/>
      <c r="BA727" s="40"/>
      <c r="BB727" s="5"/>
      <c r="BD727" s="40"/>
      <c r="BE727" s="5"/>
      <c r="BG727" s="40"/>
      <c r="BH727" s="5"/>
      <c r="BJ727" s="40"/>
      <c r="BK727" s="5"/>
      <c r="BM727" s="40"/>
      <c r="BN727" s="5"/>
      <c r="BP727" s="40"/>
      <c r="BQ727" s="5"/>
      <c r="BS727" s="40"/>
      <c r="BT727" s="5"/>
      <c r="BV727" s="40"/>
      <c r="BW727" s="5"/>
      <c r="BY727" s="40"/>
      <c r="BZ727" s="5"/>
      <c r="CB727" s="40"/>
      <c r="CC727" s="5"/>
      <c r="CE727" s="40"/>
      <c r="CF727" s="5"/>
      <c r="CH727" s="40"/>
      <c r="CI727" s="5"/>
      <c r="CK727" s="40"/>
      <c r="CL727" s="5"/>
      <c r="CN727" s="40"/>
      <c r="CO727" s="5"/>
      <c r="CQ727" s="40"/>
      <c r="CR727" s="5"/>
    </row>
    <row r="728">
      <c r="AO728" s="40"/>
      <c r="AP728" s="5"/>
      <c r="AR728" s="40"/>
      <c r="AS728" s="5"/>
      <c r="AU728" s="40"/>
      <c r="AV728" s="5"/>
      <c r="AX728" s="40"/>
      <c r="AY728" s="5"/>
      <c r="BA728" s="40"/>
      <c r="BB728" s="5"/>
      <c r="BD728" s="40"/>
      <c r="BE728" s="5"/>
      <c r="BG728" s="40"/>
      <c r="BH728" s="5"/>
      <c r="BJ728" s="40"/>
      <c r="BK728" s="5"/>
      <c r="BM728" s="40"/>
      <c r="BN728" s="5"/>
      <c r="BP728" s="40"/>
      <c r="BQ728" s="5"/>
      <c r="BS728" s="40"/>
      <c r="BT728" s="5"/>
      <c r="BV728" s="40"/>
      <c r="BW728" s="5"/>
      <c r="BY728" s="40"/>
      <c r="BZ728" s="5"/>
      <c r="CB728" s="40"/>
      <c r="CC728" s="5"/>
      <c r="CE728" s="40"/>
      <c r="CF728" s="5"/>
      <c r="CH728" s="40"/>
      <c r="CI728" s="5"/>
      <c r="CK728" s="40"/>
      <c r="CL728" s="5"/>
      <c r="CN728" s="40"/>
      <c r="CO728" s="5"/>
      <c r="CQ728" s="40"/>
      <c r="CR728" s="5"/>
    </row>
    <row r="729">
      <c r="AO729" s="40"/>
      <c r="AP729" s="5"/>
      <c r="AR729" s="40"/>
      <c r="AS729" s="5"/>
      <c r="AU729" s="40"/>
      <c r="AV729" s="5"/>
      <c r="AX729" s="40"/>
      <c r="AY729" s="5"/>
      <c r="BA729" s="40"/>
      <c r="BB729" s="5"/>
      <c r="BD729" s="40"/>
      <c r="BE729" s="5"/>
      <c r="BG729" s="40"/>
      <c r="BH729" s="5"/>
      <c r="BJ729" s="40"/>
      <c r="BK729" s="5"/>
      <c r="BM729" s="40"/>
      <c r="BN729" s="5"/>
      <c r="BP729" s="40"/>
      <c r="BQ729" s="5"/>
      <c r="BS729" s="40"/>
      <c r="BT729" s="5"/>
      <c r="BV729" s="40"/>
      <c r="BW729" s="5"/>
      <c r="BY729" s="40"/>
      <c r="BZ729" s="5"/>
      <c r="CB729" s="40"/>
      <c r="CC729" s="5"/>
      <c r="CE729" s="40"/>
      <c r="CF729" s="5"/>
      <c r="CH729" s="40"/>
      <c r="CI729" s="5"/>
      <c r="CK729" s="40"/>
      <c r="CL729" s="5"/>
      <c r="CN729" s="40"/>
      <c r="CO729" s="5"/>
      <c r="CQ729" s="40"/>
      <c r="CR729" s="5"/>
    </row>
    <row r="730">
      <c r="AO730" s="40"/>
      <c r="AP730" s="5"/>
      <c r="AR730" s="40"/>
      <c r="AS730" s="5"/>
      <c r="AU730" s="40"/>
      <c r="AV730" s="5"/>
      <c r="AX730" s="40"/>
      <c r="AY730" s="5"/>
      <c r="BA730" s="40"/>
      <c r="BB730" s="5"/>
      <c r="BD730" s="40"/>
      <c r="BE730" s="5"/>
      <c r="BG730" s="40"/>
      <c r="BH730" s="5"/>
      <c r="BJ730" s="40"/>
      <c r="BK730" s="5"/>
      <c r="BM730" s="40"/>
      <c r="BN730" s="5"/>
      <c r="BP730" s="40"/>
      <c r="BQ730" s="5"/>
      <c r="BS730" s="40"/>
      <c r="BT730" s="5"/>
      <c r="BV730" s="40"/>
      <c r="BW730" s="5"/>
      <c r="BY730" s="40"/>
      <c r="BZ730" s="5"/>
      <c r="CB730" s="40"/>
      <c r="CC730" s="5"/>
      <c r="CE730" s="40"/>
      <c r="CF730" s="5"/>
      <c r="CH730" s="40"/>
      <c r="CI730" s="5"/>
      <c r="CK730" s="40"/>
      <c r="CL730" s="5"/>
      <c r="CN730" s="40"/>
      <c r="CO730" s="5"/>
      <c r="CQ730" s="40"/>
      <c r="CR730" s="5"/>
    </row>
    <row r="731">
      <c r="AO731" s="40"/>
      <c r="AP731" s="5"/>
      <c r="AR731" s="40"/>
      <c r="AS731" s="5"/>
      <c r="AU731" s="40"/>
      <c r="AV731" s="5"/>
      <c r="AX731" s="40"/>
      <c r="AY731" s="5"/>
      <c r="BA731" s="40"/>
      <c r="BB731" s="5"/>
      <c r="BD731" s="40"/>
      <c r="BE731" s="5"/>
      <c r="BG731" s="40"/>
      <c r="BH731" s="5"/>
      <c r="BJ731" s="40"/>
      <c r="BK731" s="5"/>
      <c r="BM731" s="40"/>
      <c r="BN731" s="5"/>
      <c r="BP731" s="40"/>
      <c r="BQ731" s="5"/>
      <c r="BS731" s="40"/>
      <c r="BT731" s="5"/>
      <c r="BV731" s="40"/>
      <c r="BW731" s="5"/>
      <c r="BY731" s="40"/>
      <c r="BZ731" s="5"/>
      <c r="CB731" s="40"/>
      <c r="CC731" s="5"/>
      <c r="CE731" s="40"/>
      <c r="CF731" s="5"/>
      <c r="CH731" s="40"/>
      <c r="CI731" s="5"/>
      <c r="CK731" s="40"/>
      <c r="CL731" s="5"/>
      <c r="CN731" s="40"/>
      <c r="CO731" s="5"/>
      <c r="CQ731" s="40"/>
      <c r="CR731" s="5"/>
    </row>
    <row r="732">
      <c r="AO732" s="40"/>
      <c r="AP732" s="5"/>
      <c r="AR732" s="40"/>
      <c r="AS732" s="5"/>
      <c r="AU732" s="40"/>
      <c r="AV732" s="5"/>
      <c r="AX732" s="40"/>
      <c r="AY732" s="5"/>
      <c r="BA732" s="40"/>
      <c r="BB732" s="5"/>
      <c r="BD732" s="40"/>
      <c r="BE732" s="5"/>
      <c r="BG732" s="40"/>
      <c r="BH732" s="5"/>
      <c r="BJ732" s="40"/>
      <c r="BK732" s="5"/>
      <c r="BM732" s="40"/>
      <c r="BN732" s="5"/>
      <c r="BP732" s="40"/>
      <c r="BQ732" s="5"/>
      <c r="BS732" s="40"/>
      <c r="BT732" s="5"/>
      <c r="BV732" s="40"/>
      <c r="BW732" s="5"/>
      <c r="BY732" s="40"/>
      <c r="BZ732" s="5"/>
      <c r="CB732" s="40"/>
      <c r="CC732" s="5"/>
      <c r="CE732" s="40"/>
      <c r="CF732" s="5"/>
      <c r="CH732" s="40"/>
      <c r="CI732" s="5"/>
      <c r="CK732" s="40"/>
      <c r="CL732" s="5"/>
      <c r="CN732" s="40"/>
      <c r="CO732" s="5"/>
      <c r="CQ732" s="40"/>
      <c r="CR732" s="5"/>
    </row>
    <row r="733">
      <c r="AO733" s="40"/>
      <c r="AP733" s="5"/>
      <c r="AR733" s="40"/>
      <c r="AS733" s="5"/>
      <c r="AU733" s="40"/>
      <c r="AV733" s="5"/>
      <c r="AX733" s="40"/>
      <c r="AY733" s="5"/>
      <c r="BA733" s="40"/>
      <c r="BB733" s="5"/>
      <c r="BD733" s="40"/>
      <c r="BE733" s="5"/>
      <c r="BG733" s="40"/>
      <c r="BH733" s="5"/>
      <c r="BJ733" s="40"/>
      <c r="BK733" s="5"/>
      <c r="BM733" s="40"/>
      <c r="BN733" s="5"/>
      <c r="BP733" s="40"/>
      <c r="BQ733" s="5"/>
      <c r="BS733" s="40"/>
      <c r="BT733" s="5"/>
      <c r="BV733" s="40"/>
      <c r="BW733" s="5"/>
      <c r="BY733" s="40"/>
      <c r="BZ733" s="5"/>
      <c r="CB733" s="40"/>
      <c r="CC733" s="5"/>
      <c r="CE733" s="40"/>
      <c r="CF733" s="5"/>
      <c r="CH733" s="40"/>
      <c r="CI733" s="5"/>
      <c r="CK733" s="40"/>
      <c r="CL733" s="5"/>
      <c r="CN733" s="40"/>
      <c r="CO733" s="5"/>
      <c r="CQ733" s="40"/>
      <c r="CR733" s="5"/>
    </row>
    <row r="734">
      <c r="AO734" s="40"/>
      <c r="AP734" s="5"/>
      <c r="AR734" s="40"/>
      <c r="AS734" s="5"/>
      <c r="AU734" s="40"/>
      <c r="AV734" s="5"/>
      <c r="AX734" s="40"/>
      <c r="AY734" s="5"/>
      <c r="BA734" s="40"/>
      <c r="BB734" s="5"/>
      <c r="BD734" s="40"/>
      <c r="BE734" s="5"/>
      <c r="BG734" s="40"/>
      <c r="BH734" s="5"/>
      <c r="BJ734" s="40"/>
      <c r="BK734" s="5"/>
      <c r="BM734" s="40"/>
      <c r="BN734" s="5"/>
      <c r="BP734" s="40"/>
      <c r="BQ734" s="5"/>
      <c r="BS734" s="40"/>
      <c r="BT734" s="5"/>
      <c r="BV734" s="40"/>
      <c r="BW734" s="5"/>
      <c r="BY734" s="40"/>
      <c r="BZ734" s="5"/>
      <c r="CB734" s="40"/>
      <c r="CC734" s="5"/>
      <c r="CE734" s="40"/>
      <c r="CF734" s="5"/>
      <c r="CH734" s="40"/>
      <c r="CI734" s="5"/>
      <c r="CK734" s="40"/>
      <c r="CL734" s="5"/>
      <c r="CN734" s="40"/>
      <c r="CO734" s="5"/>
      <c r="CQ734" s="40"/>
      <c r="CR734" s="5"/>
    </row>
    <row r="735">
      <c r="AO735" s="40"/>
      <c r="AP735" s="5"/>
      <c r="AR735" s="40"/>
      <c r="AS735" s="5"/>
      <c r="AU735" s="40"/>
      <c r="AV735" s="5"/>
      <c r="AX735" s="40"/>
      <c r="AY735" s="5"/>
      <c r="BA735" s="40"/>
      <c r="BB735" s="5"/>
      <c r="BD735" s="40"/>
      <c r="BE735" s="5"/>
      <c r="BG735" s="40"/>
      <c r="BH735" s="5"/>
      <c r="BJ735" s="40"/>
      <c r="BK735" s="5"/>
      <c r="BM735" s="40"/>
      <c r="BN735" s="5"/>
      <c r="BP735" s="40"/>
      <c r="BQ735" s="5"/>
      <c r="BS735" s="40"/>
      <c r="BT735" s="5"/>
      <c r="BV735" s="40"/>
      <c r="BW735" s="5"/>
      <c r="BY735" s="40"/>
      <c r="BZ735" s="5"/>
      <c r="CB735" s="40"/>
      <c r="CC735" s="5"/>
      <c r="CE735" s="40"/>
      <c r="CF735" s="5"/>
      <c r="CH735" s="40"/>
      <c r="CI735" s="5"/>
      <c r="CK735" s="40"/>
      <c r="CL735" s="5"/>
      <c r="CN735" s="40"/>
      <c r="CO735" s="5"/>
      <c r="CQ735" s="40"/>
      <c r="CR735" s="5"/>
    </row>
    <row r="736">
      <c r="AO736" s="40"/>
      <c r="AP736" s="5"/>
      <c r="AR736" s="40"/>
      <c r="AS736" s="5"/>
      <c r="AU736" s="40"/>
      <c r="AV736" s="5"/>
      <c r="AX736" s="40"/>
      <c r="AY736" s="5"/>
      <c r="BA736" s="40"/>
      <c r="BB736" s="5"/>
      <c r="BD736" s="40"/>
      <c r="BE736" s="5"/>
      <c r="BG736" s="40"/>
      <c r="BH736" s="5"/>
      <c r="BJ736" s="40"/>
      <c r="BK736" s="5"/>
      <c r="BM736" s="40"/>
      <c r="BN736" s="5"/>
      <c r="BP736" s="40"/>
      <c r="BQ736" s="5"/>
      <c r="BS736" s="40"/>
      <c r="BT736" s="5"/>
      <c r="BV736" s="40"/>
      <c r="BW736" s="5"/>
      <c r="BY736" s="40"/>
      <c r="BZ736" s="5"/>
      <c r="CB736" s="40"/>
      <c r="CC736" s="5"/>
      <c r="CE736" s="40"/>
      <c r="CF736" s="5"/>
      <c r="CH736" s="40"/>
      <c r="CI736" s="5"/>
      <c r="CK736" s="40"/>
      <c r="CL736" s="5"/>
      <c r="CN736" s="40"/>
      <c r="CO736" s="5"/>
      <c r="CQ736" s="40"/>
      <c r="CR736" s="5"/>
    </row>
    <row r="737">
      <c r="AO737" s="40"/>
      <c r="AP737" s="5"/>
      <c r="AR737" s="40"/>
      <c r="AS737" s="5"/>
      <c r="AU737" s="40"/>
      <c r="AV737" s="5"/>
      <c r="AX737" s="40"/>
      <c r="AY737" s="5"/>
      <c r="BA737" s="40"/>
      <c r="BB737" s="5"/>
      <c r="BD737" s="40"/>
      <c r="BE737" s="5"/>
      <c r="BG737" s="40"/>
      <c r="BH737" s="5"/>
      <c r="BJ737" s="40"/>
      <c r="BK737" s="5"/>
      <c r="BM737" s="40"/>
      <c r="BN737" s="5"/>
      <c r="BP737" s="40"/>
      <c r="BQ737" s="5"/>
      <c r="BS737" s="40"/>
      <c r="BT737" s="5"/>
      <c r="BV737" s="40"/>
      <c r="BW737" s="5"/>
      <c r="BY737" s="40"/>
      <c r="BZ737" s="5"/>
      <c r="CB737" s="40"/>
      <c r="CC737" s="5"/>
      <c r="CE737" s="40"/>
      <c r="CF737" s="5"/>
      <c r="CH737" s="40"/>
      <c r="CI737" s="5"/>
      <c r="CK737" s="40"/>
      <c r="CL737" s="5"/>
      <c r="CN737" s="40"/>
      <c r="CO737" s="5"/>
      <c r="CQ737" s="40"/>
      <c r="CR737" s="5"/>
    </row>
    <row r="738">
      <c r="AO738" s="40"/>
      <c r="AP738" s="5"/>
      <c r="AR738" s="40"/>
      <c r="AS738" s="5"/>
      <c r="AU738" s="40"/>
      <c r="AV738" s="5"/>
      <c r="AX738" s="40"/>
      <c r="AY738" s="5"/>
      <c r="BA738" s="40"/>
      <c r="BB738" s="5"/>
      <c r="BD738" s="40"/>
      <c r="BE738" s="5"/>
      <c r="BG738" s="40"/>
      <c r="BH738" s="5"/>
      <c r="BJ738" s="40"/>
      <c r="BK738" s="5"/>
      <c r="BM738" s="40"/>
      <c r="BN738" s="5"/>
      <c r="BP738" s="40"/>
      <c r="BQ738" s="5"/>
      <c r="BS738" s="40"/>
      <c r="BT738" s="5"/>
      <c r="BV738" s="40"/>
      <c r="BW738" s="5"/>
      <c r="BY738" s="40"/>
      <c r="BZ738" s="5"/>
      <c r="CB738" s="40"/>
      <c r="CC738" s="5"/>
      <c r="CE738" s="40"/>
      <c r="CF738" s="5"/>
      <c r="CH738" s="40"/>
      <c r="CI738" s="5"/>
      <c r="CK738" s="40"/>
      <c r="CL738" s="5"/>
      <c r="CN738" s="40"/>
      <c r="CO738" s="5"/>
      <c r="CQ738" s="40"/>
      <c r="CR738" s="5"/>
    </row>
    <row r="739">
      <c r="AO739" s="40"/>
      <c r="AP739" s="5"/>
      <c r="AR739" s="40"/>
      <c r="AS739" s="5"/>
      <c r="AU739" s="40"/>
      <c r="AV739" s="5"/>
      <c r="AX739" s="40"/>
      <c r="AY739" s="5"/>
      <c r="BA739" s="40"/>
      <c r="BB739" s="5"/>
      <c r="BD739" s="40"/>
      <c r="BE739" s="5"/>
      <c r="BG739" s="40"/>
      <c r="BH739" s="5"/>
      <c r="BJ739" s="40"/>
      <c r="BK739" s="5"/>
      <c r="BM739" s="40"/>
      <c r="BN739" s="5"/>
      <c r="BP739" s="40"/>
      <c r="BQ739" s="5"/>
      <c r="BS739" s="40"/>
      <c r="BT739" s="5"/>
      <c r="BV739" s="40"/>
      <c r="BW739" s="5"/>
      <c r="BY739" s="40"/>
      <c r="BZ739" s="5"/>
      <c r="CB739" s="40"/>
      <c r="CC739" s="5"/>
      <c r="CE739" s="40"/>
      <c r="CF739" s="5"/>
      <c r="CH739" s="40"/>
      <c r="CI739" s="5"/>
      <c r="CK739" s="40"/>
      <c r="CL739" s="5"/>
      <c r="CN739" s="40"/>
      <c r="CO739" s="5"/>
      <c r="CQ739" s="40"/>
      <c r="CR739" s="5"/>
    </row>
    <row r="740">
      <c r="AO740" s="40"/>
      <c r="AP740" s="5"/>
      <c r="AR740" s="40"/>
      <c r="AS740" s="5"/>
      <c r="AU740" s="40"/>
      <c r="AV740" s="5"/>
      <c r="AX740" s="40"/>
      <c r="AY740" s="5"/>
      <c r="BA740" s="40"/>
      <c r="BB740" s="5"/>
      <c r="BD740" s="40"/>
      <c r="BE740" s="5"/>
      <c r="BG740" s="40"/>
      <c r="BH740" s="5"/>
      <c r="BJ740" s="40"/>
      <c r="BK740" s="5"/>
      <c r="BM740" s="40"/>
      <c r="BN740" s="5"/>
      <c r="BP740" s="40"/>
      <c r="BQ740" s="5"/>
      <c r="BS740" s="40"/>
      <c r="BT740" s="5"/>
      <c r="BV740" s="40"/>
      <c r="BW740" s="5"/>
      <c r="BY740" s="40"/>
      <c r="BZ740" s="5"/>
      <c r="CB740" s="40"/>
      <c r="CC740" s="5"/>
      <c r="CE740" s="40"/>
      <c r="CF740" s="5"/>
      <c r="CH740" s="40"/>
      <c r="CI740" s="5"/>
      <c r="CK740" s="40"/>
      <c r="CL740" s="5"/>
      <c r="CN740" s="40"/>
      <c r="CO740" s="5"/>
      <c r="CQ740" s="40"/>
      <c r="CR740" s="5"/>
    </row>
    <row r="741">
      <c r="AO741" s="40"/>
      <c r="AP741" s="5"/>
      <c r="AR741" s="40"/>
      <c r="AS741" s="5"/>
      <c r="AU741" s="40"/>
      <c r="AV741" s="5"/>
      <c r="AX741" s="40"/>
      <c r="AY741" s="5"/>
      <c r="BA741" s="40"/>
      <c r="BB741" s="5"/>
      <c r="BD741" s="40"/>
      <c r="BE741" s="5"/>
      <c r="BG741" s="40"/>
      <c r="BH741" s="5"/>
      <c r="BJ741" s="40"/>
      <c r="BK741" s="5"/>
      <c r="BM741" s="40"/>
      <c r="BN741" s="5"/>
      <c r="BP741" s="40"/>
      <c r="BQ741" s="5"/>
      <c r="BS741" s="40"/>
      <c r="BT741" s="5"/>
      <c r="BV741" s="40"/>
      <c r="BW741" s="5"/>
      <c r="BY741" s="40"/>
      <c r="BZ741" s="5"/>
      <c r="CB741" s="40"/>
      <c r="CC741" s="5"/>
      <c r="CE741" s="40"/>
      <c r="CF741" s="5"/>
      <c r="CH741" s="40"/>
      <c r="CI741" s="5"/>
      <c r="CK741" s="40"/>
      <c r="CL741" s="5"/>
      <c r="CN741" s="40"/>
      <c r="CO741" s="5"/>
      <c r="CQ741" s="40"/>
      <c r="CR741" s="5"/>
    </row>
    <row r="742">
      <c r="AO742" s="40"/>
      <c r="AP742" s="5"/>
      <c r="AR742" s="40"/>
      <c r="AS742" s="5"/>
      <c r="AU742" s="40"/>
      <c r="AV742" s="5"/>
      <c r="AX742" s="40"/>
      <c r="AY742" s="5"/>
      <c r="BA742" s="40"/>
      <c r="BB742" s="5"/>
      <c r="BD742" s="40"/>
      <c r="BE742" s="5"/>
      <c r="BG742" s="40"/>
      <c r="BH742" s="5"/>
      <c r="BJ742" s="40"/>
      <c r="BK742" s="5"/>
      <c r="BM742" s="40"/>
      <c r="BN742" s="5"/>
      <c r="BP742" s="40"/>
      <c r="BQ742" s="5"/>
      <c r="BS742" s="40"/>
      <c r="BT742" s="5"/>
      <c r="BV742" s="40"/>
      <c r="BW742" s="5"/>
      <c r="BY742" s="40"/>
      <c r="BZ742" s="5"/>
      <c r="CB742" s="40"/>
      <c r="CC742" s="5"/>
      <c r="CE742" s="40"/>
      <c r="CF742" s="5"/>
      <c r="CH742" s="40"/>
      <c r="CI742" s="5"/>
      <c r="CK742" s="40"/>
      <c r="CL742" s="5"/>
      <c r="CN742" s="40"/>
      <c r="CO742" s="5"/>
      <c r="CQ742" s="40"/>
      <c r="CR742" s="5"/>
    </row>
    <row r="743">
      <c r="AO743" s="40"/>
      <c r="AP743" s="5"/>
      <c r="AR743" s="40"/>
      <c r="AS743" s="5"/>
      <c r="AU743" s="40"/>
      <c r="AV743" s="5"/>
      <c r="AX743" s="40"/>
      <c r="AY743" s="5"/>
      <c r="BA743" s="40"/>
      <c r="BB743" s="5"/>
      <c r="BD743" s="40"/>
      <c r="BE743" s="5"/>
      <c r="BG743" s="40"/>
      <c r="BH743" s="5"/>
      <c r="BJ743" s="40"/>
      <c r="BK743" s="5"/>
      <c r="BM743" s="40"/>
      <c r="BN743" s="5"/>
      <c r="BP743" s="40"/>
      <c r="BQ743" s="5"/>
      <c r="BS743" s="40"/>
      <c r="BT743" s="5"/>
      <c r="BV743" s="40"/>
      <c r="BW743" s="5"/>
      <c r="BY743" s="40"/>
      <c r="BZ743" s="5"/>
      <c r="CB743" s="40"/>
      <c r="CC743" s="5"/>
      <c r="CE743" s="40"/>
      <c r="CF743" s="5"/>
      <c r="CH743" s="40"/>
      <c r="CI743" s="5"/>
      <c r="CK743" s="40"/>
      <c r="CL743" s="5"/>
      <c r="CN743" s="40"/>
      <c r="CO743" s="5"/>
      <c r="CQ743" s="40"/>
      <c r="CR743" s="5"/>
    </row>
    <row r="744">
      <c r="AO744" s="40"/>
      <c r="AP744" s="5"/>
      <c r="AR744" s="40"/>
      <c r="AS744" s="5"/>
      <c r="AU744" s="40"/>
      <c r="AV744" s="5"/>
      <c r="AX744" s="40"/>
      <c r="AY744" s="5"/>
      <c r="BA744" s="40"/>
      <c r="BB744" s="5"/>
      <c r="BD744" s="40"/>
      <c r="BE744" s="5"/>
      <c r="BG744" s="40"/>
      <c r="BH744" s="5"/>
      <c r="BJ744" s="40"/>
      <c r="BK744" s="5"/>
      <c r="BM744" s="40"/>
      <c r="BN744" s="5"/>
      <c r="BP744" s="40"/>
      <c r="BQ744" s="5"/>
      <c r="BS744" s="40"/>
      <c r="BT744" s="5"/>
      <c r="BV744" s="40"/>
      <c r="BW744" s="5"/>
      <c r="BY744" s="40"/>
      <c r="BZ744" s="5"/>
      <c r="CB744" s="40"/>
      <c r="CC744" s="5"/>
      <c r="CE744" s="40"/>
      <c r="CF744" s="5"/>
      <c r="CH744" s="40"/>
      <c r="CI744" s="5"/>
      <c r="CK744" s="40"/>
      <c r="CL744" s="5"/>
      <c r="CN744" s="40"/>
      <c r="CO744" s="5"/>
      <c r="CQ744" s="40"/>
      <c r="CR744" s="5"/>
    </row>
    <row r="745">
      <c r="AO745" s="40"/>
      <c r="AP745" s="5"/>
      <c r="AR745" s="40"/>
      <c r="AS745" s="5"/>
      <c r="AU745" s="40"/>
      <c r="AV745" s="5"/>
      <c r="AX745" s="40"/>
      <c r="AY745" s="5"/>
      <c r="BA745" s="40"/>
      <c r="BB745" s="5"/>
      <c r="BD745" s="40"/>
      <c r="BE745" s="5"/>
      <c r="BG745" s="40"/>
      <c r="BH745" s="5"/>
      <c r="BJ745" s="40"/>
      <c r="BK745" s="5"/>
      <c r="BM745" s="40"/>
      <c r="BN745" s="5"/>
      <c r="BP745" s="40"/>
      <c r="BQ745" s="5"/>
      <c r="BS745" s="40"/>
      <c r="BT745" s="5"/>
      <c r="BV745" s="40"/>
      <c r="BW745" s="5"/>
      <c r="BY745" s="40"/>
      <c r="BZ745" s="5"/>
      <c r="CB745" s="40"/>
      <c r="CC745" s="5"/>
      <c r="CE745" s="40"/>
      <c r="CF745" s="5"/>
      <c r="CH745" s="40"/>
      <c r="CI745" s="5"/>
      <c r="CK745" s="40"/>
      <c r="CL745" s="5"/>
      <c r="CN745" s="40"/>
      <c r="CO745" s="5"/>
      <c r="CQ745" s="40"/>
      <c r="CR745" s="5"/>
    </row>
    <row r="746">
      <c r="AO746" s="40"/>
      <c r="AP746" s="5"/>
      <c r="AR746" s="40"/>
      <c r="AS746" s="5"/>
      <c r="AU746" s="40"/>
      <c r="AV746" s="5"/>
      <c r="AX746" s="40"/>
      <c r="AY746" s="5"/>
      <c r="BA746" s="40"/>
      <c r="BB746" s="5"/>
      <c r="BD746" s="40"/>
      <c r="BE746" s="5"/>
      <c r="BG746" s="40"/>
      <c r="BH746" s="5"/>
      <c r="BJ746" s="40"/>
      <c r="BK746" s="5"/>
      <c r="BM746" s="40"/>
      <c r="BN746" s="5"/>
      <c r="BP746" s="40"/>
      <c r="BQ746" s="5"/>
      <c r="BS746" s="40"/>
      <c r="BT746" s="5"/>
      <c r="BV746" s="40"/>
      <c r="BW746" s="5"/>
      <c r="BY746" s="40"/>
      <c r="BZ746" s="5"/>
      <c r="CB746" s="40"/>
      <c r="CC746" s="5"/>
      <c r="CE746" s="40"/>
      <c r="CF746" s="5"/>
      <c r="CH746" s="40"/>
      <c r="CI746" s="5"/>
      <c r="CK746" s="40"/>
      <c r="CL746" s="5"/>
      <c r="CN746" s="40"/>
      <c r="CO746" s="5"/>
      <c r="CQ746" s="40"/>
      <c r="CR746" s="5"/>
    </row>
    <row r="747">
      <c r="AO747" s="40"/>
      <c r="AP747" s="5"/>
      <c r="AR747" s="40"/>
      <c r="AS747" s="5"/>
      <c r="AU747" s="40"/>
      <c r="AV747" s="5"/>
      <c r="AX747" s="40"/>
      <c r="AY747" s="5"/>
      <c r="BA747" s="40"/>
      <c r="BB747" s="5"/>
      <c r="BD747" s="40"/>
      <c r="BE747" s="5"/>
      <c r="BG747" s="40"/>
      <c r="BH747" s="5"/>
      <c r="BJ747" s="40"/>
      <c r="BK747" s="5"/>
      <c r="BM747" s="40"/>
      <c r="BN747" s="5"/>
      <c r="BP747" s="40"/>
      <c r="BQ747" s="5"/>
      <c r="BS747" s="40"/>
      <c r="BT747" s="5"/>
      <c r="BV747" s="40"/>
      <c r="BW747" s="5"/>
      <c r="BY747" s="40"/>
      <c r="BZ747" s="5"/>
      <c r="CB747" s="40"/>
      <c r="CC747" s="5"/>
      <c r="CE747" s="40"/>
      <c r="CF747" s="5"/>
      <c r="CH747" s="40"/>
      <c r="CI747" s="5"/>
      <c r="CK747" s="40"/>
      <c r="CL747" s="5"/>
      <c r="CN747" s="40"/>
      <c r="CO747" s="5"/>
      <c r="CQ747" s="40"/>
      <c r="CR747" s="5"/>
    </row>
    <row r="748">
      <c r="AO748" s="40"/>
      <c r="AP748" s="5"/>
      <c r="AR748" s="40"/>
      <c r="AS748" s="5"/>
      <c r="AU748" s="40"/>
      <c r="AV748" s="5"/>
      <c r="AX748" s="40"/>
      <c r="AY748" s="5"/>
      <c r="BA748" s="40"/>
      <c r="BB748" s="5"/>
      <c r="BD748" s="40"/>
      <c r="BE748" s="5"/>
      <c r="BG748" s="40"/>
      <c r="BH748" s="5"/>
      <c r="BJ748" s="40"/>
      <c r="BK748" s="5"/>
      <c r="BM748" s="40"/>
      <c r="BN748" s="5"/>
      <c r="BP748" s="40"/>
      <c r="BQ748" s="5"/>
      <c r="BS748" s="40"/>
      <c r="BT748" s="5"/>
      <c r="BV748" s="40"/>
      <c r="BW748" s="5"/>
      <c r="BY748" s="40"/>
      <c r="BZ748" s="5"/>
      <c r="CB748" s="40"/>
      <c r="CC748" s="5"/>
      <c r="CE748" s="40"/>
      <c r="CF748" s="5"/>
      <c r="CH748" s="40"/>
      <c r="CI748" s="5"/>
      <c r="CK748" s="40"/>
      <c r="CL748" s="5"/>
      <c r="CN748" s="40"/>
      <c r="CO748" s="5"/>
      <c r="CQ748" s="40"/>
      <c r="CR748" s="5"/>
    </row>
    <row r="749">
      <c r="AO749" s="40"/>
      <c r="AP749" s="5"/>
      <c r="AR749" s="40"/>
      <c r="AS749" s="5"/>
      <c r="AU749" s="40"/>
      <c r="AV749" s="5"/>
      <c r="AX749" s="40"/>
      <c r="AY749" s="5"/>
      <c r="BA749" s="40"/>
      <c r="BB749" s="5"/>
      <c r="BD749" s="40"/>
      <c r="BE749" s="5"/>
      <c r="BG749" s="40"/>
      <c r="BH749" s="5"/>
      <c r="BJ749" s="40"/>
      <c r="BK749" s="5"/>
      <c r="BM749" s="40"/>
      <c r="BN749" s="5"/>
      <c r="BP749" s="40"/>
      <c r="BQ749" s="5"/>
      <c r="BS749" s="40"/>
      <c r="BT749" s="5"/>
      <c r="BV749" s="40"/>
      <c r="BW749" s="5"/>
      <c r="BY749" s="40"/>
      <c r="BZ749" s="5"/>
      <c r="CB749" s="40"/>
      <c r="CC749" s="5"/>
      <c r="CE749" s="40"/>
      <c r="CF749" s="5"/>
      <c r="CH749" s="40"/>
      <c r="CI749" s="5"/>
      <c r="CK749" s="40"/>
      <c r="CL749" s="5"/>
      <c r="CN749" s="40"/>
      <c r="CO749" s="5"/>
      <c r="CQ749" s="40"/>
      <c r="CR749" s="5"/>
    </row>
    <row r="750">
      <c r="AO750" s="40"/>
      <c r="AP750" s="5"/>
      <c r="AR750" s="40"/>
      <c r="AS750" s="5"/>
      <c r="AU750" s="40"/>
      <c r="AV750" s="5"/>
      <c r="AX750" s="40"/>
      <c r="AY750" s="5"/>
      <c r="BA750" s="40"/>
      <c r="BB750" s="5"/>
      <c r="BD750" s="40"/>
      <c r="BE750" s="5"/>
      <c r="BG750" s="40"/>
      <c r="BH750" s="5"/>
      <c r="BJ750" s="40"/>
      <c r="BK750" s="5"/>
      <c r="BM750" s="40"/>
      <c r="BN750" s="5"/>
      <c r="BP750" s="40"/>
      <c r="BQ750" s="5"/>
      <c r="BS750" s="40"/>
      <c r="BT750" s="5"/>
      <c r="BV750" s="40"/>
      <c r="BW750" s="5"/>
      <c r="BY750" s="40"/>
      <c r="BZ750" s="5"/>
      <c r="CB750" s="40"/>
      <c r="CC750" s="5"/>
      <c r="CE750" s="40"/>
      <c r="CF750" s="5"/>
      <c r="CH750" s="40"/>
      <c r="CI750" s="5"/>
      <c r="CK750" s="40"/>
      <c r="CL750" s="5"/>
      <c r="CN750" s="40"/>
      <c r="CO750" s="5"/>
      <c r="CQ750" s="40"/>
      <c r="CR750" s="5"/>
    </row>
    <row r="751">
      <c r="AO751" s="40"/>
      <c r="AP751" s="5"/>
      <c r="AR751" s="40"/>
      <c r="AS751" s="5"/>
      <c r="AU751" s="40"/>
      <c r="AV751" s="5"/>
      <c r="AX751" s="40"/>
      <c r="AY751" s="5"/>
      <c r="BA751" s="40"/>
      <c r="BB751" s="5"/>
      <c r="BD751" s="40"/>
      <c r="BE751" s="5"/>
      <c r="BG751" s="40"/>
      <c r="BH751" s="5"/>
      <c r="BJ751" s="40"/>
      <c r="BK751" s="5"/>
      <c r="BM751" s="40"/>
      <c r="BN751" s="5"/>
      <c r="BP751" s="40"/>
      <c r="BQ751" s="5"/>
      <c r="BS751" s="40"/>
      <c r="BT751" s="5"/>
      <c r="BV751" s="40"/>
      <c r="BW751" s="5"/>
      <c r="BY751" s="40"/>
      <c r="BZ751" s="5"/>
      <c r="CB751" s="40"/>
      <c r="CC751" s="5"/>
      <c r="CE751" s="40"/>
      <c r="CF751" s="5"/>
      <c r="CH751" s="40"/>
      <c r="CI751" s="5"/>
      <c r="CK751" s="40"/>
      <c r="CL751" s="5"/>
      <c r="CN751" s="40"/>
      <c r="CO751" s="5"/>
      <c r="CQ751" s="40"/>
      <c r="CR751" s="5"/>
    </row>
    <row r="752">
      <c r="AO752" s="40"/>
      <c r="AP752" s="5"/>
      <c r="AR752" s="40"/>
      <c r="AS752" s="5"/>
      <c r="AU752" s="40"/>
      <c r="AV752" s="5"/>
      <c r="AX752" s="40"/>
      <c r="AY752" s="5"/>
      <c r="BA752" s="40"/>
      <c r="BB752" s="5"/>
      <c r="BD752" s="40"/>
      <c r="BE752" s="5"/>
      <c r="BG752" s="40"/>
      <c r="BH752" s="5"/>
      <c r="BJ752" s="40"/>
      <c r="BK752" s="5"/>
      <c r="BM752" s="40"/>
      <c r="BN752" s="5"/>
      <c r="BP752" s="40"/>
      <c r="BQ752" s="5"/>
      <c r="BS752" s="40"/>
      <c r="BT752" s="5"/>
      <c r="BV752" s="40"/>
      <c r="BW752" s="5"/>
      <c r="BY752" s="40"/>
      <c r="BZ752" s="5"/>
      <c r="CB752" s="40"/>
      <c r="CC752" s="5"/>
      <c r="CE752" s="40"/>
      <c r="CF752" s="5"/>
      <c r="CH752" s="40"/>
      <c r="CI752" s="5"/>
      <c r="CK752" s="40"/>
      <c r="CL752" s="5"/>
      <c r="CN752" s="40"/>
      <c r="CO752" s="5"/>
      <c r="CQ752" s="40"/>
      <c r="CR752" s="5"/>
    </row>
    <row r="753">
      <c r="AO753" s="40"/>
      <c r="AP753" s="5"/>
      <c r="AR753" s="40"/>
      <c r="AS753" s="5"/>
      <c r="AU753" s="40"/>
      <c r="AV753" s="5"/>
      <c r="AX753" s="40"/>
      <c r="AY753" s="5"/>
      <c r="BA753" s="40"/>
      <c r="BB753" s="5"/>
      <c r="BD753" s="40"/>
      <c r="BE753" s="5"/>
      <c r="BG753" s="40"/>
      <c r="BH753" s="5"/>
      <c r="BJ753" s="40"/>
      <c r="BK753" s="5"/>
      <c r="BM753" s="40"/>
      <c r="BN753" s="5"/>
      <c r="BP753" s="40"/>
      <c r="BQ753" s="5"/>
      <c r="BS753" s="40"/>
      <c r="BT753" s="5"/>
      <c r="BV753" s="40"/>
      <c r="BW753" s="5"/>
      <c r="BY753" s="40"/>
      <c r="BZ753" s="5"/>
      <c r="CB753" s="40"/>
      <c r="CC753" s="5"/>
      <c r="CE753" s="40"/>
      <c r="CF753" s="5"/>
      <c r="CH753" s="40"/>
      <c r="CI753" s="5"/>
      <c r="CK753" s="40"/>
      <c r="CL753" s="5"/>
      <c r="CN753" s="40"/>
      <c r="CO753" s="5"/>
      <c r="CQ753" s="40"/>
      <c r="CR753" s="5"/>
    </row>
    <row r="754">
      <c r="AO754" s="40"/>
      <c r="AP754" s="5"/>
      <c r="AR754" s="40"/>
      <c r="AS754" s="5"/>
      <c r="AU754" s="40"/>
      <c r="AV754" s="5"/>
      <c r="AX754" s="40"/>
      <c r="AY754" s="5"/>
      <c r="BA754" s="40"/>
      <c r="BB754" s="5"/>
      <c r="BD754" s="40"/>
      <c r="BE754" s="5"/>
      <c r="BG754" s="40"/>
      <c r="BH754" s="5"/>
      <c r="BJ754" s="40"/>
      <c r="BK754" s="5"/>
      <c r="BM754" s="40"/>
      <c r="BN754" s="5"/>
      <c r="BP754" s="40"/>
      <c r="BQ754" s="5"/>
      <c r="BS754" s="40"/>
      <c r="BT754" s="5"/>
      <c r="BV754" s="40"/>
      <c r="BW754" s="5"/>
      <c r="BY754" s="40"/>
      <c r="BZ754" s="5"/>
      <c r="CB754" s="40"/>
      <c r="CC754" s="5"/>
      <c r="CE754" s="40"/>
      <c r="CF754" s="5"/>
      <c r="CH754" s="40"/>
      <c r="CI754" s="5"/>
      <c r="CK754" s="40"/>
      <c r="CL754" s="5"/>
      <c r="CN754" s="40"/>
      <c r="CO754" s="5"/>
      <c r="CQ754" s="40"/>
      <c r="CR754" s="5"/>
    </row>
    <row r="755">
      <c r="AO755" s="40"/>
      <c r="AP755" s="5"/>
      <c r="AR755" s="40"/>
      <c r="AS755" s="5"/>
      <c r="AU755" s="40"/>
      <c r="AV755" s="5"/>
      <c r="AX755" s="40"/>
      <c r="AY755" s="5"/>
      <c r="BA755" s="40"/>
      <c r="BB755" s="5"/>
      <c r="BD755" s="40"/>
      <c r="BE755" s="5"/>
      <c r="BG755" s="40"/>
      <c r="BH755" s="5"/>
      <c r="BJ755" s="40"/>
      <c r="BK755" s="5"/>
      <c r="BM755" s="40"/>
      <c r="BN755" s="5"/>
      <c r="BP755" s="40"/>
      <c r="BQ755" s="5"/>
      <c r="BS755" s="40"/>
      <c r="BT755" s="5"/>
      <c r="BV755" s="40"/>
      <c r="BW755" s="5"/>
      <c r="BY755" s="40"/>
      <c r="BZ755" s="5"/>
      <c r="CB755" s="40"/>
      <c r="CC755" s="5"/>
      <c r="CE755" s="40"/>
      <c r="CF755" s="5"/>
      <c r="CH755" s="40"/>
      <c r="CI755" s="5"/>
      <c r="CK755" s="40"/>
      <c r="CL755" s="5"/>
      <c r="CN755" s="40"/>
      <c r="CO755" s="5"/>
      <c r="CQ755" s="40"/>
      <c r="CR755" s="5"/>
    </row>
    <row r="756">
      <c r="AO756" s="40"/>
      <c r="AP756" s="5"/>
      <c r="AR756" s="40"/>
      <c r="AS756" s="5"/>
      <c r="AU756" s="40"/>
      <c r="AV756" s="5"/>
      <c r="AX756" s="40"/>
      <c r="AY756" s="5"/>
      <c r="BA756" s="40"/>
      <c r="BB756" s="5"/>
      <c r="BD756" s="40"/>
      <c r="BE756" s="5"/>
      <c r="BG756" s="40"/>
      <c r="BH756" s="5"/>
      <c r="BJ756" s="40"/>
      <c r="BK756" s="5"/>
      <c r="BM756" s="40"/>
      <c r="BN756" s="5"/>
      <c r="BP756" s="40"/>
      <c r="BQ756" s="5"/>
      <c r="BS756" s="40"/>
      <c r="BT756" s="5"/>
      <c r="BV756" s="40"/>
      <c r="BW756" s="5"/>
      <c r="BY756" s="40"/>
      <c r="BZ756" s="5"/>
      <c r="CB756" s="40"/>
      <c r="CC756" s="5"/>
      <c r="CE756" s="40"/>
      <c r="CF756" s="5"/>
      <c r="CH756" s="40"/>
      <c r="CI756" s="5"/>
      <c r="CK756" s="40"/>
      <c r="CL756" s="5"/>
      <c r="CN756" s="40"/>
      <c r="CO756" s="5"/>
      <c r="CQ756" s="40"/>
      <c r="CR756" s="5"/>
    </row>
    <row r="757">
      <c r="AO757" s="40"/>
      <c r="AP757" s="5"/>
      <c r="AR757" s="40"/>
      <c r="AS757" s="5"/>
      <c r="AU757" s="40"/>
      <c r="AV757" s="5"/>
      <c r="AX757" s="40"/>
      <c r="AY757" s="5"/>
      <c r="BA757" s="40"/>
      <c r="BB757" s="5"/>
      <c r="BD757" s="40"/>
      <c r="BE757" s="5"/>
      <c r="BG757" s="40"/>
      <c r="BH757" s="5"/>
      <c r="BJ757" s="40"/>
      <c r="BK757" s="5"/>
      <c r="BM757" s="40"/>
      <c r="BN757" s="5"/>
      <c r="BP757" s="40"/>
      <c r="BQ757" s="5"/>
      <c r="BS757" s="40"/>
      <c r="BT757" s="5"/>
      <c r="BV757" s="40"/>
      <c r="BW757" s="5"/>
      <c r="BY757" s="40"/>
      <c r="BZ757" s="5"/>
      <c r="CB757" s="40"/>
      <c r="CC757" s="5"/>
      <c r="CE757" s="40"/>
      <c r="CF757" s="5"/>
      <c r="CH757" s="40"/>
      <c r="CI757" s="5"/>
      <c r="CK757" s="40"/>
      <c r="CL757" s="5"/>
      <c r="CN757" s="40"/>
      <c r="CO757" s="5"/>
      <c r="CQ757" s="40"/>
      <c r="CR757" s="5"/>
    </row>
    <row r="758">
      <c r="AO758" s="40"/>
      <c r="AP758" s="5"/>
      <c r="AR758" s="40"/>
      <c r="AS758" s="5"/>
      <c r="AU758" s="40"/>
      <c r="AV758" s="5"/>
      <c r="AX758" s="40"/>
      <c r="AY758" s="5"/>
      <c r="BA758" s="40"/>
      <c r="BB758" s="5"/>
      <c r="BD758" s="40"/>
      <c r="BE758" s="5"/>
      <c r="BG758" s="40"/>
      <c r="BH758" s="5"/>
      <c r="BJ758" s="40"/>
      <c r="BK758" s="5"/>
      <c r="BM758" s="40"/>
      <c r="BN758" s="5"/>
      <c r="BP758" s="40"/>
      <c r="BQ758" s="5"/>
      <c r="BS758" s="40"/>
      <c r="BT758" s="5"/>
      <c r="BV758" s="40"/>
      <c r="BW758" s="5"/>
      <c r="BY758" s="40"/>
      <c r="BZ758" s="5"/>
      <c r="CB758" s="40"/>
      <c r="CC758" s="5"/>
      <c r="CE758" s="40"/>
      <c r="CF758" s="5"/>
      <c r="CH758" s="40"/>
      <c r="CI758" s="5"/>
      <c r="CK758" s="40"/>
      <c r="CL758" s="5"/>
      <c r="CN758" s="40"/>
      <c r="CO758" s="5"/>
      <c r="CQ758" s="40"/>
      <c r="CR758" s="5"/>
    </row>
    <row r="759">
      <c r="AO759" s="40"/>
      <c r="AP759" s="5"/>
      <c r="AR759" s="40"/>
      <c r="AS759" s="5"/>
      <c r="AU759" s="40"/>
      <c r="AV759" s="5"/>
      <c r="AX759" s="40"/>
      <c r="AY759" s="5"/>
      <c r="BA759" s="40"/>
      <c r="BB759" s="5"/>
      <c r="BD759" s="40"/>
      <c r="BE759" s="5"/>
      <c r="BG759" s="40"/>
      <c r="BH759" s="5"/>
      <c r="BJ759" s="40"/>
      <c r="BK759" s="5"/>
      <c r="BM759" s="40"/>
      <c r="BN759" s="5"/>
      <c r="BP759" s="40"/>
      <c r="BQ759" s="5"/>
      <c r="BS759" s="40"/>
      <c r="BT759" s="5"/>
      <c r="BV759" s="40"/>
      <c r="BW759" s="5"/>
      <c r="BY759" s="40"/>
      <c r="BZ759" s="5"/>
      <c r="CB759" s="40"/>
      <c r="CC759" s="5"/>
      <c r="CE759" s="40"/>
      <c r="CF759" s="5"/>
      <c r="CH759" s="40"/>
      <c r="CI759" s="5"/>
      <c r="CK759" s="40"/>
      <c r="CL759" s="5"/>
      <c r="CN759" s="40"/>
      <c r="CO759" s="5"/>
      <c r="CQ759" s="40"/>
      <c r="CR759" s="5"/>
    </row>
    <row r="760">
      <c r="AO760" s="40"/>
      <c r="AP760" s="5"/>
      <c r="AR760" s="40"/>
      <c r="AS760" s="5"/>
      <c r="AU760" s="40"/>
      <c r="AV760" s="5"/>
      <c r="AX760" s="40"/>
      <c r="AY760" s="5"/>
      <c r="BA760" s="40"/>
      <c r="BB760" s="5"/>
      <c r="BD760" s="40"/>
      <c r="BE760" s="5"/>
      <c r="BG760" s="40"/>
      <c r="BH760" s="5"/>
      <c r="BJ760" s="40"/>
      <c r="BK760" s="5"/>
      <c r="BM760" s="40"/>
      <c r="BN760" s="5"/>
      <c r="BP760" s="40"/>
      <c r="BQ760" s="5"/>
      <c r="BS760" s="40"/>
      <c r="BT760" s="5"/>
      <c r="BV760" s="40"/>
      <c r="BW760" s="5"/>
      <c r="BY760" s="40"/>
      <c r="BZ760" s="5"/>
      <c r="CB760" s="40"/>
      <c r="CC760" s="5"/>
      <c r="CE760" s="40"/>
      <c r="CF760" s="5"/>
      <c r="CH760" s="40"/>
      <c r="CI760" s="5"/>
      <c r="CK760" s="40"/>
      <c r="CL760" s="5"/>
      <c r="CN760" s="40"/>
      <c r="CO760" s="5"/>
      <c r="CQ760" s="40"/>
      <c r="CR760" s="5"/>
    </row>
    <row r="761">
      <c r="AO761" s="40"/>
      <c r="AP761" s="5"/>
      <c r="AR761" s="40"/>
      <c r="AS761" s="5"/>
      <c r="AU761" s="40"/>
      <c r="AV761" s="5"/>
      <c r="AX761" s="40"/>
      <c r="AY761" s="5"/>
      <c r="BA761" s="40"/>
      <c r="BB761" s="5"/>
      <c r="BD761" s="40"/>
      <c r="BE761" s="5"/>
      <c r="BG761" s="40"/>
      <c r="BH761" s="5"/>
      <c r="BJ761" s="40"/>
      <c r="BK761" s="5"/>
      <c r="BM761" s="40"/>
      <c r="BN761" s="5"/>
      <c r="BP761" s="40"/>
      <c r="BQ761" s="5"/>
      <c r="BS761" s="40"/>
      <c r="BT761" s="5"/>
      <c r="BV761" s="40"/>
      <c r="BW761" s="5"/>
      <c r="BY761" s="40"/>
      <c r="BZ761" s="5"/>
      <c r="CB761" s="40"/>
      <c r="CC761" s="5"/>
      <c r="CE761" s="40"/>
      <c r="CF761" s="5"/>
      <c r="CH761" s="40"/>
      <c r="CI761" s="5"/>
      <c r="CK761" s="40"/>
      <c r="CL761" s="5"/>
      <c r="CN761" s="40"/>
      <c r="CO761" s="5"/>
      <c r="CQ761" s="40"/>
      <c r="CR761" s="5"/>
    </row>
    <row r="762">
      <c r="AO762" s="40"/>
      <c r="AP762" s="5"/>
      <c r="AR762" s="40"/>
      <c r="AS762" s="5"/>
      <c r="AU762" s="40"/>
      <c r="AV762" s="5"/>
      <c r="AX762" s="40"/>
      <c r="AY762" s="5"/>
      <c r="BA762" s="40"/>
      <c r="BB762" s="5"/>
      <c r="BD762" s="40"/>
      <c r="BE762" s="5"/>
      <c r="BG762" s="40"/>
      <c r="BH762" s="5"/>
      <c r="BJ762" s="40"/>
      <c r="BK762" s="5"/>
      <c r="BM762" s="40"/>
      <c r="BN762" s="5"/>
      <c r="BP762" s="40"/>
      <c r="BQ762" s="5"/>
      <c r="BS762" s="40"/>
      <c r="BT762" s="5"/>
      <c r="BV762" s="40"/>
      <c r="BW762" s="5"/>
      <c r="BY762" s="40"/>
      <c r="BZ762" s="5"/>
      <c r="CB762" s="40"/>
      <c r="CC762" s="5"/>
      <c r="CE762" s="40"/>
      <c r="CF762" s="5"/>
      <c r="CH762" s="40"/>
      <c r="CI762" s="5"/>
      <c r="CK762" s="40"/>
      <c r="CL762" s="5"/>
      <c r="CN762" s="40"/>
      <c r="CO762" s="5"/>
      <c r="CQ762" s="40"/>
      <c r="CR762" s="5"/>
    </row>
    <row r="763">
      <c r="AO763" s="40"/>
      <c r="AP763" s="5"/>
      <c r="AR763" s="40"/>
      <c r="AS763" s="5"/>
      <c r="AU763" s="40"/>
      <c r="AV763" s="5"/>
      <c r="AX763" s="40"/>
      <c r="AY763" s="5"/>
      <c r="BA763" s="40"/>
      <c r="BB763" s="5"/>
      <c r="BD763" s="40"/>
      <c r="BE763" s="5"/>
      <c r="BG763" s="40"/>
      <c r="BH763" s="5"/>
      <c r="BJ763" s="40"/>
      <c r="BK763" s="5"/>
      <c r="BM763" s="40"/>
      <c r="BN763" s="5"/>
      <c r="BP763" s="40"/>
      <c r="BQ763" s="5"/>
      <c r="BS763" s="40"/>
      <c r="BT763" s="5"/>
      <c r="BV763" s="40"/>
      <c r="BW763" s="5"/>
      <c r="BY763" s="40"/>
      <c r="BZ763" s="5"/>
      <c r="CB763" s="40"/>
      <c r="CC763" s="5"/>
      <c r="CE763" s="40"/>
      <c r="CF763" s="5"/>
      <c r="CH763" s="40"/>
      <c r="CI763" s="5"/>
      <c r="CK763" s="40"/>
      <c r="CL763" s="5"/>
      <c r="CN763" s="40"/>
      <c r="CO763" s="5"/>
      <c r="CQ763" s="40"/>
      <c r="CR763" s="5"/>
    </row>
    <row r="764">
      <c r="AO764" s="40"/>
      <c r="AP764" s="5"/>
      <c r="AR764" s="40"/>
      <c r="AS764" s="5"/>
      <c r="AU764" s="40"/>
      <c r="AV764" s="5"/>
      <c r="AX764" s="40"/>
      <c r="AY764" s="5"/>
      <c r="BA764" s="40"/>
      <c r="BB764" s="5"/>
      <c r="BD764" s="40"/>
      <c r="BE764" s="5"/>
      <c r="BG764" s="40"/>
      <c r="BH764" s="5"/>
      <c r="BJ764" s="40"/>
      <c r="BK764" s="5"/>
      <c r="BM764" s="40"/>
      <c r="BN764" s="5"/>
      <c r="BP764" s="40"/>
      <c r="BQ764" s="5"/>
      <c r="BS764" s="40"/>
      <c r="BT764" s="5"/>
      <c r="BV764" s="40"/>
      <c r="BW764" s="5"/>
      <c r="BY764" s="40"/>
      <c r="BZ764" s="5"/>
      <c r="CB764" s="40"/>
      <c r="CC764" s="5"/>
      <c r="CE764" s="40"/>
      <c r="CF764" s="5"/>
      <c r="CH764" s="40"/>
      <c r="CI764" s="5"/>
      <c r="CK764" s="40"/>
      <c r="CL764" s="5"/>
      <c r="CN764" s="40"/>
      <c r="CO764" s="5"/>
      <c r="CQ764" s="40"/>
      <c r="CR764" s="5"/>
    </row>
    <row r="765">
      <c r="AO765" s="40"/>
      <c r="AP765" s="5"/>
      <c r="AR765" s="40"/>
      <c r="AS765" s="5"/>
      <c r="AU765" s="40"/>
      <c r="AV765" s="5"/>
      <c r="AX765" s="40"/>
      <c r="AY765" s="5"/>
      <c r="BA765" s="40"/>
      <c r="BB765" s="5"/>
      <c r="BD765" s="40"/>
      <c r="BE765" s="5"/>
      <c r="BG765" s="40"/>
      <c r="BH765" s="5"/>
      <c r="BJ765" s="40"/>
      <c r="BK765" s="5"/>
      <c r="BM765" s="40"/>
      <c r="BN765" s="5"/>
      <c r="BP765" s="40"/>
      <c r="BQ765" s="5"/>
      <c r="BS765" s="40"/>
      <c r="BT765" s="5"/>
      <c r="BV765" s="40"/>
      <c r="BW765" s="5"/>
      <c r="BY765" s="40"/>
      <c r="BZ765" s="5"/>
      <c r="CB765" s="40"/>
      <c r="CC765" s="5"/>
      <c r="CE765" s="40"/>
      <c r="CF765" s="5"/>
      <c r="CH765" s="40"/>
      <c r="CI765" s="5"/>
      <c r="CK765" s="40"/>
      <c r="CL765" s="5"/>
      <c r="CN765" s="40"/>
      <c r="CO765" s="5"/>
      <c r="CQ765" s="40"/>
      <c r="CR765" s="5"/>
    </row>
    <row r="766">
      <c r="AO766" s="40"/>
      <c r="AP766" s="5"/>
      <c r="AR766" s="40"/>
      <c r="AS766" s="5"/>
      <c r="AU766" s="40"/>
      <c r="AV766" s="5"/>
      <c r="AX766" s="40"/>
      <c r="AY766" s="5"/>
      <c r="BA766" s="40"/>
      <c r="BB766" s="5"/>
      <c r="BD766" s="40"/>
      <c r="BE766" s="5"/>
      <c r="BG766" s="40"/>
      <c r="BH766" s="5"/>
      <c r="BJ766" s="40"/>
      <c r="BK766" s="5"/>
      <c r="BM766" s="40"/>
      <c r="BN766" s="5"/>
      <c r="BP766" s="40"/>
      <c r="BQ766" s="5"/>
      <c r="BS766" s="40"/>
      <c r="BT766" s="5"/>
      <c r="BV766" s="40"/>
      <c r="BW766" s="5"/>
      <c r="BY766" s="40"/>
      <c r="BZ766" s="5"/>
      <c r="CB766" s="40"/>
      <c r="CC766" s="5"/>
      <c r="CE766" s="40"/>
      <c r="CF766" s="5"/>
      <c r="CH766" s="40"/>
      <c r="CI766" s="5"/>
      <c r="CK766" s="40"/>
      <c r="CL766" s="5"/>
      <c r="CN766" s="40"/>
      <c r="CO766" s="5"/>
      <c r="CQ766" s="40"/>
      <c r="CR766" s="5"/>
    </row>
    <row r="767">
      <c r="AO767" s="40"/>
      <c r="AP767" s="5"/>
      <c r="AR767" s="40"/>
      <c r="AS767" s="5"/>
      <c r="AU767" s="40"/>
      <c r="AV767" s="5"/>
      <c r="AX767" s="40"/>
      <c r="AY767" s="5"/>
      <c r="BA767" s="40"/>
      <c r="BB767" s="5"/>
      <c r="BD767" s="40"/>
      <c r="BE767" s="5"/>
      <c r="BG767" s="40"/>
      <c r="BH767" s="5"/>
      <c r="BJ767" s="40"/>
      <c r="BK767" s="5"/>
      <c r="BM767" s="40"/>
      <c r="BN767" s="5"/>
      <c r="BP767" s="40"/>
      <c r="BQ767" s="5"/>
      <c r="BS767" s="40"/>
      <c r="BT767" s="5"/>
      <c r="BV767" s="40"/>
      <c r="BW767" s="5"/>
      <c r="BY767" s="40"/>
      <c r="BZ767" s="5"/>
      <c r="CB767" s="40"/>
      <c r="CC767" s="5"/>
      <c r="CE767" s="40"/>
      <c r="CF767" s="5"/>
      <c r="CH767" s="40"/>
      <c r="CI767" s="5"/>
      <c r="CK767" s="40"/>
      <c r="CL767" s="5"/>
      <c r="CN767" s="40"/>
      <c r="CO767" s="5"/>
      <c r="CQ767" s="40"/>
      <c r="CR767" s="5"/>
    </row>
    <row r="768">
      <c r="AO768" s="40"/>
      <c r="AP768" s="5"/>
      <c r="AR768" s="40"/>
      <c r="AS768" s="5"/>
      <c r="AU768" s="40"/>
      <c r="AV768" s="5"/>
      <c r="AX768" s="40"/>
      <c r="AY768" s="5"/>
      <c r="BA768" s="40"/>
      <c r="BB768" s="5"/>
      <c r="BD768" s="40"/>
      <c r="BE768" s="5"/>
      <c r="BG768" s="40"/>
      <c r="BH768" s="5"/>
      <c r="BJ768" s="40"/>
      <c r="BK768" s="5"/>
      <c r="BM768" s="40"/>
      <c r="BN768" s="5"/>
      <c r="BP768" s="40"/>
      <c r="BQ768" s="5"/>
      <c r="BS768" s="40"/>
      <c r="BT768" s="5"/>
      <c r="BV768" s="40"/>
      <c r="BW768" s="5"/>
      <c r="BY768" s="40"/>
      <c r="BZ768" s="5"/>
      <c r="CB768" s="40"/>
      <c r="CC768" s="5"/>
      <c r="CE768" s="40"/>
      <c r="CF768" s="5"/>
      <c r="CH768" s="40"/>
      <c r="CI768" s="5"/>
      <c r="CK768" s="40"/>
      <c r="CL768" s="5"/>
      <c r="CN768" s="40"/>
      <c r="CO768" s="5"/>
      <c r="CQ768" s="40"/>
      <c r="CR768" s="5"/>
    </row>
    <row r="769">
      <c r="AO769" s="40"/>
      <c r="AP769" s="5"/>
      <c r="AR769" s="40"/>
      <c r="AS769" s="5"/>
      <c r="AU769" s="40"/>
      <c r="AV769" s="5"/>
      <c r="AX769" s="40"/>
      <c r="AY769" s="5"/>
      <c r="BA769" s="40"/>
      <c r="BB769" s="5"/>
      <c r="BD769" s="40"/>
      <c r="BE769" s="5"/>
      <c r="BG769" s="40"/>
      <c r="BH769" s="5"/>
      <c r="BJ769" s="40"/>
      <c r="BK769" s="5"/>
      <c r="BM769" s="40"/>
      <c r="BN769" s="5"/>
      <c r="BP769" s="40"/>
      <c r="BQ769" s="5"/>
      <c r="BS769" s="40"/>
      <c r="BT769" s="5"/>
      <c r="BV769" s="40"/>
      <c r="BW769" s="5"/>
      <c r="BY769" s="40"/>
      <c r="BZ769" s="5"/>
      <c r="CB769" s="40"/>
      <c r="CC769" s="5"/>
      <c r="CE769" s="40"/>
      <c r="CF769" s="5"/>
      <c r="CH769" s="40"/>
      <c r="CI769" s="5"/>
      <c r="CK769" s="40"/>
      <c r="CL769" s="5"/>
      <c r="CN769" s="40"/>
      <c r="CO769" s="5"/>
      <c r="CQ769" s="40"/>
      <c r="CR769" s="5"/>
    </row>
    <row r="770">
      <c r="AO770" s="40"/>
      <c r="AP770" s="5"/>
      <c r="AR770" s="40"/>
      <c r="AS770" s="5"/>
      <c r="AU770" s="40"/>
      <c r="AV770" s="5"/>
      <c r="AX770" s="40"/>
      <c r="AY770" s="5"/>
      <c r="BA770" s="40"/>
      <c r="BB770" s="5"/>
      <c r="BD770" s="40"/>
      <c r="BE770" s="5"/>
      <c r="BG770" s="40"/>
      <c r="BH770" s="5"/>
      <c r="BJ770" s="40"/>
      <c r="BK770" s="5"/>
      <c r="BM770" s="40"/>
      <c r="BN770" s="5"/>
      <c r="BP770" s="40"/>
      <c r="BQ770" s="5"/>
      <c r="BS770" s="40"/>
      <c r="BT770" s="5"/>
      <c r="BV770" s="40"/>
      <c r="BW770" s="5"/>
      <c r="BY770" s="40"/>
      <c r="BZ770" s="5"/>
      <c r="CB770" s="40"/>
      <c r="CC770" s="5"/>
      <c r="CE770" s="40"/>
      <c r="CF770" s="5"/>
      <c r="CH770" s="40"/>
      <c r="CI770" s="5"/>
      <c r="CK770" s="40"/>
      <c r="CL770" s="5"/>
      <c r="CN770" s="40"/>
      <c r="CO770" s="5"/>
      <c r="CQ770" s="40"/>
      <c r="CR770" s="5"/>
    </row>
    <row r="771">
      <c r="AO771" s="40"/>
      <c r="AP771" s="5"/>
      <c r="AR771" s="40"/>
      <c r="AS771" s="5"/>
      <c r="AU771" s="40"/>
      <c r="AV771" s="5"/>
      <c r="AX771" s="40"/>
      <c r="AY771" s="5"/>
      <c r="BA771" s="40"/>
      <c r="BB771" s="5"/>
      <c r="BD771" s="40"/>
      <c r="BE771" s="5"/>
      <c r="BG771" s="40"/>
      <c r="BH771" s="5"/>
      <c r="BJ771" s="40"/>
      <c r="BK771" s="5"/>
      <c r="BM771" s="40"/>
      <c r="BN771" s="5"/>
      <c r="BP771" s="40"/>
      <c r="BQ771" s="5"/>
      <c r="BS771" s="40"/>
      <c r="BT771" s="5"/>
      <c r="BV771" s="40"/>
      <c r="BW771" s="5"/>
      <c r="BY771" s="40"/>
      <c r="BZ771" s="5"/>
      <c r="CB771" s="40"/>
      <c r="CC771" s="5"/>
      <c r="CE771" s="40"/>
      <c r="CF771" s="5"/>
      <c r="CH771" s="40"/>
      <c r="CI771" s="5"/>
      <c r="CK771" s="40"/>
      <c r="CL771" s="5"/>
      <c r="CN771" s="40"/>
      <c r="CO771" s="5"/>
      <c r="CQ771" s="40"/>
      <c r="CR771" s="5"/>
    </row>
    <row r="772">
      <c r="AO772" s="40"/>
      <c r="AP772" s="5"/>
      <c r="AR772" s="40"/>
      <c r="AS772" s="5"/>
      <c r="AU772" s="40"/>
      <c r="AV772" s="5"/>
      <c r="AX772" s="40"/>
      <c r="AY772" s="5"/>
      <c r="BA772" s="40"/>
      <c r="BB772" s="5"/>
      <c r="BD772" s="40"/>
      <c r="BE772" s="5"/>
      <c r="BG772" s="40"/>
      <c r="BH772" s="5"/>
      <c r="BJ772" s="40"/>
      <c r="BK772" s="5"/>
      <c r="BM772" s="40"/>
      <c r="BN772" s="5"/>
      <c r="BP772" s="40"/>
      <c r="BQ772" s="5"/>
      <c r="BS772" s="40"/>
      <c r="BT772" s="5"/>
      <c r="BV772" s="40"/>
      <c r="BW772" s="5"/>
      <c r="BY772" s="40"/>
      <c r="BZ772" s="5"/>
      <c r="CB772" s="40"/>
      <c r="CC772" s="5"/>
      <c r="CE772" s="40"/>
      <c r="CF772" s="5"/>
      <c r="CH772" s="40"/>
      <c r="CI772" s="5"/>
      <c r="CK772" s="40"/>
      <c r="CL772" s="5"/>
      <c r="CN772" s="40"/>
      <c r="CO772" s="5"/>
      <c r="CQ772" s="40"/>
      <c r="CR772" s="5"/>
    </row>
    <row r="773">
      <c r="AO773" s="40"/>
      <c r="AP773" s="5"/>
      <c r="AR773" s="40"/>
      <c r="AS773" s="5"/>
      <c r="AU773" s="40"/>
      <c r="AV773" s="5"/>
      <c r="AX773" s="40"/>
      <c r="AY773" s="5"/>
      <c r="BA773" s="40"/>
      <c r="BB773" s="5"/>
      <c r="BD773" s="40"/>
      <c r="BE773" s="5"/>
      <c r="BG773" s="40"/>
      <c r="BH773" s="5"/>
      <c r="BJ773" s="40"/>
      <c r="BK773" s="5"/>
      <c r="BM773" s="40"/>
      <c r="BN773" s="5"/>
      <c r="BP773" s="40"/>
      <c r="BQ773" s="5"/>
      <c r="BS773" s="40"/>
      <c r="BT773" s="5"/>
      <c r="BV773" s="40"/>
      <c r="BW773" s="5"/>
      <c r="BY773" s="40"/>
      <c r="BZ773" s="5"/>
      <c r="CB773" s="40"/>
      <c r="CC773" s="5"/>
      <c r="CE773" s="40"/>
      <c r="CF773" s="5"/>
      <c r="CH773" s="40"/>
      <c r="CI773" s="5"/>
      <c r="CK773" s="40"/>
      <c r="CL773" s="5"/>
      <c r="CN773" s="40"/>
      <c r="CO773" s="5"/>
      <c r="CQ773" s="40"/>
      <c r="CR773" s="5"/>
    </row>
    <row r="774">
      <c r="AO774" s="40"/>
      <c r="AP774" s="5"/>
      <c r="AR774" s="40"/>
      <c r="AS774" s="5"/>
      <c r="AU774" s="40"/>
      <c r="AV774" s="5"/>
      <c r="AX774" s="40"/>
      <c r="AY774" s="5"/>
      <c r="BA774" s="40"/>
      <c r="BB774" s="5"/>
      <c r="BD774" s="40"/>
      <c r="BE774" s="5"/>
      <c r="BG774" s="40"/>
      <c r="BH774" s="5"/>
      <c r="BJ774" s="40"/>
      <c r="BK774" s="5"/>
      <c r="BM774" s="40"/>
      <c r="BN774" s="5"/>
      <c r="BP774" s="40"/>
      <c r="BQ774" s="5"/>
      <c r="BS774" s="40"/>
      <c r="BT774" s="5"/>
      <c r="BV774" s="40"/>
      <c r="BW774" s="5"/>
      <c r="BY774" s="40"/>
      <c r="BZ774" s="5"/>
      <c r="CB774" s="40"/>
      <c r="CC774" s="5"/>
      <c r="CE774" s="40"/>
      <c r="CF774" s="5"/>
      <c r="CH774" s="40"/>
      <c r="CI774" s="5"/>
      <c r="CK774" s="40"/>
      <c r="CL774" s="5"/>
      <c r="CN774" s="40"/>
      <c r="CO774" s="5"/>
      <c r="CQ774" s="40"/>
      <c r="CR774" s="5"/>
    </row>
    <row r="775">
      <c r="AO775" s="40"/>
      <c r="AP775" s="5"/>
      <c r="AR775" s="40"/>
      <c r="AS775" s="5"/>
      <c r="AU775" s="40"/>
      <c r="AV775" s="5"/>
      <c r="AX775" s="40"/>
      <c r="AY775" s="5"/>
      <c r="BA775" s="40"/>
      <c r="BB775" s="5"/>
      <c r="BD775" s="40"/>
      <c r="BE775" s="5"/>
      <c r="BG775" s="40"/>
      <c r="BH775" s="5"/>
      <c r="BJ775" s="40"/>
      <c r="BK775" s="5"/>
      <c r="BM775" s="40"/>
      <c r="BN775" s="5"/>
      <c r="BP775" s="40"/>
      <c r="BQ775" s="5"/>
      <c r="BS775" s="40"/>
      <c r="BT775" s="5"/>
      <c r="BV775" s="40"/>
      <c r="BW775" s="5"/>
      <c r="BY775" s="40"/>
      <c r="BZ775" s="5"/>
      <c r="CB775" s="40"/>
      <c r="CC775" s="5"/>
      <c r="CE775" s="40"/>
      <c r="CF775" s="5"/>
      <c r="CH775" s="40"/>
      <c r="CI775" s="5"/>
      <c r="CK775" s="40"/>
      <c r="CL775" s="5"/>
      <c r="CN775" s="40"/>
      <c r="CO775" s="5"/>
      <c r="CQ775" s="40"/>
      <c r="CR775" s="5"/>
    </row>
    <row r="776">
      <c r="AO776" s="40"/>
      <c r="AP776" s="5"/>
      <c r="AR776" s="40"/>
      <c r="AS776" s="5"/>
      <c r="AU776" s="40"/>
      <c r="AV776" s="5"/>
      <c r="AX776" s="40"/>
      <c r="AY776" s="5"/>
      <c r="BA776" s="40"/>
      <c r="BB776" s="5"/>
      <c r="BD776" s="40"/>
      <c r="BE776" s="5"/>
      <c r="BG776" s="40"/>
      <c r="BH776" s="5"/>
      <c r="BJ776" s="40"/>
      <c r="BK776" s="5"/>
      <c r="BM776" s="40"/>
      <c r="BN776" s="5"/>
      <c r="BP776" s="40"/>
      <c r="BQ776" s="5"/>
      <c r="BS776" s="40"/>
      <c r="BT776" s="5"/>
      <c r="BV776" s="40"/>
      <c r="BW776" s="5"/>
      <c r="BY776" s="40"/>
      <c r="BZ776" s="5"/>
      <c r="CB776" s="40"/>
      <c r="CC776" s="5"/>
      <c r="CE776" s="40"/>
      <c r="CF776" s="5"/>
      <c r="CH776" s="40"/>
      <c r="CI776" s="5"/>
      <c r="CK776" s="40"/>
      <c r="CL776" s="5"/>
      <c r="CN776" s="40"/>
      <c r="CO776" s="5"/>
      <c r="CQ776" s="40"/>
      <c r="CR776" s="5"/>
    </row>
    <row r="777">
      <c r="AO777" s="40"/>
      <c r="AP777" s="5"/>
      <c r="AR777" s="40"/>
      <c r="AS777" s="5"/>
      <c r="AU777" s="40"/>
      <c r="AV777" s="5"/>
      <c r="AX777" s="40"/>
      <c r="AY777" s="5"/>
      <c r="BA777" s="40"/>
      <c r="BB777" s="5"/>
      <c r="BD777" s="40"/>
      <c r="BE777" s="5"/>
      <c r="BG777" s="40"/>
      <c r="BH777" s="5"/>
      <c r="BJ777" s="40"/>
      <c r="BK777" s="5"/>
      <c r="BM777" s="40"/>
      <c r="BN777" s="5"/>
      <c r="BP777" s="40"/>
      <c r="BQ777" s="5"/>
      <c r="BS777" s="40"/>
      <c r="BT777" s="5"/>
      <c r="BV777" s="40"/>
      <c r="BW777" s="5"/>
      <c r="BY777" s="40"/>
      <c r="BZ777" s="5"/>
      <c r="CB777" s="40"/>
      <c r="CC777" s="5"/>
      <c r="CE777" s="40"/>
      <c r="CF777" s="5"/>
      <c r="CH777" s="40"/>
      <c r="CI777" s="5"/>
      <c r="CK777" s="40"/>
      <c r="CL777" s="5"/>
      <c r="CN777" s="40"/>
      <c r="CO777" s="5"/>
      <c r="CQ777" s="40"/>
      <c r="CR777" s="5"/>
    </row>
    <row r="778">
      <c r="AO778" s="40"/>
      <c r="AP778" s="5"/>
      <c r="AR778" s="40"/>
      <c r="AS778" s="5"/>
      <c r="AU778" s="40"/>
      <c r="AV778" s="5"/>
      <c r="AX778" s="40"/>
      <c r="AY778" s="5"/>
      <c r="BA778" s="40"/>
      <c r="BB778" s="5"/>
      <c r="BD778" s="40"/>
      <c r="BE778" s="5"/>
      <c r="BG778" s="40"/>
      <c r="BH778" s="5"/>
      <c r="BJ778" s="40"/>
      <c r="BK778" s="5"/>
      <c r="BM778" s="40"/>
      <c r="BN778" s="5"/>
      <c r="BP778" s="40"/>
      <c r="BQ778" s="5"/>
      <c r="BS778" s="40"/>
      <c r="BT778" s="5"/>
      <c r="BV778" s="40"/>
      <c r="BW778" s="5"/>
      <c r="BY778" s="40"/>
      <c r="BZ778" s="5"/>
      <c r="CB778" s="40"/>
      <c r="CC778" s="5"/>
      <c r="CE778" s="40"/>
      <c r="CF778" s="5"/>
      <c r="CH778" s="40"/>
      <c r="CI778" s="5"/>
      <c r="CK778" s="40"/>
      <c r="CL778" s="5"/>
      <c r="CN778" s="40"/>
      <c r="CO778" s="5"/>
      <c r="CQ778" s="40"/>
      <c r="CR778" s="5"/>
    </row>
    <row r="779">
      <c r="AO779" s="40"/>
      <c r="AP779" s="5"/>
      <c r="AR779" s="40"/>
      <c r="AS779" s="5"/>
      <c r="AU779" s="40"/>
      <c r="AV779" s="5"/>
      <c r="AX779" s="40"/>
      <c r="AY779" s="5"/>
      <c r="BA779" s="40"/>
      <c r="BB779" s="5"/>
      <c r="BD779" s="40"/>
      <c r="BE779" s="5"/>
      <c r="BG779" s="40"/>
      <c r="BH779" s="5"/>
      <c r="BJ779" s="40"/>
      <c r="BK779" s="5"/>
      <c r="BM779" s="40"/>
      <c r="BN779" s="5"/>
      <c r="BP779" s="40"/>
      <c r="BQ779" s="5"/>
      <c r="BS779" s="40"/>
      <c r="BT779" s="5"/>
      <c r="BV779" s="40"/>
      <c r="BW779" s="5"/>
      <c r="BY779" s="40"/>
      <c r="BZ779" s="5"/>
      <c r="CB779" s="40"/>
      <c r="CC779" s="5"/>
      <c r="CE779" s="40"/>
      <c r="CF779" s="5"/>
      <c r="CH779" s="40"/>
      <c r="CI779" s="5"/>
      <c r="CK779" s="40"/>
      <c r="CL779" s="5"/>
      <c r="CN779" s="40"/>
      <c r="CO779" s="5"/>
      <c r="CQ779" s="40"/>
      <c r="CR779" s="5"/>
    </row>
    <row r="780">
      <c r="AO780" s="40"/>
      <c r="AP780" s="5"/>
      <c r="AR780" s="40"/>
      <c r="AS780" s="5"/>
      <c r="AU780" s="40"/>
      <c r="AV780" s="5"/>
      <c r="AX780" s="40"/>
      <c r="AY780" s="5"/>
      <c r="BA780" s="40"/>
      <c r="BB780" s="5"/>
      <c r="BD780" s="40"/>
      <c r="BE780" s="5"/>
      <c r="BG780" s="40"/>
      <c r="BH780" s="5"/>
      <c r="BJ780" s="40"/>
      <c r="BK780" s="5"/>
      <c r="BM780" s="40"/>
      <c r="BN780" s="5"/>
      <c r="BP780" s="40"/>
      <c r="BQ780" s="5"/>
      <c r="BS780" s="40"/>
      <c r="BT780" s="5"/>
      <c r="BV780" s="40"/>
      <c r="BW780" s="5"/>
      <c r="BY780" s="40"/>
      <c r="BZ780" s="5"/>
      <c r="CB780" s="40"/>
      <c r="CC780" s="5"/>
      <c r="CE780" s="40"/>
      <c r="CF780" s="5"/>
      <c r="CH780" s="40"/>
      <c r="CI780" s="5"/>
      <c r="CK780" s="40"/>
      <c r="CL780" s="5"/>
      <c r="CN780" s="40"/>
      <c r="CO780" s="5"/>
      <c r="CQ780" s="40"/>
      <c r="CR780" s="5"/>
    </row>
    <row r="781">
      <c r="AO781" s="40"/>
      <c r="AP781" s="5"/>
      <c r="AR781" s="40"/>
      <c r="AS781" s="5"/>
      <c r="AU781" s="40"/>
      <c r="AV781" s="5"/>
      <c r="AX781" s="40"/>
      <c r="AY781" s="5"/>
      <c r="BA781" s="40"/>
      <c r="BB781" s="5"/>
      <c r="BD781" s="40"/>
      <c r="BE781" s="5"/>
      <c r="BG781" s="40"/>
      <c r="BH781" s="5"/>
      <c r="BJ781" s="40"/>
      <c r="BK781" s="5"/>
      <c r="BM781" s="40"/>
      <c r="BN781" s="5"/>
      <c r="BP781" s="40"/>
      <c r="BQ781" s="5"/>
      <c r="BS781" s="40"/>
      <c r="BT781" s="5"/>
      <c r="BV781" s="40"/>
      <c r="BW781" s="5"/>
      <c r="BY781" s="40"/>
      <c r="BZ781" s="5"/>
      <c r="CB781" s="40"/>
      <c r="CC781" s="5"/>
      <c r="CE781" s="40"/>
      <c r="CF781" s="5"/>
      <c r="CH781" s="40"/>
      <c r="CI781" s="5"/>
      <c r="CK781" s="40"/>
      <c r="CL781" s="5"/>
      <c r="CN781" s="40"/>
      <c r="CO781" s="5"/>
      <c r="CQ781" s="40"/>
      <c r="CR781" s="5"/>
    </row>
    <row r="782">
      <c r="AO782" s="40"/>
      <c r="AP782" s="5"/>
      <c r="AR782" s="40"/>
      <c r="AS782" s="5"/>
      <c r="AU782" s="40"/>
      <c r="AV782" s="5"/>
      <c r="AX782" s="40"/>
      <c r="AY782" s="5"/>
      <c r="BA782" s="40"/>
      <c r="BB782" s="5"/>
      <c r="BD782" s="40"/>
      <c r="BE782" s="5"/>
      <c r="BG782" s="40"/>
      <c r="BH782" s="5"/>
      <c r="BJ782" s="40"/>
      <c r="BK782" s="5"/>
      <c r="BM782" s="40"/>
      <c r="BN782" s="5"/>
      <c r="BP782" s="40"/>
      <c r="BQ782" s="5"/>
      <c r="BS782" s="40"/>
      <c r="BT782" s="5"/>
      <c r="BV782" s="40"/>
      <c r="BW782" s="5"/>
      <c r="BY782" s="40"/>
      <c r="BZ782" s="5"/>
      <c r="CB782" s="40"/>
      <c r="CC782" s="5"/>
      <c r="CE782" s="40"/>
      <c r="CF782" s="5"/>
      <c r="CH782" s="40"/>
      <c r="CI782" s="5"/>
      <c r="CK782" s="40"/>
      <c r="CL782" s="5"/>
      <c r="CN782" s="40"/>
      <c r="CO782" s="5"/>
      <c r="CQ782" s="40"/>
      <c r="CR782" s="5"/>
    </row>
    <row r="783">
      <c r="AO783" s="40"/>
      <c r="AP783" s="5"/>
      <c r="AR783" s="40"/>
      <c r="AS783" s="5"/>
      <c r="AU783" s="40"/>
      <c r="AV783" s="5"/>
      <c r="AX783" s="40"/>
      <c r="AY783" s="5"/>
      <c r="BA783" s="40"/>
      <c r="BB783" s="5"/>
      <c r="BD783" s="40"/>
      <c r="BE783" s="5"/>
      <c r="BG783" s="40"/>
      <c r="BH783" s="5"/>
      <c r="BJ783" s="40"/>
      <c r="BK783" s="5"/>
      <c r="BM783" s="40"/>
      <c r="BN783" s="5"/>
      <c r="BP783" s="40"/>
      <c r="BQ783" s="5"/>
      <c r="BS783" s="40"/>
      <c r="BT783" s="5"/>
      <c r="BV783" s="40"/>
      <c r="BW783" s="5"/>
      <c r="BY783" s="40"/>
      <c r="BZ783" s="5"/>
      <c r="CB783" s="40"/>
      <c r="CC783" s="5"/>
      <c r="CE783" s="40"/>
      <c r="CF783" s="5"/>
      <c r="CH783" s="40"/>
      <c r="CI783" s="5"/>
      <c r="CK783" s="40"/>
      <c r="CL783" s="5"/>
      <c r="CN783" s="40"/>
      <c r="CO783" s="5"/>
      <c r="CQ783" s="40"/>
      <c r="CR783" s="5"/>
    </row>
    <row r="784">
      <c r="AO784" s="40"/>
      <c r="AP784" s="5"/>
      <c r="AR784" s="40"/>
      <c r="AS784" s="5"/>
      <c r="AU784" s="40"/>
      <c r="AV784" s="5"/>
      <c r="AX784" s="40"/>
      <c r="AY784" s="5"/>
      <c r="BA784" s="40"/>
      <c r="BB784" s="5"/>
      <c r="BD784" s="40"/>
      <c r="BE784" s="5"/>
      <c r="BG784" s="40"/>
      <c r="BH784" s="5"/>
      <c r="BJ784" s="40"/>
      <c r="BK784" s="5"/>
      <c r="BM784" s="40"/>
      <c r="BN784" s="5"/>
      <c r="BP784" s="40"/>
      <c r="BQ784" s="5"/>
      <c r="BS784" s="40"/>
      <c r="BT784" s="5"/>
      <c r="BV784" s="40"/>
      <c r="BW784" s="5"/>
      <c r="BY784" s="40"/>
      <c r="BZ784" s="5"/>
      <c r="CB784" s="40"/>
      <c r="CC784" s="5"/>
      <c r="CE784" s="40"/>
      <c r="CF784" s="5"/>
      <c r="CH784" s="40"/>
      <c r="CI784" s="5"/>
      <c r="CK784" s="40"/>
      <c r="CL784" s="5"/>
      <c r="CN784" s="40"/>
      <c r="CO784" s="5"/>
      <c r="CQ784" s="40"/>
      <c r="CR784" s="5"/>
    </row>
    <row r="785">
      <c r="AO785" s="40"/>
      <c r="AP785" s="5"/>
      <c r="AR785" s="40"/>
      <c r="AS785" s="5"/>
      <c r="AU785" s="40"/>
      <c r="AV785" s="5"/>
      <c r="AX785" s="40"/>
      <c r="AY785" s="5"/>
      <c r="BA785" s="40"/>
      <c r="BB785" s="5"/>
      <c r="BD785" s="40"/>
      <c r="BE785" s="5"/>
      <c r="BG785" s="40"/>
      <c r="BH785" s="5"/>
      <c r="BJ785" s="40"/>
      <c r="BK785" s="5"/>
      <c r="BM785" s="40"/>
      <c r="BN785" s="5"/>
      <c r="BP785" s="40"/>
      <c r="BQ785" s="5"/>
      <c r="BS785" s="40"/>
      <c r="BT785" s="5"/>
      <c r="BV785" s="40"/>
      <c r="BW785" s="5"/>
      <c r="BY785" s="40"/>
      <c r="BZ785" s="5"/>
      <c r="CB785" s="40"/>
      <c r="CC785" s="5"/>
      <c r="CE785" s="40"/>
      <c r="CF785" s="5"/>
      <c r="CH785" s="40"/>
      <c r="CI785" s="5"/>
      <c r="CK785" s="40"/>
      <c r="CL785" s="5"/>
      <c r="CN785" s="40"/>
      <c r="CO785" s="5"/>
      <c r="CQ785" s="40"/>
      <c r="CR785" s="5"/>
    </row>
    <row r="786">
      <c r="AO786" s="40"/>
      <c r="AP786" s="5"/>
      <c r="AR786" s="40"/>
      <c r="AS786" s="5"/>
      <c r="AU786" s="40"/>
      <c r="AV786" s="5"/>
      <c r="AX786" s="40"/>
      <c r="AY786" s="5"/>
      <c r="BA786" s="40"/>
      <c r="BB786" s="5"/>
      <c r="BD786" s="40"/>
      <c r="BE786" s="5"/>
      <c r="BG786" s="40"/>
      <c r="BH786" s="5"/>
      <c r="BJ786" s="40"/>
      <c r="BK786" s="5"/>
      <c r="BM786" s="40"/>
      <c r="BN786" s="5"/>
      <c r="BP786" s="40"/>
      <c r="BQ786" s="5"/>
      <c r="BS786" s="40"/>
      <c r="BT786" s="5"/>
      <c r="BV786" s="40"/>
      <c r="BW786" s="5"/>
      <c r="BY786" s="40"/>
      <c r="BZ786" s="5"/>
      <c r="CB786" s="40"/>
      <c r="CC786" s="5"/>
      <c r="CE786" s="40"/>
      <c r="CF786" s="5"/>
      <c r="CH786" s="40"/>
      <c r="CI786" s="5"/>
      <c r="CK786" s="40"/>
      <c r="CL786" s="5"/>
      <c r="CN786" s="40"/>
      <c r="CO786" s="5"/>
      <c r="CQ786" s="40"/>
      <c r="CR786" s="5"/>
    </row>
    <row r="787">
      <c r="AO787" s="40"/>
      <c r="AP787" s="5"/>
      <c r="AR787" s="40"/>
      <c r="AS787" s="5"/>
      <c r="AU787" s="40"/>
      <c r="AV787" s="5"/>
      <c r="AX787" s="40"/>
      <c r="AY787" s="5"/>
      <c r="BA787" s="40"/>
      <c r="BB787" s="5"/>
      <c r="BD787" s="40"/>
      <c r="BE787" s="5"/>
      <c r="BG787" s="40"/>
      <c r="BH787" s="5"/>
      <c r="BJ787" s="40"/>
      <c r="BK787" s="5"/>
      <c r="BM787" s="40"/>
      <c r="BN787" s="5"/>
      <c r="BP787" s="40"/>
      <c r="BQ787" s="5"/>
      <c r="BS787" s="40"/>
      <c r="BT787" s="5"/>
      <c r="BV787" s="40"/>
      <c r="BW787" s="5"/>
      <c r="BY787" s="40"/>
      <c r="BZ787" s="5"/>
      <c r="CB787" s="40"/>
      <c r="CC787" s="5"/>
      <c r="CE787" s="40"/>
      <c r="CF787" s="5"/>
      <c r="CH787" s="40"/>
      <c r="CI787" s="5"/>
      <c r="CK787" s="40"/>
      <c r="CL787" s="5"/>
      <c r="CN787" s="40"/>
      <c r="CO787" s="5"/>
      <c r="CQ787" s="40"/>
      <c r="CR787" s="5"/>
    </row>
    <row r="788">
      <c r="AO788" s="40"/>
      <c r="AP788" s="5"/>
      <c r="AR788" s="40"/>
      <c r="AS788" s="5"/>
      <c r="AU788" s="40"/>
      <c r="AV788" s="5"/>
      <c r="AX788" s="40"/>
      <c r="AY788" s="5"/>
      <c r="BA788" s="40"/>
      <c r="BB788" s="5"/>
      <c r="BD788" s="40"/>
      <c r="BE788" s="5"/>
      <c r="BG788" s="40"/>
      <c r="BH788" s="5"/>
      <c r="BJ788" s="40"/>
      <c r="BK788" s="5"/>
      <c r="BM788" s="40"/>
      <c r="BN788" s="5"/>
      <c r="BP788" s="40"/>
      <c r="BQ788" s="5"/>
      <c r="BS788" s="40"/>
      <c r="BT788" s="5"/>
      <c r="BV788" s="40"/>
      <c r="BW788" s="5"/>
      <c r="BY788" s="40"/>
      <c r="BZ788" s="5"/>
      <c r="CB788" s="40"/>
      <c r="CC788" s="5"/>
      <c r="CE788" s="40"/>
      <c r="CF788" s="5"/>
      <c r="CH788" s="40"/>
      <c r="CI788" s="5"/>
      <c r="CK788" s="40"/>
      <c r="CL788" s="5"/>
      <c r="CN788" s="40"/>
      <c r="CO788" s="5"/>
      <c r="CQ788" s="40"/>
      <c r="CR788" s="5"/>
    </row>
    <row r="789">
      <c r="AO789" s="40"/>
      <c r="AP789" s="5"/>
      <c r="AR789" s="40"/>
      <c r="AS789" s="5"/>
      <c r="AU789" s="40"/>
      <c r="AV789" s="5"/>
      <c r="AX789" s="40"/>
      <c r="AY789" s="5"/>
      <c r="BA789" s="40"/>
      <c r="BB789" s="5"/>
      <c r="BD789" s="40"/>
      <c r="BE789" s="5"/>
      <c r="BG789" s="40"/>
      <c r="BH789" s="5"/>
      <c r="BJ789" s="40"/>
      <c r="BK789" s="5"/>
      <c r="BM789" s="40"/>
      <c r="BN789" s="5"/>
      <c r="BP789" s="40"/>
      <c r="BQ789" s="5"/>
      <c r="BS789" s="40"/>
      <c r="BT789" s="5"/>
      <c r="BV789" s="40"/>
      <c r="BW789" s="5"/>
      <c r="BY789" s="40"/>
      <c r="BZ789" s="5"/>
      <c r="CB789" s="40"/>
      <c r="CC789" s="5"/>
      <c r="CE789" s="40"/>
      <c r="CF789" s="5"/>
      <c r="CH789" s="40"/>
      <c r="CI789" s="5"/>
      <c r="CK789" s="40"/>
      <c r="CL789" s="5"/>
      <c r="CN789" s="40"/>
      <c r="CO789" s="5"/>
      <c r="CQ789" s="40"/>
      <c r="CR789" s="5"/>
    </row>
    <row r="790">
      <c r="AO790" s="40"/>
      <c r="AP790" s="5"/>
      <c r="AR790" s="40"/>
      <c r="AS790" s="5"/>
      <c r="AU790" s="40"/>
      <c r="AV790" s="5"/>
      <c r="AX790" s="40"/>
      <c r="AY790" s="5"/>
      <c r="BA790" s="40"/>
      <c r="BB790" s="5"/>
      <c r="BD790" s="40"/>
      <c r="BE790" s="5"/>
      <c r="BG790" s="40"/>
      <c r="BH790" s="5"/>
      <c r="BJ790" s="40"/>
      <c r="BK790" s="5"/>
      <c r="BM790" s="40"/>
      <c r="BN790" s="5"/>
      <c r="BP790" s="40"/>
      <c r="BQ790" s="5"/>
      <c r="BS790" s="40"/>
      <c r="BT790" s="5"/>
      <c r="BV790" s="40"/>
      <c r="BW790" s="5"/>
      <c r="BY790" s="40"/>
      <c r="BZ790" s="5"/>
      <c r="CB790" s="40"/>
      <c r="CC790" s="5"/>
      <c r="CE790" s="40"/>
      <c r="CF790" s="5"/>
      <c r="CH790" s="40"/>
      <c r="CI790" s="5"/>
      <c r="CK790" s="40"/>
      <c r="CL790" s="5"/>
      <c r="CN790" s="40"/>
      <c r="CO790" s="5"/>
      <c r="CQ790" s="40"/>
      <c r="CR790" s="5"/>
    </row>
    <row r="791">
      <c r="AO791" s="40"/>
      <c r="AP791" s="5"/>
      <c r="AR791" s="40"/>
      <c r="AS791" s="5"/>
      <c r="AU791" s="40"/>
      <c r="AV791" s="5"/>
      <c r="AX791" s="40"/>
      <c r="AY791" s="5"/>
      <c r="BA791" s="40"/>
      <c r="BB791" s="5"/>
      <c r="BD791" s="40"/>
      <c r="BE791" s="5"/>
      <c r="BG791" s="40"/>
      <c r="BH791" s="5"/>
      <c r="BJ791" s="40"/>
      <c r="BK791" s="5"/>
      <c r="BM791" s="40"/>
      <c r="BN791" s="5"/>
      <c r="BP791" s="40"/>
      <c r="BQ791" s="5"/>
      <c r="BS791" s="40"/>
      <c r="BT791" s="5"/>
      <c r="BV791" s="40"/>
      <c r="BW791" s="5"/>
      <c r="BY791" s="40"/>
      <c r="BZ791" s="5"/>
      <c r="CB791" s="40"/>
      <c r="CC791" s="5"/>
      <c r="CE791" s="40"/>
      <c r="CF791" s="5"/>
      <c r="CH791" s="40"/>
      <c r="CI791" s="5"/>
      <c r="CK791" s="40"/>
      <c r="CL791" s="5"/>
      <c r="CN791" s="40"/>
      <c r="CO791" s="5"/>
      <c r="CQ791" s="40"/>
      <c r="CR791" s="5"/>
    </row>
    <row r="792">
      <c r="AO792" s="40"/>
      <c r="AP792" s="5"/>
      <c r="AR792" s="40"/>
      <c r="AS792" s="5"/>
      <c r="AU792" s="40"/>
      <c r="AV792" s="5"/>
      <c r="AX792" s="40"/>
      <c r="AY792" s="5"/>
      <c r="BA792" s="40"/>
      <c r="BB792" s="5"/>
      <c r="BD792" s="40"/>
      <c r="BE792" s="5"/>
      <c r="BG792" s="40"/>
      <c r="BH792" s="5"/>
      <c r="BJ792" s="40"/>
      <c r="BK792" s="5"/>
      <c r="BM792" s="40"/>
      <c r="BN792" s="5"/>
      <c r="BP792" s="40"/>
      <c r="BQ792" s="5"/>
      <c r="BS792" s="40"/>
      <c r="BT792" s="5"/>
      <c r="BV792" s="40"/>
      <c r="BW792" s="5"/>
      <c r="BY792" s="40"/>
      <c r="BZ792" s="5"/>
      <c r="CB792" s="40"/>
      <c r="CC792" s="5"/>
      <c r="CE792" s="40"/>
      <c r="CF792" s="5"/>
      <c r="CH792" s="40"/>
      <c r="CI792" s="5"/>
      <c r="CK792" s="40"/>
      <c r="CL792" s="5"/>
      <c r="CN792" s="40"/>
      <c r="CO792" s="5"/>
      <c r="CQ792" s="40"/>
      <c r="CR792" s="5"/>
    </row>
    <row r="793">
      <c r="AO793" s="40"/>
      <c r="AP793" s="5"/>
      <c r="AR793" s="40"/>
      <c r="AS793" s="5"/>
      <c r="AU793" s="40"/>
      <c r="AV793" s="5"/>
      <c r="AX793" s="40"/>
      <c r="AY793" s="5"/>
      <c r="BA793" s="40"/>
      <c r="BB793" s="5"/>
      <c r="BD793" s="40"/>
      <c r="BE793" s="5"/>
      <c r="BG793" s="40"/>
      <c r="BH793" s="5"/>
      <c r="BJ793" s="40"/>
      <c r="BK793" s="5"/>
      <c r="BM793" s="40"/>
      <c r="BN793" s="5"/>
      <c r="BP793" s="40"/>
      <c r="BQ793" s="5"/>
      <c r="BS793" s="40"/>
      <c r="BT793" s="5"/>
      <c r="BV793" s="40"/>
      <c r="BW793" s="5"/>
      <c r="BY793" s="40"/>
      <c r="BZ793" s="5"/>
      <c r="CB793" s="40"/>
      <c r="CC793" s="5"/>
      <c r="CE793" s="40"/>
      <c r="CF793" s="5"/>
      <c r="CH793" s="40"/>
      <c r="CI793" s="5"/>
      <c r="CK793" s="40"/>
      <c r="CL793" s="5"/>
      <c r="CN793" s="40"/>
      <c r="CO793" s="5"/>
      <c r="CQ793" s="40"/>
      <c r="CR793" s="5"/>
    </row>
    <row r="794">
      <c r="AO794" s="40"/>
      <c r="AP794" s="5"/>
      <c r="AR794" s="40"/>
      <c r="AS794" s="5"/>
      <c r="AU794" s="40"/>
      <c r="AV794" s="5"/>
      <c r="AX794" s="40"/>
      <c r="AY794" s="5"/>
      <c r="BA794" s="40"/>
      <c r="BB794" s="5"/>
      <c r="BD794" s="40"/>
      <c r="BE794" s="5"/>
      <c r="BG794" s="40"/>
      <c r="BH794" s="5"/>
      <c r="BJ794" s="40"/>
      <c r="BK794" s="5"/>
      <c r="BM794" s="40"/>
      <c r="BN794" s="5"/>
      <c r="BP794" s="40"/>
      <c r="BQ794" s="5"/>
      <c r="BS794" s="40"/>
      <c r="BT794" s="5"/>
      <c r="BV794" s="40"/>
      <c r="BW794" s="5"/>
      <c r="BY794" s="40"/>
      <c r="BZ794" s="5"/>
      <c r="CB794" s="40"/>
      <c r="CC794" s="5"/>
      <c r="CE794" s="40"/>
      <c r="CF794" s="5"/>
      <c r="CH794" s="40"/>
      <c r="CI794" s="5"/>
      <c r="CK794" s="40"/>
      <c r="CL794" s="5"/>
      <c r="CN794" s="40"/>
      <c r="CO794" s="5"/>
      <c r="CQ794" s="40"/>
      <c r="CR794" s="5"/>
    </row>
    <row r="795">
      <c r="AO795" s="40"/>
      <c r="AP795" s="5"/>
      <c r="AR795" s="40"/>
      <c r="AS795" s="5"/>
      <c r="AU795" s="40"/>
      <c r="AV795" s="5"/>
      <c r="AX795" s="40"/>
      <c r="AY795" s="5"/>
      <c r="BA795" s="40"/>
      <c r="BB795" s="5"/>
      <c r="BD795" s="40"/>
      <c r="BE795" s="5"/>
      <c r="BG795" s="40"/>
      <c r="BH795" s="5"/>
      <c r="BJ795" s="40"/>
      <c r="BK795" s="5"/>
      <c r="BM795" s="40"/>
      <c r="BN795" s="5"/>
      <c r="BP795" s="40"/>
      <c r="BQ795" s="5"/>
      <c r="BS795" s="40"/>
      <c r="BT795" s="5"/>
      <c r="BV795" s="40"/>
      <c r="BW795" s="5"/>
      <c r="BY795" s="40"/>
      <c r="BZ795" s="5"/>
      <c r="CB795" s="40"/>
      <c r="CC795" s="5"/>
      <c r="CE795" s="40"/>
      <c r="CF795" s="5"/>
      <c r="CH795" s="40"/>
      <c r="CI795" s="5"/>
      <c r="CK795" s="40"/>
      <c r="CL795" s="5"/>
      <c r="CN795" s="40"/>
      <c r="CO795" s="5"/>
      <c r="CQ795" s="40"/>
      <c r="CR795" s="5"/>
    </row>
    <row r="796">
      <c r="AO796" s="40"/>
      <c r="AP796" s="5"/>
      <c r="AR796" s="40"/>
      <c r="AS796" s="5"/>
      <c r="AU796" s="40"/>
      <c r="AV796" s="5"/>
      <c r="AX796" s="40"/>
      <c r="AY796" s="5"/>
      <c r="BA796" s="40"/>
      <c r="BB796" s="5"/>
      <c r="BD796" s="40"/>
      <c r="BE796" s="5"/>
      <c r="BG796" s="40"/>
      <c r="BH796" s="5"/>
      <c r="BJ796" s="40"/>
      <c r="BK796" s="5"/>
      <c r="BM796" s="40"/>
      <c r="BN796" s="5"/>
      <c r="BP796" s="40"/>
      <c r="BQ796" s="5"/>
      <c r="BS796" s="40"/>
      <c r="BT796" s="5"/>
      <c r="BV796" s="40"/>
      <c r="BW796" s="5"/>
      <c r="BY796" s="40"/>
      <c r="BZ796" s="5"/>
      <c r="CB796" s="40"/>
      <c r="CC796" s="5"/>
      <c r="CE796" s="40"/>
      <c r="CF796" s="5"/>
      <c r="CH796" s="40"/>
      <c r="CI796" s="5"/>
      <c r="CK796" s="40"/>
      <c r="CL796" s="5"/>
      <c r="CN796" s="40"/>
      <c r="CO796" s="5"/>
      <c r="CQ796" s="40"/>
      <c r="CR796" s="5"/>
    </row>
    <row r="797">
      <c r="AO797" s="40"/>
      <c r="AP797" s="5"/>
      <c r="AR797" s="40"/>
      <c r="AS797" s="5"/>
      <c r="AU797" s="40"/>
      <c r="AV797" s="5"/>
      <c r="AX797" s="40"/>
      <c r="AY797" s="5"/>
      <c r="BA797" s="40"/>
      <c r="BB797" s="5"/>
      <c r="BD797" s="40"/>
      <c r="BE797" s="5"/>
      <c r="BG797" s="40"/>
      <c r="BH797" s="5"/>
      <c r="BJ797" s="40"/>
      <c r="BK797" s="5"/>
      <c r="BM797" s="40"/>
      <c r="BN797" s="5"/>
      <c r="BP797" s="40"/>
      <c r="BQ797" s="5"/>
      <c r="BS797" s="40"/>
      <c r="BT797" s="5"/>
      <c r="BV797" s="40"/>
      <c r="BW797" s="5"/>
      <c r="BY797" s="40"/>
      <c r="BZ797" s="5"/>
      <c r="CB797" s="40"/>
      <c r="CC797" s="5"/>
      <c r="CE797" s="40"/>
      <c r="CF797" s="5"/>
      <c r="CH797" s="40"/>
      <c r="CI797" s="5"/>
      <c r="CK797" s="40"/>
      <c r="CL797" s="5"/>
      <c r="CN797" s="40"/>
      <c r="CO797" s="5"/>
      <c r="CQ797" s="40"/>
      <c r="CR797" s="5"/>
    </row>
    <row r="798">
      <c r="AO798" s="40"/>
      <c r="AP798" s="5"/>
      <c r="AR798" s="40"/>
      <c r="AS798" s="5"/>
      <c r="AU798" s="40"/>
      <c r="AV798" s="5"/>
      <c r="AX798" s="40"/>
      <c r="AY798" s="5"/>
      <c r="BA798" s="40"/>
      <c r="BB798" s="5"/>
      <c r="BD798" s="40"/>
      <c r="BE798" s="5"/>
      <c r="BG798" s="40"/>
      <c r="BH798" s="5"/>
      <c r="BJ798" s="40"/>
      <c r="BK798" s="5"/>
      <c r="BM798" s="40"/>
      <c r="BN798" s="5"/>
      <c r="BP798" s="40"/>
      <c r="BQ798" s="5"/>
      <c r="BS798" s="40"/>
      <c r="BT798" s="5"/>
      <c r="BV798" s="40"/>
      <c r="BW798" s="5"/>
      <c r="BY798" s="40"/>
      <c r="BZ798" s="5"/>
      <c r="CB798" s="40"/>
      <c r="CC798" s="5"/>
      <c r="CE798" s="40"/>
      <c r="CF798" s="5"/>
      <c r="CH798" s="40"/>
      <c r="CI798" s="5"/>
      <c r="CK798" s="40"/>
      <c r="CL798" s="5"/>
      <c r="CN798" s="40"/>
      <c r="CO798" s="5"/>
      <c r="CQ798" s="40"/>
      <c r="CR798" s="5"/>
    </row>
    <row r="799">
      <c r="AO799" s="40"/>
      <c r="AP799" s="5"/>
      <c r="AR799" s="40"/>
      <c r="AS799" s="5"/>
      <c r="AU799" s="40"/>
      <c r="AV799" s="5"/>
      <c r="AX799" s="40"/>
      <c r="AY799" s="5"/>
      <c r="BA799" s="40"/>
      <c r="BB799" s="5"/>
      <c r="BD799" s="40"/>
      <c r="BE799" s="5"/>
      <c r="BG799" s="40"/>
      <c r="BH799" s="5"/>
      <c r="BJ799" s="40"/>
      <c r="BK799" s="5"/>
      <c r="BM799" s="40"/>
      <c r="BN799" s="5"/>
      <c r="BP799" s="40"/>
      <c r="BQ799" s="5"/>
      <c r="BS799" s="40"/>
      <c r="BT799" s="5"/>
      <c r="BV799" s="40"/>
      <c r="BW799" s="5"/>
      <c r="BY799" s="40"/>
      <c r="BZ799" s="5"/>
      <c r="CB799" s="40"/>
      <c r="CC799" s="5"/>
      <c r="CE799" s="40"/>
      <c r="CF799" s="5"/>
      <c r="CH799" s="40"/>
      <c r="CI799" s="5"/>
      <c r="CK799" s="40"/>
      <c r="CL799" s="5"/>
      <c r="CN799" s="40"/>
      <c r="CO799" s="5"/>
      <c r="CQ799" s="40"/>
      <c r="CR799" s="5"/>
    </row>
    <row r="800">
      <c r="AO800" s="40"/>
      <c r="AP800" s="5"/>
      <c r="AR800" s="40"/>
      <c r="AS800" s="5"/>
      <c r="AU800" s="40"/>
      <c r="AV800" s="5"/>
      <c r="AX800" s="40"/>
      <c r="AY800" s="5"/>
      <c r="BA800" s="40"/>
      <c r="BB800" s="5"/>
      <c r="BD800" s="40"/>
      <c r="BE800" s="5"/>
      <c r="BG800" s="40"/>
      <c r="BH800" s="5"/>
      <c r="BJ800" s="40"/>
      <c r="BK800" s="5"/>
      <c r="BM800" s="40"/>
      <c r="BN800" s="5"/>
      <c r="BP800" s="40"/>
      <c r="BQ800" s="5"/>
      <c r="BS800" s="40"/>
      <c r="BT800" s="5"/>
      <c r="BV800" s="40"/>
      <c r="BW800" s="5"/>
      <c r="BY800" s="40"/>
      <c r="BZ800" s="5"/>
      <c r="CB800" s="40"/>
      <c r="CC800" s="5"/>
      <c r="CE800" s="40"/>
      <c r="CF800" s="5"/>
      <c r="CH800" s="40"/>
      <c r="CI800" s="5"/>
      <c r="CK800" s="40"/>
      <c r="CL800" s="5"/>
      <c r="CN800" s="40"/>
      <c r="CO800" s="5"/>
      <c r="CQ800" s="40"/>
      <c r="CR800" s="5"/>
    </row>
    <row r="801">
      <c r="AO801" s="40"/>
      <c r="AP801" s="5"/>
      <c r="AR801" s="40"/>
      <c r="AS801" s="5"/>
      <c r="AU801" s="40"/>
      <c r="AV801" s="5"/>
      <c r="AX801" s="40"/>
      <c r="AY801" s="5"/>
      <c r="BA801" s="40"/>
      <c r="BB801" s="5"/>
      <c r="BD801" s="40"/>
      <c r="BE801" s="5"/>
      <c r="BG801" s="40"/>
      <c r="BH801" s="5"/>
      <c r="BJ801" s="40"/>
      <c r="BK801" s="5"/>
      <c r="BM801" s="40"/>
      <c r="BN801" s="5"/>
      <c r="BP801" s="40"/>
      <c r="BQ801" s="5"/>
      <c r="BS801" s="40"/>
      <c r="BT801" s="5"/>
      <c r="BV801" s="40"/>
      <c r="BW801" s="5"/>
      <c r="BY801" s="40"/>
      <c r="BZ801" s="5"/>
      <c r="CB801" s="40"/>
      <c r="CC801" s="5"/>
      <c r="CE801" s="40"/>
      <c r="CF801" s="5"/>
      <c r="CH801" s="40"/>
      <c r="CI801" s="5"/>
      <c r="CK801" s="40"/>
      <c r="CL801" s="5"/>
      <c r="CN801" s="40"/>
      <c r="CO801" s="5"/>
      <c r="CQ801" s="40"/>
      <c r="CR801" s="5"/>
    </row>
    <row r="802">
      <c r="AO802" s="40"/>
      <c r="AP802" s="5"/>
      <c r="AR802" s="40"/>
      <c r="AS802" s="5"/>
      <c r="AU802" s="40"/>
      <c r="AV802" s="5"/>
      <c r="AX802" s="40"/>
      <c r="AY802" s="5"/>
      <c r="BA802" s="40"/>
      <c r="BB802" s="5"/>
      <c r="BD802" s="40"/>
      <c r="BE802" s="5"/>
      <c r="BG802" s="40"/>
      <c r="BH802" s="5"/>
      <c r="BJ802" s="40"/>
      <c r="BK802" s="5"/>
      <c r="BM802" s="40"/>
      <c r="BN802" s="5"/>
      <c r="BP802" s="40"/>
      <c r="BQ802" s="5"/>
      <c r="BS802" s="40"/>
      <c r="BT802" s="5"/>
      <c r="BV802" s="40"/>
      <c r="BW802" s="5"/>
      <c r="BY802" s="40"/>
      <c r="BZ802" s="5"/>
      <c r="CB802" s="40"/>
      <c r="CC802" s="5"/>
      <c r="CE802" s="40"/>
      <c r="CF802" s="5"/>
      <c r="CH802" s="40"/>
      <c r="CI802" s="5"/>
      <c r="CK802" s="40"/>
      <c r="CL802" s="5"/>
      <c r="CN802" s="40"/>
      <c r="CO802" s="5"/>
      <c r="CQ802" s="40"/>
      <c r="CR802" s="5"/>
    </row>
    <row r="803">
      <c r="AO803" s="40"/>
      <c r="AP803" s="5"/>
      <c r="AR803" s="40"/>
      <c r="AS803" s="5"/>
      <c r="AU803" s="40"/>
      <c r="AV803" s="5"/>
      <c r="AX803" s="40"/>
      <c r="AY803" s="5"/>
      <c r="BA803" s="40"/>
      <c r="BB803" s="5"/>
      <c r="BD803" s="40"/>
      <c r="BE803" s="5"/>
      <c r="BG803" s="40"/>
      <c r="BH803" s="5"/>
      <c r="BJ803" s="40"/>
      <c r="BK803" s="5"/>
      <c r="BM803" s="40"/>
      <c r="BN803" s="5"/>
      <c r="BP803" s="40"/>
      <c r="BQ803" s="5"/>
      <c r="BS803" s="40"/>
      <c r="BT803" s="5"/>
      <c r="BV803" s="40"/>
      <c r="BW803" s="5"/>
      <c r="BY803" s="40"/>
      <c r="BZ803" s="5"/>
      <c r="CB803" s="40"/>
      <c r="CC803" s="5"/>
      <c r="CE803" s="40"/>
      <c r="CF803" s="5"/>
      <c r="CH803" s="40"/>
      <c r="CI803" s="5"/>
      <c r="CK803" s="40"/>
      <c r="CL803" s="5"/>
      <c r="CN803" s="40"/>
      <c r="CO803" s="5"/>
      <c r="CQ803" s="40"/>
      <c r="CR803" s="5"/>
    </row>
    <row r="804">
      <c r="AO804" s="40"/>
      <c r="AP804" s="5"/>
      <c r="AR804" s="40"/>
      <c r="AS804" s="5"/>
      <c r="AU804" s="40"/>
      <c r="AV804" s="5"/>
      <c r="AX804" s="40"/>
      <c r="AY804" s="5"/>
      <c r="BA804" s="40"/>
      <c r="BB804" s="5"/>
      <c r="BD804" s="40"/>
      <c r="BE804" s="5"/>
      <c r="BG804" s="40"/>
      <c r="BH804" s="5"/>
      <c r="BJ804" s="40"/>
      <c r="BK804" s="5"/>
      <c r="BM804" s="40"/>
      <c r="BN804" s="5"/>
      <c r="BP804" s="40"/>
      <c r="BQ804" s="5"/>
      <c r="BS804" s="40"/>
      <c r="BT804" s="5"/>
      <c r="BV804" s="40"/>
      <c r="BW804" s="5"/>
      <c r="BY804" s="40"/>
      <c r="BZ804" s="5"/>
      <c r="CB804" s="40"/>
      <c r="CC804" s="5"/>
      <c r="CE804" s="40"/>
      <c r="CF804" s="5"/>
      <c r="CH804" s="40"/>
      <c r="CI804" s="5"/>
      <c r="CK804" s="40"/>
      <c r="CL804" s="5"/>
      <c r="CN804" s="40"/>
      <c r="CO804" s="5"/>
      <c r="CQ804" s="40"/>
      <c r="CR804" s="5"/>
    </row>
    <row r="805">
      <c r="AO805" s="40"/>
      <c r="AP805" s="5"/>
      <c r="AR805" s="40"/>
      <c r="AS805" s="5"/>
      <c r="AU805" s="40"/>
      <c r="AV805" s="5"/>
      <c r="AX805" s="40"/>
      <c r="AY805" s="5"/>
      <c r="BA805" s="40"/>
      <c r="BB805" s="5"/>
      <c r="BD805" s="40"/>
      <c r="BE805" s="5"/>
      <c r="BG805" s="40"/>
      <c r="BH805" s="5"/>
      <c r="BJ805" s="40"/>
      <c r="BK805" s="5"/>
      <c r="BM805" s="40"/>
      <c r="BN805" s="5"/>
      <c r="BP805" s="40"/>
      <c r="BQ805" s="5"/>
      <c r="BS805" s="40"/>
      <c r="BT805" s="5"/>
      <c r="BV805" s="40"/>
      <c r="BW805" s="5"/>
      <c r="BY805" s="40"/>
      <c r="BZ805" s="5"/>
      <c r="CB805" s="40"/>
      <c r="CC805" s="5"/>
      <c r="CE805" s="40"/>
      <c r="CF805" s="5"/>
      <c r="CH805" s="40"/>
      <c r="CI805" s="5"/>
      <c r="CK805" s="40"/>
      <c r="CL805" s="5"/>
      <c r="CN805" s="40"/>
      <c r="CO805" s="5"/>
      <c r="CQ805" s="40"/>
      <c r="CR805" s="5"/>
    </row>
    <row r="806">
      <c r="AO806" s="40"/>
      <c r="AP806" s="5"/>
      <c r="AR806" s="40"/>
      <c r="AS806" s="5"/>
      <c r="AU806" s="40"/>
      <c r="AV806" s="5"/>
      <c r="AX806" s="40"/>
      <c r="AY806" s="5"/>
      <c r="BA806" s="40"/>
      <c r="BB806" s="5"/>
      <c r="BD806" s="40"/>
      <c r="BE806" s="5"/>
      <c r="BG806" s="40"/>
      <c r="BH806" s="5"/>
      <c r="BJ806" s="40"/>
      <c r="BK806" s="5"/>
      <c r="BM806" s="40"/>
      <c r="BN806" s="5"/>
      <c r="BP806" s="40"/>
      <c r="BQ806" s="5"/>
      <c r="BS806" s="40"/>
      <c r="BT806" s="5"/>
      <c r="BV806" s="40"/>
      <c r="BW806" s="5"/>
      <c r="BY806" s="40"/>
      <c r="BZ806" s="5"/>
      <c r="CB806" s="40"/>
      <c r="CC806" s="5"/>
      <c r="CE806" s="40"/>
      <c r="CF806" s="5"/>
      <c r="CH806" s="40"/>
      <c r="CI806" s="5"/>
      <c r="CK806" s="40"/>
      <c r="CL806" s="5"/>
      <c r="CN806" s="40"/>
      <c r="CO806" s="5"/>
      <c r="CQ806" s="40"/>
      <c r="CR806" s="5"/>
    </row>
    <row r="807">
      <c r="AO807" s="40"/>
      <c r="AP807" s="5"/>
      <c r="AR807" s="40"/>
      <c r="AS807" s="5"/>
      <c r="AU807" s="40"/>
      <c r="AV807" s="5"/>
      <c r="AX807" s="40"/>
      <c r="AY807" s="5"/>
      <c r="BA807" s="40"/>
      <c r="BB807" s="5"/>
      <c r="BD807" s="40"/>
      <c r="BE807" s="5"/>
      <c r="BG807" s="40"/>
      <c r="BH807" s="5"/>
      <c r="BJ807" s="40"/>
      <c r="BK807" s="5"/>
      <c r="BM807" s="40"/>
      <c r="BN807" s="5"/>
      <c r="BP807" s="40"/>
      <c r="BQ807" s="5"/>
      <c r="BS807" s="40"/>
      <c r="BT807" s="5"/>
      <c r="BV807" s="40"/>
      <c r="BW807" s="5"/>
      <c r="BY807" s="40"/>
      <c r="BZ807" s="5"/>
      <c r="CB807" s="40"/>
      <c r="CC807" s="5"/>
      <c r="CE807" s="40"/>
      <c r="CF807" s="5"/>
      <c r="CH807" s="40"/>
      <c r="CI807" s="5"/>
      <c r="CK807" s="40"/>
      <c r="CL807" s="5"/>
      <c r="CN807" s="40"/>
      <c r="CO807" s="5"/>
      <c r="CQ807" s="40"/>
      <c r="CR807" s="5"/>
    </row>
    <row r="808">
      <c r="AO808" s="40"/>
      <c r="AP808" s="5"/>
      <c r="AR808" s="40"/>
      <c r="AS808" s="5"/>
      <c r="AU808" s="40"/>
      <c r="AV808" s="5"/>
      <c r="AX808" s="40"/>
      <c r="AY808" s="5"/>
      <c r="BA808" s="40"/>
      <c r="BB808" s="5"/>
      <c r="BD808" s="40"/>
      <c r="BE808" s="5"/>
      <c r="BG808" s="40"/>
      <c r="BH808" s="5"/>
      <c r="BJ808" s="40"/>
      <c r="BK808" s="5"/>
      <c r="BM808" s="40"/>
      <c r="BN808" s="5"/>
      <c r="BP808" s="40"/>
      <c r="BQ808" s="5"/>
      <c r="BS808" s="40"/>
      <c r="BT808" s="5"/>
      <c r="BV808" s="40"/>
      <c r="BW808" s="5"/>
      <c r="BY808" s="40"/>
      <c r="BZ808" s="5"/>
      <c r="CB808" s="40"/>
      <c r="CC808" s="5"/>
      <c r="CE808" s="40"/>
      <c r="CF808" s="5"/>
      <c r="CH808" s="40"/>
      <c r="CI808" s="5"/>
      <c r="CK808" s="40"/>
      <c r="CL808" s="5"/>
      <c r="CN808" s="40"/>
      <c r="CO808" s="5"/>
      <c r="CQ808" s="40"/>
      <c r="CR808" s="5"/>
    </row>
    <row r="809">
      <c r="AO809" s="40"/>
      <c r="AP809" s="5"/>
      <c r="AR809" s="40"/>
      <c r="AS809" s="5"/>
      <c r="AU809" s="40"/>
      <c r="AV809" s="5"/>
      <c r="AX809" s="40"/>
      <c r="AY809" s="5"/>
      <c r="BA809" s="40"/>
      <c r="BB809" s="5"/>
      <c r="BD809" s="40"/>
      <c r="BE809" s="5"/>
      <c r="BG809" s="40"/>
      <c r="BH809" s="5"/>
      <c r="BJ809" s="40"/>
      <c r="BK809" s="5"/>
      <c r="BM809" s="40"/>
      <c r="BN809" s="5"/>
      <c r="BP809" s="40"/>
      <c r="BQ809" s="5"/>
      <c r="BS809" s="40"/>
      <c r="BT809" s="5"/>
      <c r="BV809" s="40"/>
      <c r="BW809" s="5"/>
      <c r="BY809" s="40"/>
      <c r="BZ809" s="5"/>
      <c r="CB809" s="40"/>
      <c r="CC809" s="5"/>
      <c r="CE809" s="40"/>
      <c r="CF809" s="5"/>
      <c r="CH809" s="40"/>
      <c r="CI809" s="5"/>
      <c r="CK809" s="40"/>
      <c r="CL809" s="5"/>
      <c r="CN809" s="40"/>
      <c r="CO809" s="5"/>
      <c r="CQ809" s="40"/>
      <c r="CR809" s="5"/>
    </row>
    <row r="810">
      <c r="AO810" s="40"/>
      <c r="AP810" s="5"/>
      <c r="AR810" s="40"/>
      <c r="AS810" s="5"/>
      <c r="AU810" s="40"/>
      <c r="AV810" s="5"/>
      <c r="AX810" s="40"/>
      <c r="AY810" s="5"/>
      <c r="BA810" s="40"/>
      <c r="BB810" s="5"/>
      <c r="BD810" s="40"/>
      <c r="BE810" s="5"/>
      <c r="BG810" s="40"/>
      <c r="BH810" s="5"/>
      <c r="BJ810" s="40"/>
      <c r="BK810" s="5"/>
      <c r="BM810" s="40"/>
      <c r="BN810" s="5"/>
      <c r="BP810" s="40"/>
      <c r="BQ810" s="5"/>
      <c r="BS810" s="40"/>
      <c r="BT810" s="5"/>
      <c r="BV810" s="40"/>
      <c r="BW810" s="5"/>
      <c r="BY810" s="40"/>
      <c r="BZ810" s="5"/>
      <c r="CB810" s="40"/>
      <c r="CC810" s="5"/>
      <c r="CE810" s="40"/>
      <c r="CF810" s="5"/>
      <c r="CH810" s="40"/>
      <c r="CI810" s="5"/>
      <c r="CK810" s="40"/>
      <c r="CL810" s="5"/>
      <c r="CN810" s="40"/>
      <c r="CO810" s="5"/>
      <c r="CQ810" s="40"/>
      <c r="CR810" s="5"/>
    </row>
    <row r="811">
      <c r="AO811" s="40"/>
      <c r="AP811" s="5"/>
      <c r="AR811" s="40"/>
      <c r="AS811" s="5"/>
      <c r="AU811" s="40"/>
      <c r="AV811" s="5"/>
      <c r="AX811" s="40"/>
      <c r="AY811" s="5"/>
      <c r="BA811" s="40"/>
      <c r="BB811" s="5"/>
      <c r="BD811" s="40"/>
      <c r="BE811" s="5"/>
      <c r="BG811" s="40"/>
      <c r="BH811" s="5"/>
      <c r="BJ811" s="40"/>
      <c r="BK811" s="5"/>
      <c r="BM811" s="40"/>
      <c r="BN811" s="5"/>
      <c r="BP811" s="40"/>
      <c r="BQ811" s="5"/>
      <c r="BS811" s="40"/>
      <c r="BT811" s="5"/>
      <c r="BV811" s="40"/>
      <c r="BW811" s="5"/>
      <c r="BY811" s="40"/>
      <c r="BZ811" s="5"/>
      <c r="CB811" s="40"/>
      <c r="CC811" s="5"/>
      <c r="CE811" s="40"/>
      <c r="CF811" s="5"/>
      <c r="CH811" s="40"/>
      <c r="CI811" s="5"/>
      <c r="CK811" s="40"/>
      <c r="CL811" s="5"/>
      <c r="CN811" s="40"/>
      <c r="CO811" s="5"/>
      <c r="CQ811" s="40"/>
      <c r="CR811" s="5"/>
    </row>
    <row r="812">
      <c r="AO812" s="40"/>
      <c r="AP812" s="5"/>
      <c r="AR812" s="40"/>
      <c r="AS812" s="5"/>
      <c r="AU812" s="40"/>
      <c r="AV812" s="5"/>
      <c r="AX812" s="40"/>
      <c r="AY812" s="5"/>
      <c r="BA812" s="40"/>
      <c r="BB812" s="5"/>
      <c r="BD812" s="40"/>
      <c r="BE812" s="5"/>
      <c r="BG812" s="40"/>
      <c r="BH812" s="5"/>
      <c r="BJ812" s="40"/>
      <c r="BK812" s="5"/>
      <c r="BM812" s="40"/>
      <c r="BN812" s="5"/>
      <c r="BP812" s="40"/>
      <c r="BQ812" s="5"/>
      <c r="BS812" s="40"/>
      <c r="BT812" s="5"/>
      <c r="BV812" s="40"/>
      <c r="BW812" s="5"/>
      <c r="BY812" s="40"/>
      <c r="BZ812" s="5"/>
      <c r="CB812" s="40"/>
      <c r="CC812" s="5"/>
      <c r="CE812" s="40"/>
      <c r="CF812" s="5"/>
      <c r="CH812" s="40"/>
      <c r="CI812" s="5"/>
      <c r="CK812" s="40"/>
      <c r="CL812" s="5"/>
      <c r="CN812" s="40"/>
      <c r="CO812" s="5"/>
      <c r="CQ812" s="40"/>
      <c r="CR812" s="5"/>
    </row>
    <row r="813">
      <c r="AO813" s="40"/>
      <c r="AP813" s="5"/>
      <c r="AR813" s="40"/>
      <c r="AS813" s="5"/>
      <c r="AU813" s="40"/>
      <c r="AV813" s="5"/>
      <c r="AX813" s="40"/>
      <c r="AY813" s="5"/>
      <c r="BA813" s="40"/>
      <c r="BB813" s="5"/>
      <c r="BD813" s="40"/>
      <c r="BE813" s="5"/>
      <c r="BG813" s="40"/>
      <c r="BH813" s="5"/>
      <c r="BJ813" s="40"/>
      <c r="BK813" s="5"/>
      <c r="BM813" s="40"/>
      <c r="BN813" s="5"/>
      <c r="BP813" s="40"/>
      <c r="BQ813" s="5"/>
      <c r="BS813" s="40"/>
      <c r="BT813" s="5"/>
      <c r="BV813" s="40"/>
      <c r="BW813" s="5"/>
      <c r="BY813" s="40"/>
      <c r="BZ813" s="5"/>
      <c r="CB813" s="40"/>
      <c r="CC813" s="5"/>
      <c r="CE813" s="40"/>
      <c r="CF813" s="5"/>
      <c r="CH813" s="40"/>
      <c r="CI813" s="5"/>
      <c r="CK813" s="40"/>
      <c r="CL813" s="5"/>
      <c r="CN813" s="40"/>
      <c r="CO813" s="5"/>
      <c r="CQ813" s="40"/>
      <c r="CR813" s="5"/>
    </row>
    <row r="814">
      <c r="AO814" s="40"/>
      <c r="AP814" s="5"/>
      <c r="AR814" s="40"/>
      <c r="AS814" s="5"/>
      <c r="AU814" s="40"/>
      <c r="AV814" s="5"/>
      <c r="AX814" s="40"/>
      <c r="AY814" s="5"/>
      <c r="BA814" s="40"/>
      <c r="BB814" s="5"/>
      <c r="BD814" s="40"/>
      <c r="BE814" s="5"/>
      <c r="BG814" s="40"/>
      <c r="BH814" s="5"/>
      <c r="BJ814" s="40"/>
      <c r="BK814" s="5"/>
      <c r="BM814" s="40"/>
      <c r="BN814" s="5"/>
      <c r="BP814" s="40"/>
      <c r="BQ814" s="5"/>
      <c r="BS814" s="40"/>
      <c r="BT814" s="5"/>
      <c r="BV814" s="40"/>
      <c r="BW814" s="5"/>
      <c r="BY814" s="40"/>
      <c r="BZ814" s="5"/>
      <c r="CB814" s="40"/>
      <c r="CC814" s="5"/>
      <c r="CE814" s="40"/>
      <c r="CF814" s="5"/>
      <c r="CH814" s="40"/>
      <c r="CI814" s="5"/>
      <c r="CK814" s="40"/>
      <c r="CL814" s="5"/>
      <c r="CN814" s="40"/>
      <c r="CO814" s="5"/>
      <c r="CQ814" s="40"/>
      <c r="CR814" s="5"/>
    </row>
    <row r="815">
      <c r="AO815" s="40"/>
      <c r="AP815" s="5"/>
      <c r="AR815" s="40"/>
      <c r="AS815" s="5"/>
      <c r="AU815" s="40"/>
      <c r="AV815" s="5"/>
      <c r="AX815" s="40"/>
      <c r="AY815" s="5"/>
      <c r="BA815" s="40"/>
      <c r="BB815" s="5"/>
      <c r="BD815" s="40"/>
      <c r="BE815" s="5"/>
      <c r="BG815" s="40"/>
      <c r="BH815" s="5"/>
      <c r="BJ815" s="40"/>
      <c r="BK815" s="5"/>
      <c r="BM815" s="40"/>
      <c r="BN815" s="5"/>
      <c r="BP815" s="40"/>
      <c r="BQ815" s="5"/>
      <c r="BS815" s="40"/>
      <c r="BT815" s="5"/>
      <c r="BV815" s="40"/>
      <c r="BW815" s="5"/>
      <c r="BY815" s="40"/>
      <c r="BZ815" s="5"/>
      <c r="CB815" s="40"/>
      <c r="CC815" s="5"/>
      <c r="CE815" s="40"/>
      <c r="CF815" s="5"/>
      <c r="CH815" s="40"/>
      <c r="CI815" s="5"/>
      <c r="CK815" s="40"/>
      <c r="CL815" s="5"/>
      <c r="CN815" s="40"/>
      <c r="CO815" s="5"/>
      <c r="CQ815" s="40"/>
      <c r="CR815" s="5"/>
    </row>
    <row r="816">
      <c r="AO816" s="40"/>
      <c r="AP816" s="5"/>
      <c r="AR816" s="40"/>
      <c r="AS816" s="5"/>
      <c r="AU816" s="40"/>
      <c r="AV816" s="5"/>
      <c r="AX816" s="40"/>
      <c r="AY816" s="5"/>
      <c r="BA816" s="40"/>
      <c r="BB816" s="5"/>
      <c r="BD816" s="40"/>
      <c r="BE816" s="5"/>
      <c r="BG816" s="40"/>
      <c r="BH816" s="5"/>
      <c r="BJ816" s="40"/>
      <c r="BK816" s="5"/>
      <c r="BM816" s="40"/>
      <c r="BN816" s="5"/>
      <c r="BP816" s="40"/>
      <c r="BQ816" s="5"/>
      <c r="BS816" s="40"/>
      <c r="BT816" s="5"/>
      <c r="BV816" s="40"/>
      <c r="BW816" s="5"/>
      <c r="BY816" s="40"/>
      <c r="BZ816" s="5"/>
      <c r="CB816" s="40"/>
      <c r="CC816" s="5"/>
      <c r="CE816" s="40"/>
      <c r="CF816" s="5"/>
      <c r="CH816" s="40"/>
      <c r="CI816" s="5"/>
      <c r="CK816" s="40"/>
      <c r="CL816" s="5"/>
      <c r="CN816" s="40"/>
      <c r="CO816" s="5"/>
      <c r="CQ816" s="40"/>
      <c r="CR816" s="5"/>
    </row>
    <row r="817">
      <c r="AO817" s="40"/>
      <c r="AP817" s="5"/>
      <c r="AR817" s="40"/>
      <c r="AS817" s="5"/>
      <c r="AU817" s="40"/>
      <c r="AV817" s="5"/>
      <c r="AX817" s="40"/>
      <c r="AY817" s="5"/>
      <c r="BA817" s="40"/>
      <c r="BB817" s="5"/>
      <c r="BD817" s="40"/>
      <c r="BE817" s="5"/>
      <c r="BG817" s="40"/>
      <c r="BH817" s="5"/>
      <c r="BJ817" s="40"/>
      <c r="BK817" s="5"/>
      <c r="BM817" s="40"/>
      <c r="BN817" s="5"/>
      <c r="BP817" s="40"/>
      <c r="BQ817" s="5"/>
      <c r="BS817" s="40"/>
      <c r="BT817" s="5"/>
      <c r="BV817" s="40"/>
      <c r="BW817" s="5"/>
      <c r="BY817" s="40"/>
      <c r="BZ817" s="5"/>
      <c r="CB817" s="40"/>
      <c r="CC817" s="5"/>
      <c r="CE817" s="40"/>
      <c r="CF817" s="5"/>
      <c r="CH817" s="40"/>
      <c r="CI817" s="5"/>
      <c r="CK817" s="40"/>
      <c r="CL817" s="5"/>
      <c r="CN817" s="40"/>
      <c r="CO817" s="5"/>
      <c r="CQ817" s="40"/>
      <c r="CR817" s="5"/>
    </row>
    <row r="818">
      <c r="AO818" s="40"/>
      <c r="AP818" s="5"/>
      <c r="AR818" s="40"/>
      <c r="AS818" s="5"/>
      <c r="AU818" s="40"/>
      <c r="AV818" s="5"/>
      <c r="AX818" s="40"/>
      <c r="AY818" s="5"/>
      <c r="BA818" s="40"/>
      <c r="BB818" s="5"/>
      <c r="BD818" s="40"/>
      <c r="BE818" s="5"/>
      <c r="BG818" s="40"/>
      <c r="BH818" s="5"/>
      <c r="BJ818" s="40"/>
      <c r="BK818" s="5"/>
      <c r="BM818" s="40"/>
      <c r="BN818" s="5"/>
      <c r="BP818" s="40"/>
      <c r="BQ818" s="5"/>
      <c r="BS818" s="40"/>
      <c r="BT818" s="5"/>
      <c r="BV818" s="40"/>
      <c r="BW818" s="5"/>
      <c r="BY818" s="40"/>
      <c r="BZ818" s="5"/>
      <c r="CB818" s="40"/>
      <c r="CC818" s="5"/>
      <c r="CE818" s="40"/>
      <c r="CF818" s="5"/>
      <c r="CH818" s="40"/>
      <c r="CI818" s="5"/>
      <c r="CK818" s="40"/>
      <c r="CL818" s="5"/>
      <c r="CN818" s="40"/>
      <c r="CO818" s="5"/>
      <c r="CQ818" s="40"/>
      <c r="CR818" s="5"/>
    </row>
    <row r="819">
      <c r="AO819" s="40"/>
      <c r="AP819" s="5"/>
      <c r="AR819" s="40"/>
      <c r="AS819" s="5"/>
      <c r="AU819" s="40"/>
      <c r="AV819" s="5"/>
      <c r="AX819" s="40"/>
      <c r="AY819" s="5"/>
      <c r="BA819" s="40"/>
      <c r="BB819" s="5"/>
      <c r="BD819" s="40"/>
      <c r="BE819" s="5"/>
      <c r="BG819" s="40"/>
      <c r="BH819" s="5"/>
      <c r="BJ819" s="40"/>
      <c r="BK819" s="5"/>
      <c r="BM819" s="40"/>
      <c r="BN819" s="5"/>
      <c r="BP819" s="40"/>
      <c r="BQ819" s="5"/>
      <c r="BS819" s="40"/>
      <c r="BT819" s="5"/>
      <c r="BV819" s="40"/>
      <c r="BW819" s="5"/>
      <c r="BY819" s="40"/>
      <c r="BZ819" s="5"/>
      <c r="CB819" s="40"/>
      <c r="CC819" s="5"/>
      <c r="CE819" s="40"/>
      <c r="CF819" s="5"/>
      <c r="CH819" s="40"/>
      <c r="CI819" s="5"/>
      <c r="CK819" s="40"/>
      <c r="CL819" s="5"/>
      <c r="CN819" s="40"/>
      <c r="CO819" s="5"/>
      <c r="CQ819" s="40"/>
      <c r="CR819" s="5"/>
    </row>
    <row r="820">
      <c r="AO820" s="40"/>
      <c r="AP820" s="5"/>
      <c r="AR820" s="40"/>
      <c r="AS820" s="5"/>
      <c r="AU820" s="40"/>
      <c r="AV820" s="5"/>
      <c r="AX820" s="40"/>
      <c r="AY820" s="5"/>
      <c r="BA820" s="40"/>
      <c r="BB820" s="5"/>
      <c r="BD820" s="40"/>
      <c r="BE820" s="5"/>
      <c r="BG820" s="40"/>
      <c r="BH820" s="5"/>
      <c r="BJ820" s="40"/>
      <c r="BK820" s="5"/>
      <c r="BM820" s="40"/>
      <c r="BN820" s="5"/>
      <c r="BP820" s="40"/>
      <c r="BQ820" s="5"/>
      <c r="BS820" s="40"/>
      <c r="BT820" s="5"/>
      <c r="BV820" s="40"/>
      <c r="BW820" s="5"/>
      <c r="BY820" s="40"/>
      <c r="BZ820" s="5"/>
      <c r="CB820" s="40"/>
      <c r="CC820" s="5"/>
      <c r="CE820" s="40"/>
      <c r="CF820" s="5"/>
      <c r="CH820" s="40"/>
      <c r="CI820" s="5"/>
      <c r="CK820" s="40"/>
      <c r="CL820" s="5"/>
      <c r="CN820" s="40"/>
      <c r="CO820" s="5"/>
      <c r="CQ820" s="40"/>
      <c r="CR820" s="5"/>
    </row>
    <row r="821">
      <c r="AO821" s="40"/>
      <c r="AP821" s="5"/>
      <c r="AR821" s="40"/>
      <c r="AS821" s="5"/>
      <c r="AU821" s="40"/>
      <c r="AV821" s="5"/>
      <c r="AX821" s="40"/>
      <c r="AY821" s="5"/>
      <c r="BA821" s="40"/>
      <c r="BB821" s="5"/>
      <c r="BD821" s="40"/>
      <c r="BE821" s="5"/>
      <c r="BG821" s="40"/>
      <c r="BH821" s="5"/>
      <c r="BJ821" s="40"/>
      <c r="BK821" s="5"/>
      <c r="BM821" s="40"/>
      <c r="BN821" s="5"/>
      <c r="BP821" s="40"/>
      <c r="BQ821" s="5"/>
      <c r="BS821" s="40"/>
      <c r="BT821" s="5"/>
      <c r="BV821" s="40"/>
      <c r="BW821" s="5"/>
      <c r="BY821" s="40"/>
      <c r="BZ821" s="5"/>
      <c r="CB821" s="40"/>
      <c r="CC821" s="5"/>
      <c r="CE821" s="40"/>
      <c r="CF821" s="5"/>
      <c r="CH821" s="40"/>
      <c r="CI821" s="5"/>
      <c r="CK821" s="40"/>
      <c r="CL821" s="5"/>
      <c r="CN821" s="40"/>
      <c r="CO821" s="5"/>
      <c r="CQ821" s="40"/>
      <c r="CR821" s="5"/>
    </row>
    <row r="822">
      <c r="AO822" s="40"/>
      <c r="AP822" s="5"/>
      <c r="AR822" s="40"/>
      <c r="AS822" s="5"/>
      <c r="AU822" s="40"/>
      <c r="AV822" s="5"/>
      <c r="AX822" s="40"/>
      <c r="AY822" s="5"/>
      <c r="BA822" s="40"/>
      <c r="BB822" s="5"/>
      <c r="BD822" s="40"/>
      <c r="BE822" s="5"/>
      <c r="BG822" s="40"/>
      <c r="BH822" s="5"/>
      <c r="BJ822" s="40"/>
      <c r="BK822" s="5"/>
      <c r="BM822" s="40"/>
      <c r="BN822" s="5"/>
      <c r="BP822" s="40"/>
      <c r="BQ822" s="5"/>
      <c r="BS822" s="40"/>
      <c r="BT822" s="5"/>
      <c r="BV822" s="40"/>
      <c r="BW822" s="5"/>
      <c r="BY822" s="40"/>
      <c r="BZ822" s="5"/>
      <c r="CB822" s="40"/>
      <c r="CC822" s="5"/>
      <c r="CE822" s="40"/>
      <c r="CF822" s="5"/>
      <c r="CH822" s="40"/>
      <c r="CI822" s="5"/>
      <c r="CK822" s="40"/>
      <c r="CL822" s="5"/>
      <c r="CN822" s="40"/>
      <c r="CO822" s="5"/>
      <c r="CQ822" s="40"/>
      <c r="CR822" s="5"/>
    </row>
    <row r="823">
      <c r="AO823" s="40"/>
      <c r="AP823" s="5"/>
      <c r="AR823" s="40"/>
      <c r="AS823" s="5"/>
      <c r="AU823" s="40"/>
      <c r="AV823" s="5"/>
      <c r="AX823" s="40"/>
      <c r="AY823" s="5"/>
      <c r="BA823" s="40"/>
      <c r="BB823" s="5"/>
      <c r="BD823" s="40"/>
      <c r="BE823" s="5"/>
      <c r="BG823" s="40"/>
      <c r="BH823" s="5"/>
      <c r="BJ823" s="40"/>
      <c r="BK823" s="5"/>
      <c r="BM823" s="40"/>
      <c r="BN823" s="5"/>
      <c r="BP823" s="40"/>
      <c r="BQ823" s="5"/>
      <c r="BS823" s="40"/>
      <c r="BT823" s="5"/>
      <c r="BV823" s="40"/>
      <c r="BW823" s="5"/>
      <c r="BY823" s="40"/>
      <c r="BZ823" s="5"/>
      <c r="CB823" s="40"/>
      <c r="CC823" s="5"/>
      <c r="CE823" s="40"/>
      <c r="CF823" s="5"/>
      <c r="CH823" s="40"/>
      <c r="CI823" s="5"/>
      <c r="CK823" s="40"/>
      <c r="CL823" s="5"/>
      <c r="CN823" s="40"/>
      <c r="CO823" s="5"/>
      <c r="CQ823" s="40"/>
      <c r="CR823" s="5"/>
    </row>
    <row r="824">
      <c r="AO824" s="40"/>
      <c r="AP824" s="5"/>
      <c r="AR824" s="40"/>
      <c r="AS824" s="5"/>
      <c r="AU824" s="40"/>
      <c r="AV824" s="5"/>
      <c r="AX824" s="40"/>
      <c r="AY824" s="5"/>
      <c r="BA824" s="40"/>
      <c r="BB824" s="5"/>
      <c r="BD824" s="40"/>
      <c r="BE824" s="5"/>
      <c r="BG824" s="40"/>
      <c r="BH824" s="5"/>
      <c r="BJ824" s="40"/>
      <c r="BK824" s="5"/>
      <c r="BM824" s="40"/>
      <c r="BN824" s="5"/>
      <c r="BP824" s="40"/>
      <c r="BQ824" s="5"/>
      <c r="BS824" s="40"/>
      <c r="BT824" s="5"/>
      <c r="BV824" s="40"/>
      <c r="BW824" s="5"/>
      <c r="BY824" s="40"/>
      <c r="BZ824" s="5"/>
      <c r="CB824" s="40"/>
      <c r="CC824" s="5"/>
      <c r="CE824" s="40"/>
      <c r="CF824" s="5"/>
      <c r="CH824" s="40"/>
      <c r="CI824" s="5"/>
      <c r="CK824" s="40"/>
      <c r="CL824" s="5"/>
      <c r="CN824" s="40"/>
      <c r="CO824" s="5"/>
      <c r="CQ824" s="40"/>
      <c r="CR824" s="5"/>
    </row>
    <row r="825">
      <c r="AO825" s="40"/>
      <c r="AP825" s="5"/>
      <c r="AR825" s="40"/>
      <c r="AS825" s="5"/>
      <c r="AU825" s="40"/>
      <c r="AV825" s="5"/>
      <c r="AX825" s="40"/>
      <c r="AY825" s="5"/>
      <c r="BA825" s="40"/>
      <c r="BB825" s="5"/>
      <c r="BD825" s="40"/>
      <c r="BE825" s="5"/>
      <c r="BG825" s="40"/>
      <c r="BH825" s="5"/>
      <c r="BJ825" s="40"/>
      <c r="BK825" s="5"/>
      <c r="BM825" s="40"/>
      <c r="BN825" s="5"/>
      <c r="BP825" s="40"/>
      <c r="BQ825" s="5"/>
      <c r="BS825" s="40"/>
      <c r="BT825" s="5"/>
      <c r="BV825" s="40"/>
      <c r="BW825" s="5"/>
      <c r="BY825" s="40"/>
      <c r="BZ825" s="5"/>
      <c r="CB825" s="40"/>
      <c r="CC825" s="5"/>
      <c r="CE825" s="40"/>
      <c r="CF825" s="5"/>
      <c r="CH825" s="40"/>
      <c r="CI825" s="5"/>
      <c r="CK825" s="40"/>
      <c r="CL825" s="5"/>
      <c r="CN825" s="40"/>
      <c r="CO825" s="5"/>
      <c r="CQ825" s="40"/>
      <c r="CR825" s="5"/>
    </row>
    <row r="826">
      <c r="AO826" s="40"/>
      <c r="AP826" s="5"/>
      <c r="AR826" s="40"/>
      <c r="AS826" s="5"/>
      <c r="AU826" s="40"/>
      <c r="AV826" s="5"/>
      <c r="AX826" s="40"/>
      <c r="AY826" s="5"/>
      <c r="BA826" s="40"/>
      <c r="BB826" s="5"/>
      <c r="BD826" s="40"/>
      <c r="BE826" s="5"/>
      <c r="BG826" s="40"/>
      <c r="BH826" s="5"/>
      <c r="BJ826" s="40"/>
      <c r="BK826" s="5"/>
      <c r="BM826" s="40"/>
      <c r="BN826" s="5"/>
      <c r="BP826" s="40"/>
      <c r="BQ826" s="5"/>
      <c r="BS826" s="40"/>
      <c r="BT826" s="5"/>
      <c r="BV826" s="40"/>
      <c r="BW826" s="5"/>
      <c r="BY826" s="40"/>
      <c r="BZ826" s="5"/>
      <c r="CB826" s="40"/>
      <c r="CC826" s="5"/>
      <c r="CE826" s="40"/>
      <c r="CF826" s="5"/>
      <c r="CH826" s="40"/>
      <c r="CI826" s="5"/>
      <c r="CK826" s="40"/>
      <c r="CL826" s="5"/>
      <c r="CN826" s="40"/>
      <c r="CO826" s="5"/>
      <c r="CQ826" s="40"/>
      <c r="CR826" s="5"/>
    </row>
    <row r="827">
      <c r="AO827" s="40"/>
      <c r="AP827" s="5"/>
      <c r="AR827" s="40"/>
      <c r="AS827" s="5"/>
      <c r="AU827" s="40"/>
      <c r="AV827" s="5"/>
      <c r="AX827" s="40"/>
      <c r="AY827" s="5"/>
      <c r="BA827" s="40"/>
      <c r="BB827" s="5"/>
      <c r="BD827" s="40"/>
      <c r="BE827" s="5"/>
      <c r="BG827" s="40"/>
      <c r="BH827" s="5"/>
      <c r="BJ827" s="40"/>
      <c r="BK827" s="5"/>
      <c r="BM827" s="40"/>
      <c r="BN827" s="5"/>
      <c r="BP827" s="40"/>
      <c r="BQ827" s="5"/>
      <c r="BS827" s="40"/>
      <c r="BT827" s="5"/>
      <c r="BV827" s="40"/>
      <c r="BW827" s="5"/>
      <c r="BY827" s="40"/>
      <c r="BZ827" s="5"/>
      <c r="CB827" s="40"/>
      <c r="CC827" s="5"/>
      <c r="CE827" s="40"/>
      <c r="CF827" s="5"/>
      <c r="CH827" s="40"/>
      <c r="CI827" s="5"/>
      <c r="CK827" s="40"/>
      <c r="CL827" s="5"/>
      <c r="CN827" s="40"/>
      <c r="CO827" s="5"/>
      <c r="CQ827" s="40"/>
      <c r="CR827" s="5"/>
    </row>
    <row r="828">
      <c r="AO828" s="40"/>
      <c r="AP828" s="5"/>
      <c r="AR828" s="40"/>
      <c r="AS828" s="5"/>
      <c r="AU828" s="40"/>
      <c r="AV828" s="5"/>
      <c r="AX828" s="40"/>
      <c r="AY828" s="5"/>
      <c r="BA828" s="40"/>
      <c r="BB828" s="5"/>
      <c r="BD828" s="40"/>
      <c r="BE828" s="5"/>
      <c r="BG828" s="40"/>
      <c r="BH828" s="5"/>
      <c r="BJ828" s="40"/>
      <c r="BK828" s="5"/>
      <c r="BM828" s="40"/>
      <c r="BN828" s="5"/>
      <c r="BP828" s="40"/>
      <c r="BQ828" s="5"/>
      <c r="BS828" s="40"/>
      <c r="BT828" s="5"/>
      <c r="BV828" s="40"/>
      <c r="BW828" s="5"/>
      <c r="BY828" s="40"/>
      <c r="BZ828" s="5"/>
      <c r="CB828" s="40"/>
      <c r="CC828" s="5"/>
      <c r="CE828" s="40"/>
      <c r="CF828" s="5"/>
      <c r="CH828" s="40"/>
      <c r="CI828" s="5"/>
      <c r="CK828" s="40"/>
      <c r="CL828" s="5"/>
      <c r="CN828" s="40"/>
      <c r="CO828" s="5"/>
      <c r="CQ828" s="40"/>
      <c r="CR828" s="5"/>
    </row>
    <row r="829">
      <c r="AO829" s="40"/>
      <c r="AP829" s="5"/>
      <c r="AR829" s="40"/>
      <c r="AS829" s="5"/>
      <c r="AU829" s="40"/>
      <c r="AV829" s="5"/>
      <c r="AX829" s="40"/>
      <c r="AY829" s="5"/>
      <c r="BA829" s="40"/>
      <c r="BB829" s="5"/>
      <c r="BD829" s="40"/>
      <c r="BE829" s="5"/>
      <c r="BG829" s="40"/>
      <c r="BH829" s="5"/>
      <c r="BJ829" s="40"/>
      <c r="BK829" s="5"/>
      <c r="BM829" s="40"/>
      <c r="BN829" s="5"/>
      <c r="BP829" s="40"/>
      <c r="BQ829" s="5"/>
      <c r="BS829" s="40"/>
      <c r="BT829" s="5"/>
      <c r="BV829" s="40"/>
      <c r="BW829" s="5"/>
      <c r="BY829" s="40"/>
      <c r="BZ829" s="5"/>
      <c r="CB829" s="40"/>
      <c r="CC829" s="5"/>
      <c r="CE829" s="40"/>
      <c r="CF829" s="5"/>
      <c r="CH829" s="40"/>
      <c r="CI829" s="5"/>
      <c r="CK829" s="40"/>
      <c r="CL829" s="5"/>
      <c r="CN829" s="40"/>
      <c r="CO829" s="5"/>
      <c r="CQ829" s="40"/>
      <c r="CR829" s="5"/>
    </row>
    <row r="830">
      <c r="AO830" s="40"/>
      <c r="AP830" s="5"/>
      <c r="AR830" s="40"/>
      <c r="AS830" s="5"/>
      <c r="AU830" s="40"/>
      <c r="AV830" s="5"/>
      <c r="AX830" s="40"/>
      <c r="AY830" s="5"/>
      <c r="BA830" s="40"/>
      <c r="BB830" s="5"/>
      <c r="BD830" s="40"/>
      <c r="BE830" s="5"/>
      <c r="BG830" s="40"/>
      <c r="BH830" s="5"/>
      <c r="BJ830" s="40"/>
      <c r="BK830" s="5"/>
      <c r="BM830" s="40"/>
      <c r="BN830" s="5"/>
      <c r="BP830" s="40"/>
      <c r="BQ830" s="5"/>
      <c r="BS830" s="40"/>
      <c r="BT830" s="5"/>
      <c r="BV830" s="40"/>
      <c r="BW830" s="5"/>
      <c r="BY830" s="40"/>
      <c r="BZ830" s="5"/>
      <c r="CB830" s="40"/>
      <c r="CC830" s="5"/>
      <c r="CE830" s="40"/>
      <c r="CF830" s="5"/>
      <c r="CH830" s="40"/>
      <c r="CI830" s="5"/>
      <c r="CK830" s="40"/>
      <c r="CL830" s="5"/>
      <c r="CN830" s="40"/>
      <c r="CO830" s="5"/>
      <c r="CQ830" s="40"/>
      <c r="CR830" s="5"/>
    </row>
    <row r="831">
      <c r="AO831" s="40"/>
      <c r="AP831" s="5"/>
      <c r="AR831" s="40"/>
      <c r="AS831" s="5"/>
      <c r="AU831" s="40"/>
      <c r="AV831" s="5"/>
      <c r="AX831" s="40"/>
      <c r="AY831" s="5"/>
      <c r="BA831" s="40"/>
      <c r="BB831" s="5"/>
      <c r="BD831" s="40"/>
      <c r="BE831" s="5"/>
      <c r="BG831" s="40"/>
      <c r="BH831" s="5"/>
      <c r="BJ831" s="40"/>
      <c r="BK831" s="5"/>
      <c r="BM831" s="40"/>
      <c r="BN831" s="5"/>
      <c r="BP831" s="40"/>
      <c r="BQ831" s="5"/>
      <c r="BS831" s="40"/>
      <c r="BT831" s="5"/>
      <c r="BV831" s="40"/>
      <c r="BW831" s="5"/>
      <c r="BY831" s="40"/>
      <c r="BZ831" s="5"/>
      <c r="CB831" s="40"/>
      <c r="CC831" s="5"/>
      <c r="CE831" s="40"/>
      <c r="CF831" s="5"/>
      <c r="CH831" s="40"/>
      <c r="CI831" s="5"/>
      <c r="CK831" s="40"/>
      <c r="CL831" s="5"/>
      <c r="CN831" s="40"/>
      <c r="CO831" s="5"/>
      <c r="CQ831" s="40"/>
      <c r="CR831" s="5"/>
    </row>
    <row r="832">
      <c r="AO832" s="40"/>
      <c r="AP832" s="5"/>
      <c r="AR832" s="40"/>
      <c r="AS832" s="5"/>
      <c r="AU832" s="40"/>
      <c r="AV832" s="5"/>
      <c r="AX832" s="40"/>
      <c r="AY832" s="5"/>
      <c r="BA832" s="40"/>
      <c r="BB832" s="5"/>
      <c r="BD832" s="40"/>
      <c r="BE832" s="5"/>
      <c r="BG832" s="40"/>
      <c r="BH832" s="5"/>
      <c r="BJ832" s="40"/>
      <c r="BK832" s="5"/>
      <c r="BM832" s="40"/>
      <c r="BN832" s="5"/>
      <c r="BP832" s="40"/>
      <c r="BQ832" s="5"/>
      <c r="BS832" s="40"/>
      <c r="BT832" s="5"/>
      <c r="BV832" s="40"/>
      <c r="BW832" s="5"/>
      <c r="BY832" s="40"/>
      <c r="BZ832" s="5"/>
      <c r="CB832" s="40"/>
      <c r="CC832" s="5"/>
      <c r="CE832" s="40"/>
      <c r="CF832" s="5"/>
      <c r="CH832" s="40"/>
      <c r="CI832" s="5"/>
      <c r="CK832" s="40"/>
      <c r="CL832" s="5"/>
      <c r="CN832" s="40"/>
      <c r="CO832" s="5"/>
      <c r="CQ832" s="40"/>
      <c r="CR832" s="5"/>
    </row>
    <row r="833">
      <c r="AO833" s="40"/>
      <c r="AP833" s="5"/>
      <c r="AR833" s="40"/>
      <c r="AS833" s="5"/>
      <c r="AU833" s="40"/>
      <c r="AV833" s="5"/>
      <c r="AX833" s="40"/>
      <c r="AY833" s="5"/>
      <c r="BA833" s="40"/>
      <c r="BB833" s="5"/>
      <c r="BD833" s="40"/>
      <c r="BE833" s="5"/>
      <c r="BG833" s="40"/>
      <c r="BH833" s="5"/>
      <c r="BJ833" s="40"/>
      <c r="BK833" s="5"/>
      <c r="BM833" s="40"/>
      <c r="BN833" s="5"/>
      <c r="BP833" s="40"/>
      <c r="BQ833" s="5"/>
      <c r="BS833" s="40"/>
      <c r="BT833" s="5"/>
      <c r="BV833" s="40"/>
      <c r="BW833" s="5"/>
      <c r="BY833" s="40"/>
      <c r="BZ833" s="5"/>
      <c r="CB833" s="40"/>
      <c r="CC833" s="5"/>
      <c r="CE833" s="40"/>
      <c r="CF833" s="5"/>
      <c r="CH833" s="40"/>
      <c r="CI833" s="5"/>
      <c r="CK833" s="40"/>
      <c r="CL833" s="5"/>
      <c r="CN833" s="40"/>
      <c r="CO833" s="5"/>
      <c r="CQ833" s="40"/>
      <c r="CR833" s="5"/>
    </row>
    <row r="834">
      <c r="AO834" s="40"/>
      <c r="AP834" s="5"/>
      <c r="AR834" s="40"/>
      <c r="AS834" s="5"/>
      <c r="AU834" s="40"/>
      <c r="AV834" s="5"/>
      <c r="AX834" s="40"/>
      <c r="AY834" s="5"/>
      <c r="BA834" s="40"/>
      <c r="BB834" s="5"/>
      <c r="BD834" s="40"/>
      <c r="BE834" s="5"/>
      <c r="BG834" s="40"/>
      <c r="BH834" s="5"/>
      <c r="BJ834" s="40"/>
      <c r="BK834" s="5"/>
      <c r="BM834" s="40"/>
      <c r="BN834" s="5"/>
      <c r="BP834" s="40"/>
      <c r="BQ834" s="5"/>
      <c r="BS834" s="40"/>
      <c r="BT834" s="5"/>
      <c r="BV834" s="40"/>
      <c r="BW834" s="5"/>
      <c r="BY834" s="40"/>
      <c r="BZ834" s="5"/>
      <c r="CB834" s="40"/>
      <c r="CC834" s="5"/>
      <c r="CE834" s="40"/>
      <c r="CF834" s="5"/>
      <c r="CH834" s="40"/>
      <c r="CI834" s="5"/>
      <c r="CK834" s="40"/>
      <c r="CL834" s="5"/>
      <c r="CN834" s="40"/>
      <c r="CO834" s="5"/>
      <c r="CQ834" s="40"/>
      <c r="CR834" s="5"/>
    </row>
    <row r="835">
      <c r="AO835" s="40"/>
      <c r="AP835" s="5"/>
      <c r="AR835" s="40"/>
      <c r="AS835" s="5"/>
      <c r="AU835" s="40"/>
      <c r="AV835" s="5"/>
      <c r="AX835" s="40"/>
      <c r="AY835" s="5"/>
      <c r="BA835" s="40"/>
      <c r="BB835" s="5"/>
      <c r="BD835" s="40"/>
      <c r="BE835" s="5"/>
      <c r="BG835" s="40"/>
      <c r="BH835" s="5"/>
      <c r="BJ835" s="40"/>
      <c r="BK835" s="5"/>
      <c r="BM835" s="40"/>
      <c r="BN835" s="5"/>
      <c r="BP835" s="40"/>
      <c r="BQ835" s="5"/>
      <c r="BS835" s="40"/>
      <c r="BT835" s="5"/>
      <c r="BV835" s="40"/>
      <c r="BW835" s="5"/>
      <c r="BY835" s="40"/>
      <c r="BZ835" s="5"/>
      <c r="CB835" s="40"/>
      <c r="CC835" s="5"/>
      <c r="CE835" s="40"/>
      <c r="CF835" s="5"/>
      <c r="CH835" s="40"/>
      <c r="CI835" s="5"/>
      <c r="CK835" s="40"/>
      <c r="CL835" s="5"/>
      <c r="CN835" s="40"/>
      <c r="CO835" s="5"/>
      <c r="CQ835" s="40"/>
      <c r="CR835" s="5"/>
    </row>
    <row r="836">
      <c r="AO836" s="40"/>
      <c r="AP836" s="5"/>
      <c r="AR836" s="40"/>
      <c r="AS836" s="5"/>
      <c r="AU836" s="40"/>
      <c r="AV836" s="5"/>
      <c r="AX836" s="40"/>
      <c r="AY836" s="5"/>
      <c r="BA836" s="40"/>
      <c r="BB836" s="5"/>
      <c r="BD836" s="40"/>
      <c r="BE836" s="5"/>
      <c r="BG836" s="40"/>
      <c r="BH836" s="5"/>
      <c r="BJ836" s="40"/>
      <c r="BK836" s="5"/>
      <c r="BM836" s="40"/>
      <c r="BN836" s="5"/>
      <c r="BP836" s="40"/>
      <c r="BQ836" s="5"/>
      <c r="BS836" s="40"/>
      <c r="BT836" s="5"/>
      <c r="BV836" s="40"/>
      <c r="BW836" s="5"/>
      <c r="BY836" s="40"/>
      <c r="BZ836" s="5"/>
      <c r="CB836" s="40"/>
      <c r="CC836" s="5"/>
      <c r="CE836" s="40"/>
      <c r="CF836" s="5"/>
      <c r="CH836" s="40"/>
      <c r="CI836" s="5"/>
      <c r="CK836" s="40"/>
      <c r="CL836" s="5"/>
      <c r="CN836" s="40"/>
      <c r="CO836" s="5"/>
      <c r="CQ836" s="40"/>
      <c r="CR836" s="5"/>
    </row>
    <row r="837">
      <c r="AO837" s="40"/>
      <c r="AP837" s="5"/>
      <c r="AR837" s="40"/>
      <c r="AS837" s="5"/>
      <c r="AU837" s="40"/>
      <c r="AV837" s="5"/>
      <c r="AX837" s="40"/>
      <c r="AY837" s="5"/>
      <c r="BA837" s="40"/>
      <c r="BB837" s="5"/>
      <c r="BD837" s="40"/>
      <c r="BE837" s="5"/>
      <c r="BG837" s="40"/>
      <c r="BH837" s="5"/>
      <c r="BJ837" s="40"/>
      <c r="BK837" s="5"/>
      <c r="BM837" s="40"/>
      <c r="BN837" s="5"/>
      <c r="BP837" s="40"/>
      <c r="BQ837" s="5"/>
      <c r="BS837" s="40"/>
      <c r="BT837" s="5"/>
      <c r="BV837" s="40"/>
      <c r="BW837" s="5"/>
      <c r="BY837" s="40"/>
      <c r="BZ837" s="5"/>
      <c r="CB837" s="40"/>
      <c r="CC837" s="5"/>
      <c r="CE837" s="40"/>
      <c r="CF837" s="5"/>
      <c r="CH837" s="40"/>
      <c r="CI837" s="5"/>
      <c r="CK837" s="40"/>
      <c r="CL837" s="5"/>
      <c r="CN837" s="40"/>
      <c r="CO837" s="5"/>
      <c r="CQ837" s="40"/>
      <c r="CR837" s="5"/>
    </row>
    <row r="838">
      <c r="AO838" s="40"/>
      <c r="AP838" s="5"/>
      <c r="AR838" s="40"/>
      <c r="AS838" s="5"/>
      <c r="AU838" s="40"/>
      <c r="AV838" s="5"/>
      <c r="AX838" s="40"/>
      <c r="AY838" s="5"/>
      <c r="BA838" s="40"/>
      <c r="BB838" s="5"/>
      <c r="BD838" s="40"/>
      <c r="BE838" s="5"/>
      <c r="BG838" s="40"/>
      <c r="BH838" s="5"/>
      <c r="BJ838" s="40"/>
      <c r="BK838" s="5"/>
      <c r="BM838" s="40"/>
      <c r="BN838" s="5"/>
      <c r="BP838" s="40"/>
      <c r="BQ838" s="5"/>
      <c r="BS838" s="40"/>
      <c r="BT838" s="5"/>
      <c r="BV838" s="40"/>
      <c r="BW838" s="5"/>
      <c r="BY838" s="40"/>
      <c r="BZ838" s="5"/>
      <c r="CB838" s="40"/>
      <c r="CC838" s="5"/>
      <c r="CE838" s="40"/>
      <c r="CF838" s="5"/>
      <c r="CH838" s="40"/>
      <c r="CI838" s="5"/>
      <c r="CK838" s="40"/>
      <c r="CL838" s="5"/>
      <c r="CN838" s="40"/>
      <c r="CO838" s="5"/>
      <c r="CQ838" s="40"/>
      <c r="CR838" s="5"/>
    </row>
    <row r="839">
      <c r="AO839" s="40"/>
      <c r="AP839" s="5"/>
      <c r="AR839" s="40"/>
      <c r="AS839" s="5"/>
      <c r="AU839" s="40"/>
      <c r="AV839" s="5"/>
      <c r="AX839" s="40"/>
      <c r="AY839" s="5"/>
      <c r="BA839" s="40"/>
      <c r="BB839" s="5"/>
      <c r="BD839" s="40"/>
      <c r="BE839" s="5"/>
      <c r="BG839" s="40"/>
      <c r="BH839" s="5"/>
      <c r="BJ839" s="40"/>
      <c r="BK839" s="5"/>
      <c r="BM839" s="40"/>
      <c r="BN839" s="5"/>
      <c r="BP839" s="40"/>
      <c r="BQ839" s="5"/>
      <c r="BS839" s="40"/>
      <c r="BT839" s="5"/>
      <c r="BV839" s="40"/>
      <c r="BW839" s="5"/>
      <c r="BY839" s="40"/>
      <c r="BZ839" s="5"/>
      <c r="CB839" s="40"/>
      <c r="CC839" s="5"/>
      <c r="CE839" s="40"/>
      <c r="CF839" s="5"/>
      <c r="CH839" s="40"/>
      <c r="CI839" s="5"/>
      <c r="CK839" s="40"/>
      <c r="CL839" s="5"/>
      <c r="CN839" s="40"/>
      <c r="CO839" s="5"/>
      <c r="CQ839" s="40"/>
      <c r="CR839" s="5"/>
    </row>
    <row r="840">
      <c r="AO840" s="40"/>
      <c r="AP840" s="5"/>
      <c r="AR840" s="40"/>
      <c r="AS840" s="5"/>
      <c r="AU840" s="40"/>
      <c r="AV840" s="5"/>
      <c r="AX840" s="40"/>
      <c r="AY840" s="5"/>
      <c r="BA840" s="40"/>
      <c r="BB840" s="5"/>
      <c r="BD840" s="40"/>
      <c r="BE840" s="5"/>
      <c r="BG840" s="40"/>
      <c r="BH840" s="5"/>
      <c r="BJ840" s="40"/>
      <c r="BK840" s="5"/>
      <c r="BM840" s="40"/>
      <c r="BN840" s="5"/>
      <c r="BP840" s="40"/>
      <c r="BQ840" s="5"/>
      <c r="BS840" s="40"/>
      <c r="BT840" s="5"/>
      <c r="BV840" s="40"/>
      <c r="BW840" s="5"/>
      <c r="BY840" s="40"/>
      <c r="BZ840" s="5"/>
      <c r="CB840" s="40"/>
      <c r="CC840" s="5"/>
      <c r="CE840" s="40"/>
      <c r="CF840" s="5"/>
      <c r="CH840" s="40"/>
      <c r="CI840" s="5"/>
      <c r="CK840" s="40"/>
      <c r="CL840" s="5"/>
      <c r="CN840" s="40"/>
      <c r="CO840" s="5"/>
      <c r="CQ840" s="40"/>
      <c r="CR840" s="5"/>
    </row>
    <row r="841">
      <c r="AO841" s="40"/>
      <c r="AP841" s="5"/>
      <c r="AR841" s="40"/>
      <c r="AS841" s="5"/>
      <c r="AU841" s="40"/>
      <c r="AV841" s="5"/>
      <c r="AX841" s="40"/>
      <c r="AY841" s="5"/>
      <c r="BA841" s="40"/>
      <c r="BB841" s="5"/>
      <c r="BD841" s="40"/>
      <c r="BE841" s="5"/>
      <c r="BG841" s="40"/>
      <c r="BH841" s="5"/>
      <c r="BJ841" s="40"/>
      <c r="BK841" s="5"/>
      <c r="BM841" s="40"/>
      <c r="BN841" s="5"/>
      <c r="BP841" s="40"/>
      <c r="BQ841" s="5"/>
      <c r="BS841" s="40"/>
      <c r="BT841" s="5"/>
      <c r="BV841" s="40"/>
      <c r="BW841" s="5"/>
      <c r="BY841" s="40"/>
      <c r="BZ841" s="5"/>
      <c r="CB841" s="40"/>
      <c r="CC841" s="5"/>
      <c r="CE841" s="40"/>
      <c r="CF841" s="5"/>
      <c r="CH841" s="40"/>
      <c r="CI841" s="5"/>
      <c r="CK841" s="40"/>
      <c r="CL841" s="5"/>
      <c r="CN841" s="40"/>
      <c r="CO841" s="5"/>
      <c r="CQ841" s="40"/>
      <c r="CR841" s="5"/>
    </row>
    <row r="842">
      <c r="AO842" s="40"/>
      <c r="AP842" s="5"/>
      <c r="AR842" s="40"/>
      <c r="AS842" s="5"/>
      <c r="AU842" s="40"/>
      <c r="AV842" s="5"/>
      <c r="AX842" s="40"/>
      <c r="AY842" s="5"/>
      <c r="BA842" s="40"/>
      <c r="BB842" s="5"/>
      <c r="BD842" s="40"/>
      <c r="BE842" s="5"/>
      <c r="BG842" s="40"/>
      <c r="BH842" s="5"/>
      <c r="BJ842" s="40"/>
      <c r="BK842" s="5"/>
      <c r="BM842" s="40"/>
      <c r="BN842" s="5"/>
      <c r="BP842" s="40"/>
      <c r="BQ842" s="5"/>
      <c r="BS842" s="40"/>
      <c r="BT842" s="5"/>
      <c r="BV842" s="40"/>
      <c r="BW842" s="5"/>
      <c r="BY842" s="40"/>
      <c r="BZ842" s="5"/>
      <c r="CB842" s="40"/>
      <c r="CC842" s="5"/>
      <c r="CE842" s="40"/>
      <c r="CF842" s="5"/>
      <c r="CH842" s="40"/>
      <c r="CI842" s="5"/>
      <c r="CK842" s="40"/>
      <c r="CL842" s="5"/>
      <c r="CN842" s="40"/>
      <c r="CO842" s="5"/>
      <c r="CQ842" s="40"/>
      <c r="CR842" s="5"/>
    </row>
    <row r="843">
      <c r="AO843" s="40"/>
      <c r="AP843" s="5"/>
      <c r="AR843" s="40"/>
      <c r="AS843" s="5"/>
      <c r="AU843" s="40"/>
      <c r="AV843" s="5"/>
      <c r="AX843" s="40"/>
      <c r="AY843" s="5"/>
      <c r="BA843" s="40"/>
      <c r="BB843" s="5"/>
      <c r="BD843" s="40"/>
      <c r="BE843" s="5"/>
      <c r="BG843" s="40"/>
      <c r="BH843" s="5"/>
      <c r="BJ843" s="40"/>
      <c r="BK843" s="5"/>
      <c r="BM843" s="40"/>
      <c r="BN843" s="5"/>
      <c r="BP843" s="40"/>
      <c r="BQ843" s="5"/>
      <c r="BS843" s="40"/>
      <c r="BT843" s="5"/>
      <c r="BV843" s="40"/>
      <c r="BW843" s="5"/>
      <c r="BY843" s="40"/>
      <c r="BZ843" s="5"/>
      <c r="CB843" s="40"/>
      <c r="CC843" s="5"/>
      <c r="CE843" s="40"/>
      <c r="CF843" s="5"/>
      <c r="CH843" s="40"/>
      <c r="CI843" s="5"/>
      <c r="CK843" s="40"/>
      <c r="CL843" s="5"/>
      <c r="CN843" s="40"/>
      <c r="CO843" s="5"/>
      <c r="CQ843" s="40"/>
      <c r="CR843" s="5"/>
    </row>
    <row r="844">
      <c r="AO844" s="40"/>
      <c r="AP844" s="5"/>
      <c r="AR844" s="40"/>
      <c r="AS844" s="5"/>
      <c r="AU844" s="40"/>
      <c r="AV844" s="5"/>
      <c r="AX844" s="40"/>
      <c r="AY844" s="5"/>
      <c r="BA844" s="40"/>
      <c r="BB844" s="5"/>
      <c r="BD844" s="40"/>
      <c r="BE844" s="5"/>
      <c r="BG844" s="40"/>
      <c r="BH844" s="5"/>
      <c r="BJ844" s="40"/>
      <c r="BK844" s="5"/>
      <c r="BM844" s="40"/>
      <c r="BN844" s="5"/>
      <c r="BP844" s="40"/>
      <c r="BQ844" s="5"/>
      <c r="BS844" s="40"/>
      <c r="BT844" s="5"/>
      <c r="BV844" s="40"/>
      <c r="BW844" s="5"/>
      <c r="BY844" s="40"/>
      <c r="BZ844" s="5"/>
      <c r="CB844" s="40"/>
      <c r="CC844" s="5"/>
      <c r="CE844" s="40"/>
      <c r="CF844" s="5"/>
      <c r="CH844" s="40"/>
      <c r="CI844" s="5"/>
      <c r="CK844" s="40"/>
      <c r="CL844" s="5"/>
      <c r="CN844" s="40"/>
      <c r="CO844" s="5"/>
      <c r="CQ844" s="40"/>
      <c r="CR844" s="5"/>
    </row>
    <row r="845">
      <c r="AO845" s="40"/>
      <c r="AP845" s="5"/>
      <c r="AR845" s="40"/>
      <c r="AS845" s="5"/>
      <c r="AU845" s="40"/>
      <c r="AV845" s="5"/>
      <c r="AX845" s="40"/>
      <c r="AY845" s="5"/>
      <c r="BA845" s="40"/>
      <c r="BB845" s="5"/>
      <c r="BD845" s="40"/>
      <c r="BE845" s="5"/>
      <c r="BG845" s="40"/>
      <c r="BH845" s="5"/>
      <c r="BJ845" s="40"/>
      <c r="BK845" s="5"/>
      <c r="BM845" s="40"/>
      <c r="BN845" s="5"/>
      <c r="BP845" s="40"/>
      <c r="BQ845" s="5"/>
      <c r="BS845" s="40"/>
      <c r="BT845" s="5"/>
      <c r="BV845" s="40"/>
      <c r="BW845" s="5"/>
      <c r="BY845" s="40"/>
      <c r="BZ845" s="5"/>
      <c r="CB845" s="40"/>
      <c r="CC845" s="5"/>
      <c r="CE845" s="40"/>
      <c r="CF845" s="5"/>
      <c r="CH845" s="40"/>
      <c r="CI845" s="5"/>
      <c r="CK845" s="40"/>
      <c r="CL845" s="5"/>
      <c r="CN845" s="40"/>
      <c r="CO845" s="5"/>
      <c r="CQ845" s="40"/>
      <c r="CR845" s="5"/>
    </row>
    <row r="846">
      <c r="AO846" s="40"/>
      <c r="AP846" s="5"/>
      <c r="AR846" s="40"/>
      <c r="AS846" s="5"/>
      <c r="AU846" s="40"/>
      <c r="AV846" s="5"/>
      <c r="AX846" s="40"/>
      <c r="AY846" s="5"/>
      <c r="BA846" s="40"/>
      <c r="BB846" s="5"/>
      <c r="BD846" s="40"/>
      <c r="BE846" s="5"/>
      <c r="BG846" s="40"/>
      <c r="BH846" s="5"/>
      <c r="BJ846" s="40"/>
      <c r="BK846" s="5"/>
      <c r="BM846" s="40"/>
      <c r="BN846" s="5"/>
      <c r="BP846" s="40"/>
      <c r="BQ846" s="5"/>
      <c r="BS846" s="40"/>
      <c r="BT846" s="5"/>
      <c r="BV846" s="40"/>
      <c r="BW846" s="5"/>
      <c r="BY846" s="40"/>
      <c r="BZ846" s="5"/>
      <c r="CB846" s="40"/>
      <c r="CC846" s="5"/>
      <c r="CE846" s="40"/>
      <c r="CF846" s="5"/>
      <c r="CH846" s="40"/>
      <c r="CI846" s="5"/>
      <c r="CK846" s="40"/>
      <c r="CL846" s="5"/>
      <c r="CN846" s="40"/>
      <c r="CO846" s="5"/>
      <c r="CQ846" s="40"/>
      <c r="CR846" s="5"/>
    </row>
    <row r="847">
      <c r="AO847" s="40"/>
      <c r="AP847" s="5"/>
      <c r="AR847" s="40"/>
      <c r="AS847" s="5"/>
      <c r="AU847" s="40"/>
      <c r="AV847" s="5"/>
      <c r="AX847" s="40"/>
      <c r="AY847" s="5"/>
      <c r="BA847" s="40"/>
      <c r="BB847" s="5"/>
      <c r="BD847" s="40"/>
      <c r="BE847" s="5"/>
      <c r="BG847" s="40"/>
      <c r="BH847" s="5"/>
      <c r="BJ847" s="40"/>
      <c r="BK847" s="5"/>
      <c r="BM847" s="40"/>
      <c r="BN847" s="5"/>
      <c r="BP847" s="40"/>
      <c r="BQ847" s="5"/>
      <c r="BS847" s="40"/>
      <c r="BT847" s="5"/>
      <c r="BV847" s="40"/>
      <c r="BW847" s="5"/>
      <c r="BY847" s="40"/>
      <c r="BZ847" s="5"/>
      <c r="CB847" s="40"/>
      <c r="CC847" s="5"/>
      <c r="CE847" s="40"/>
      <c r="CF847" s="5"/>
      <c r="CH847" s="40"/>
      <c r="CI847" s="5"/>
      <c r="CK847" s="40"/>
      <c r="CL847" s="5"/>
      <c r="CN847" s="40"/>
      <c r="CO847" s="5"/>
      <c r="CQ847" s="40"/>
      <c r="CR847" s="5"/>
    </row>
    <row r="848">
      <c r="AO848" s="40"/>
      <c r="AP848" s="5"/>
      <c r="AR848" s="40"/>
      <c r="AS848" s="5"/>
      <c r="AU848" s="40"/>
      <c r="AV848" s="5"/>
      <c r="AX848" s="40"/>
      <c r="AY848" s="5"/>
      <c r="BA848" s="40"/>
      <c r="BB848" s="5"/>
      <c r="BD848" s="40"/>
      <c r="BE848" s="5"/>
      <c r="BG848" s="40"/>
      <c r="BH848" s="5"/>
      <c r="BJ848" s="40"/>
      <c r="BK848" s="5"/>
      <c r="BM848" s="40"/>
      <c r="BN848" s="5"/>
      <c r="BP848" s="40"/>
      <c r="BQ848" s="5"/>
      <c r="BS848" s="40"/>
      <c r="BT848" s="5"/>
      <c r="BV848" s="40"/>
      <c r="BW848" s="5"/>
      <c r="BY848" s="40"/>
      <c r="BZ848" s="5"/>
      <c r="CB848" s="40"/>
      <c r="CC848" s="5"/>
      <c r="CE848" s="40"/>
      <c r="CF848" s="5"/>
      <c r="CH848" s="40"/>
      <c r="CI848" s="5"/>
      <c r="CK848" s="40"/>
      <c r="CL848" s="5"/>
      <c r="CN848" s="40"/>
      <c r="CO848" s="5"/>
      <c r="CQ848" s="40"/>
      <c r="CR848" s="5"/>
    </row>
    <row r="849">
      <c r="AO849" s="40"/>
      <c r="AP849" s="5"/>
      <c r="AR849" s="40"/>
      <c r="AS849" s="5"/>
      <c r="AU849" s="40"/>
      <c r="AV849" s="5"/>
      <c r="AX849" s="40"/>
      <c r="AY849" s="5"/>
      <c r="BA849" s="40"/>
      <c r="BB849" s="5"/>
      <c r="BD849" s="40"/>
      <c r="BE849" s="5"/>
      <c r="BG849" s="40"/>
      <c r="BH849" s="5"/>
      <c r="BJ849" s="40"/>
      <c r="BK849" s="5"/>
      <c r="BM849" s="40"/>
      <c r="BN849" s="5"/>
      <c r="BP849" s="40"/>
      <c r="BQ849" s="5"/>
      <c r="BS849" s="40"/>
      <c r="BT849" s="5"/>
      <c r="BV849" s="40"/>
      <c r="BW849" s="5"/>
      <c r="BY849" s="40"/>
      <c r="BZ849" s="5"/>
      <c r="CB849" s="40"/>
      <c r="CC849" s="5"/>
      <c r="CE849" s="40"/>
      <c r="CF849" s="5"/>
      <c r="CH849" s="40"/>
      <c r="CI849" s="5"/>
      <c r="CK849" s="40"/>
      <c r="CL849" s="5"/>
      <c r="CN849" s="40"/>
      <c r="CO849" s="5"/>
      <c r="CQ849" s="40"/>
      <c r="CR849" s="5"/>
    </row>
    <row r="850">
      <c r="AO850" s="40"/>
      <c r="AP850" s="5"/>
      <c r="AR850" s="40"/>
      <c r="AS850" s="5"/>
      <c r="AU850" s="40"/>
      <c r="AV850" s="5"/>
      <c r="AX850" s="40"/>
      <c r="AY850" s="5"/>
      <c r="BA850" s="40"/>
      <c r="BB850" s="5"/>
      <c r="BD850" s="40"/>
      <c r="BE850" s="5"/>
      <c r="BG850" s="40"/>
      <c r="BH850" s="5"/>
      <c r="BJ850" s="40"/>
      <c r="BK850" s="5"/>
      <c r="BM850" s="40"/>
      <c r="BN850" s="5"/>
      <c r="BP850" s="40"/>
      <c r="BQ850" s="5"/>
      <c r="BS850" s="40"/>
      <c r="BT850" s="5"/>
      <c r="BV850" s="40"/>
      <c r="BW850" s="5"/>
      <c r="BY850" s="40"/>
      <c r="BZ850" s="5"/>
      <c r="CB850" s="40"/>
      <c r="CC850" s="5"/>
      <c r="CE850" s="40"/>
      <c r="CF850" s="5"/>
      <c r="CH850" s="40"/>
      <c r="CI850" s="5"/>
      <c r="CK850" s="40"/>
      <c r="CL850" s="5"/>
      <c r="CN850" s="40"/>
      <c r="CO850" s="5"/>
      <c r="CQ850" s="40"/>
      <c r="CR850" s="5"/>
    </row>
    <row r="851">
      <c r="AO851" s="40"/>
      <c r="AP851" s="5"/>
      <c r="AR851" s="40"/>
      <c r="AS851" s="5"/>
      <c r="AU851" s="40"/>
      <c r="AV851" s="5"/>
      <c r="AX851" s="40"/>
      <c r="AY851" s="5"/>
      <c r="BA851" s="40"/>
      <c r="BB851" s="5"/>
      <c r="BD851" s="40"/>
      <c r="BE851" s="5"/>
      <c r="BG851" s="40"/>
      <c r="BH851" s="5"/>
      <c r="BJ851" s="40"/>
      <c r="BK851" s="5"/>
      <c r="BM851" s="40"/>
      <c r="BN851" s="5"/>
      <c r="BP851" s="40"/>
      <c r="BQ851" s="5"/>
      <c r="BS851" s="40"/>
      <c r="BT851" s="5"/>
      <c r="BV851" s="40"/>
      <c r="BW851" s="5"/>
      <c r="BY851" s="40"/>
      <c r="BZ851" s="5"/>
      <c r="CB851" s="40"/>
      <c r="CC851" s="5"/>
      <c r="CE851" s="40"/>
      <c r="CF851" s="5"/>
      <c r="CH851" s="40"/>
      <c r="CI851" s="5"/>
      <c r="CK851" s="40"/>
      <c r="CL851" s="5"/>
      <c r="CN851" s="40"/>
      <c r="CO851" s="5"/>
      <c r="CQ851" s="40"/>
      <c r="CR851" s="5"/>
    </row>
    <row r="852">
      <c r="AO852" s="40"/>
      <c r="AP852" s="5"/>
      <c r="AR852" s="40"/>
      <c r="AS852" s="5"/>
      <c r="AU852" s="40"/>
      <c r="AV852" s="5"/>
      <c r="AX852" s="40"/>
      <c r="AY852" s="5"/>
      <c r="BA852" s="40"/>
      <c r="BB852" s="5"/>
      <c r="BD852" s="40"/>
      <c r="BE852" s="5"/>
      <c r="BG852" s="40"/>
      <c r="BH852" s="5"/>
      <c r="BJ852" s="40"/>
      <c r="BK852" s="5"/>
      <c r="BM852" s="40"/>
      <c r="BN852" s="5"/>
      <c r="BP852" s="40"/>
      <c r="BQ852" s="5"/>
      <c r="BS852" s="40"/>
      <c r="BT852" s="5"/>
      <c r="BV852" s="40"/>
      <c r="BW852" s="5"/>
      <c r="BY852" s="40"/>
      <c r="BZ852" s="5"/>
      <c r="CB852" s="40"/>
      <c r="CC852" s="5"/>
      <c r="CE852" s="40"/>
      <c r="CF852" s="5"/>
      <c r="CH852" s="40"/>
      <c r="CI852" s="5"/>
      <c r="CK852" s="40"/>
      <c r="CL852" s="5"/>
      <c r="CN852" s="40"/>
      <c r="CO852" s="5"/>
      <c r="CQ852" s="40"/>
      <c r="CR852" s="5"/>
    </row>
    <row r="853">
      <c r="AO853" s="40"/>
      <c r="AP853" s="5"/>
      <c r="AR853" s="40"/>
      <c r="AS853" s="5"/>
      <c r="AU853" s="40"/>
      <c r="AV853" s="5"/>
      <c r="AX853" s="40"/>
      <c r="AY853" s="5"/>
      <c r="BA853" s="40"/>
      <c r="BB853" s="5"/>
      <c r="BD853" s="40"/>
      <c r="BE853" s="5"/>
      <c r="BG853" s="40"/>
      <c r="BH853" s="5"/>
      <c r="BJ853" s="40"/>
      <c r="BK853" s="5"/>
      <c r="BM853" s="40"/>
      <c r="BN853" s="5"/>
      <c r="BP853" s="40"/>
      <c r="BQ853" s="5"/>
      <c r="BS853" s="40"/>
      <c r="BT853" s="5"/>
      <c r="BV853" s="40"/>
      <c r="BW853" s="5"/>
      <c r="BY853" s="40"/>
      <c r="BZ853" s="5"/>
      <c r="CB853" s="40"/>
      <c r="CC853" s="5"/>
      <c r="CE853" s="40"/>
      <c r="CF853" s="5"/>
      <c r="CH853" s="40"/>
      <c r="CI853" s="5"/>
      <c r="CK853" s="40"/>
      <c r="CL853" s="5"/>
      <c r="CN853" s="40"/>
      <c r="CO853" s="5"/>
      <c r="CQ853" s="40"/>
      <c r="CR853" s="5"/>
    </row>
    <row r="854">
      <c r="AO854" s="40"/>
      <c r="AP854" s="5"/>
      <c r="AR854" s="40"/>
      <c r="AS854" s="5"/>
      <c r="AU854" s="40"/>
      <c r="AV854" s="5"/>
      <c r="AX854" s="40"/>
      <c r="AY854" s="5"/>
      <c r="BA854" s="40"/>
      <c r="BB854" s="5"/>
      <c r="BD854" s="40"/>
      <c r="BE854" s="5"/>
      <c r="BG854" s="40"/>
      <c r="BH854" s="5"/>
      <c r="BJ854" s="40"/>
      <c r="BK854" s="5"/>
      <c r="BM854" s="40"/>
      <c r="BN854" s="5"/>
      <c r="BP854" s="40"/>
      <c r="BQ854" s="5"/>
      <c r="BS854" s="40"/>
      <c r="BT854" s="5"/>
      <c r="BV854" s="40"/>
      <c r="BW854" s="5"/>
      <c r="BY854" s="40"/>
      <c r="BZ854" s="5"/>
      <c r="CB854" s="40"/>
      <c r="CC854" s="5"/>
      <c r="CE854" s="40"/>
      <c r="CF854" s="5"/>
      <c r="CH854" s="40"/>
      <c r="CI854" s="5"/>
      <c r="CK854" s="40"/>
      <c r="CL854" s="5"/>
      <c r="CN854" s="40"/>
      <c r="CO854" s="5"/>
      <c r="CQ854" s="40"/>
      <c r="CR854" s="5"/>
    </row>
    <row r="855">
      <c r="AO855" s="40"/>
      <c r="AP855" s="5"/>
      <c r="AR855" s="40"/>
      <c r="AS855" s="5"/>
      <c r="AU855" s="40"/>
      <c r="AV855" s="5"/>
      <c r="AX855" s="40"/>
      <c r="AY855" s="5"/>
      <c r="BA855" s="40"/>
      <c r="BB855" s="5"/>
      <c r="BD855" s="40"/>
      <c r="BE855" s="5"/>
      <c r="BG855" s="40"/>
      <c r="BH855" s="5"/>
      <c r="BJ855" s="40"/>
      <c r="BK855" s="5"/>
      <c r="BM855" s="40"/>
      <c r="BN855" s="5"/>
      <c r="BP855" s="40"/>
      <c r="BQ855" s="5"/>
      <c r="BS855" s="40"/>
      <c r="BT855" s="5"/>
      <c r="BV855" s="40"/>
      <c r="BW855" s="5"/>
      <c r="BY855" s="40"/>
      <c r="BZ855" s="5"/>
      <c r="CB855" s="40"/>
      <c r="CC855" s="5"/>
      <c r="CE855" s="40"/>
      <c r="CF855" s="5"/>
      <c r="CH855" s="40"/>
      <c r="CI855" s="5"/>
      <c r="CK855" s="40"/>
      <c r="CL855" s="5"/>
      <c r="CN855" s="40"/>
      <c r="CO855" s="5"/>
      <c r="CQ855" s="40"/>
      <c r="CR855" s="5"/>
    </row>
    <row r="856">
      <c r="AO856" s="40"/>
      <c r="AP856" s="5"/>
      <c r="AR856" s="40"/>
      <c r="AS856" s="5"/>
      <c r="AU856" s="40"/>
      <c r="AV856" s="5"/>
      <c r="AX856" s="40"/>
      <c r="AY856" s="5"/>
      <c r="BA856" s="40"/>
      <c r="BB856" s="5"/>
      <c r="BD856" s="40"/>
      <c r="BE856" s="5"/>
      <c r="BG856" s="40"/>
      <c r="BH856" s="5"/>
      <c r="BJ856" s="40"/>
      <c r="BK856" s="5"/>
      <c r="BM856" s="40"/>
      <c r="BN856" s="5"/>
      <c r="BP856" s="40"/>
      <c r="BQ856" s="5"/>
      <c r="BS856" s="40"/>
      <c r="BT856" s="5"/>
      <c r="BV856" s="40"/>
      <c r="BW856" s="5"/>
      <c r="BY856" s="40"/>
      <c r="BZ856" s="5"/>
      <c r="CB856" s="40"/>
      <c r="CC856" s="5"/>
      <c r="CE856" s="40"/>
      <c r="CF856" s="5"/>
      <c r="CH856" s="40"/>
      <c r="CI856" s="5"/>
      <c r="CK856" s="40"/>
      <c r="CL856" s="5"/>
      <c r="CN856" s="40"/>
      <c r="CO856" s="5"/>
      <c r="CQ856" s="40"/>
      <c r="CR856" s="5"/>
    </row>
    <row r="857">
      <c r="AO857" s="40"/>
      <c r="AP857" s="5"/>
      <c r="AR857" s="40"/>
      <c r="AS857" s="5"/>
      <c r="AU857" s="40"/>
      <c r="AV857" s="5"/>
      <c r="AX857" s="40"/>
      <c r="AY857" s="5"/>
      <c r="BA857" s="40"/>
      <c r="BB857" s="5"/>
      <c r="BD857" s="40"/>
      <c r="BE857" s="5"/>
      <c r="BG857" s="40"/>
      <c r="BH857" s="5"/>
      <c r="BJ857" s="40"/>
      <c r="BK857" s="5"/>
      <c r="BM857" s="40"/>
      <c r="BN857" s="5"/>
      <c r="BP857" s="40"/>
      <c r="BQ857" s="5"/>
      <c r="BS857" s="40"/>
      <c r="BT857" s="5"/>
      <c r="BV857" s="40"/>
      <c r="BW857" s="5"/>
      <c r="BY857" s="40"/>
      <c r="BZ857" s="5"/>
      <c r="CB857" s="40"/>
      <c r="CC857" s="5"/>
      <c r="CE857" s="40"/>
      <c r="CF857" s="5"/>
      <c r="CH857" s="40"/>
      <c r="CI857" s="5"/>
      <c r="CK857" s="40"/>
      <c r="CL857" s="5"/>
      <c r="CN857" s="40"/>
      <c r="CO857" s="5"/>
      <c r="CQ857" s="40"/>
      <c r="CR857" s="5"/>
    </row>
    <row r="858">
      <c r="AO858" s="40"/>
      <c r="AP858" s="5"/>
      <c r="AR858" s="40"/>
      <c r="AS858" s="5"/>
      <c r="AU858" s="40"/>
      <c r="AV858" s="5"/>
      <c r="AX858" s="40"/>
      <c r="AY858" s="5"/>
      <c r="BA858" s="40"/>
      <c r="BB858" s="5"/>
      <c r="BD858" s="40"/>
      <c r="BE858" s="5"/>
      <c r="BG858" s="40"/>
      <c r="BH858" s="5"/>
      <c r="BJ858" s="40"/>
      <c r="BK858" s="5"/>
      <c r="BM858" s="40"/>
      <c r="BN858" s="5"/>
      <c r="BP858" s="40"/>
      <c r="BQ858" s="5"/>
      <c r="BS858" s="40"/>
      <c r="BT858" s="5"/>
      <c r="BV858" s="40"/>
      <c r="BW858" s="5"/>
      <c r="BY858" s="40"/>
      <c r="BZ858" s="5"/>
      <c r="CB858" s="40"/>
      <c r="CC858" s="5"/>
      <c r="CE858" s="40"/>
      <c r="CF858" s="5"/>
      <c r="CH858" s="40"/>
      <c r="CI858" s="5"/>
      <c r="CK858" s="40"/>
      <c r="CL858" s="5"/>
      <c r="CN858" s="40"/>
      <c r="CO858" s="5"/>
      <c r="CQ858" s="40"/>
      <c r="CR858" s="5"/>
    </row>
    <row r="859">
      <c r="AO859" s="40"/>
      <c r="AP859" s="5"/>
      <c r="AR859" s="40"/>
      <c r="AS859" s="5"/>
      <c r="AU859" s="40"/>
      <c r="AV859" s="5"/>
      <c r="AX859" s="40"/>
      <c r="AY859" s="5"/>
      <c r="BA859" s="40"/>
      <c r="BB859" s="5"/>
      <c r="BD859" s="40"/>
      <c r="BE859" s="5"/>
      <c r="BG859" s="40"/>
      <c r="BH859" s="5"/>
      <c r="BJ859" s="40"/>
      <c r="BK859" s="5"/>
      <c r="BM859" s="40"/>
      <c r="BN859" s="5"/>
      <c r="BP859" s="40"/>
      <c r="BQ859" s="5"/>
      <c r="BS859" s="40"/>
      <c r="BT859" s="5"/>
      <c r="BV859" s="40"/>
      <c r="BW859" s="5"/>
      <c r="BY859" s="40"/>
      <c r="BZ859" s="5"/>
      <c r="CB859" s="40"/>
      <c r="CC859" s="5"/>
      <c r="CE859" s="40"/>
      <c r="CF859" s="5"/>
      <c r="CH859" s="40"/>
      <c r="CI859" s="5"/>
      <c r="CK859" s="40"/>
      <c r="CL859" s="5"/>
      <c r="CN859" s="40"/>
      <c r="CO859" s="5"/>
      <c r="CQ859" s="40"/>
      <c r="CR859" s="5"/>
    </row>
    <row r="860">
      <c r="AO860" s="40"/>
      <c r="AP860" s="5"/>
      <c r="AR860" s="40"/>
      <c r="AS860" s="5"/>
      <c r="AU860" s="40"/>
      <c r="AV860" s="5"/>
      <c r="AX860" s="40"/>
      <c r="AY860" s="5"/>
      <c r="BA860" s="40"/>
      <c r="BB860" s="5"/>
      <c r="BD860" s="40"/>
      <c r="BE860" s="5"/>
      <c r="BG860" s="40"/>
      <c r="BH860" s="5"/>
      <c r="BJ860" s="40"/>
      <c r="BK860" s="5"/>
      <c r="BM860" s="40"/>
      <c r="BN860" s="5"/>
      <c r="BP860" s="40"/>
      <c r="BQ860" s="5"/>
      <c r="BS860" s="40"/>
      <c r="BT860" s="5"/>
      <c r="BV860" s="40"/>
      <c r="BW860" s="5"/>
      <c r="BY860" s="40"/>
      <c r="BZ860" s="5"/>
      <c r="CB860" s="40"/>
      <c r="CC860" s="5"/>
      <c r="CE860" s="40"/>
      <c r="CF860" s="5"/>
      <c r="CH860" s="40"/>
      <c r="CI860" s="5"/>
      <c r="CK860" s="40"/>
      <c r="CL860" s="5"/>
      <c r="CN860" s="40"/>
      <c r="CO860" s="5"/>
      <c r="CQ860" s="40"/>
      <c r="CR860" s="5"/>
    </row>
    <row r="861">
      <c r="AO861" s="40"/>
      <c r="AP861" s="5"/>
      <c r="AR861" s="40"/>
      <c r="AS861" s="5"/>
      <c r="AU861" s="40"/>
      <c r="AV861" s="5"/>
      <c r="AX861" s="40"/>
      <c r="AY861" s="5"/>
      <c r="BA861" s="40"/>
      <c r="BB861" s="5"/>
      <c r="BD861" s="40"/>
      <c r="BE861" s="5"/>
      <c r="BG861" s="40"/>
      <c r="BH861" s="5"/>
      <c r="BJ861" s="40"/>
      <c r="BK861" s="5"/>
      <c r="BM861" s="40"/>
      <c r="BN861" s="5"/>
      <c r="BP861" s="40"/>
      <c r="BQ861" s="5"/>
      <c r="BS861" s="40"/>
      <c r="BT861" s="5"/>
      <c r="BV861" s="40"/>
      <c r="BW861" s="5"/>
      <c r="BY861" s="40"/>
      <c r="BZ861" s="5"/>
      <c r="CB861" s="40"/>
      <c r="CC861" s="5"/>
      <c r="CE861" s="40"/>
      <c r="CF861" s="5"/>
      <c r="CH861" s="40"/>
      <c r="CI861" s="5"/>
      <c r="CK861" s="40"/>
      <c r="CL861" s="5"/>
      <c r="CN861" s="40"/>
      <c r="CO861" s="5"/>
      <c r="CQ861" s="40"/>
      <c r="CR861" s="5"/>
    </row>
    <row r="862">
      <c r="AO862" s="40"/>
      <c r="AP862" s="5"/>
      <c r="AR862" s="40"/>
      <c r="AS862" s="5"/>
      <c r="AU862" s="40"/>
      <c r="AV862" s="5"/>
      <c r="AX862" s="40"/>
      <c r="AY862" s="5"/>
      <c r="BA862" s="40"/>
      <c r="BB862" s="5"/>
      <c r="BD862" s="40"/>
      <c r="BE862" s="5"/>
      <c r="BG862" s="40"/>
      <c r="BH862" s="5"/>
      <c r="BJ862" s="40"/>
      <c r="BK862" s="5"/>
      <c r="BM862" s="40"/>
      <c r="BN862" s="5"/>
      <c r="BP862" s="40"/>
      <c r="BQ862" s="5"/>
      <c r="BS862" s="40"/>
      <c r="BT862" s="5"/>
      <c r="BV862" s="40"/>
      <c r="BW862" s="5"/>
      <c r="BY862" s="40"/>
      <c r="BZ862" s="5"/>
      <c r="CB862" s="40"/>
      <c r="CC862" s="5"/>
      <c r="CE862" s="40"/>
      <c r="CF862" s="5"/>
      <c r="CH862" s="40"/>
      <c r="CI862" s="5"/>
      <c r="CK862" s="40"/>
      <c r="CL862" s="5"/>
      <c r="CN862" s="40"/>
      <c r="CO862" s="5"/>
      <c r="CQ862" s="40"/>
      <c r="CR862" s="5"/>
    </row>
    <row r="863">
      <c r="AO863" s="40"/>
      <c r="AP863" s="5"/>
      <c r="AR863" s="40"/>
      <c r="AS863" s="5"/>
      <c r="AU863" s="40"/>
      <c r="AV863" s="5"/>
      <c r="AX863" s="40"/>
      <c r="AY863" s="5"/>
      <c r="BA863" s="40"/>
      <c r="BB863" s="5"/>
      <c r="BD863" s="40"/>
      <c r="BE863" s="5"/>
      <c r="BG863" s="40"/>
      <c r="BH863" s="5"/>
      <c r="BJ863" s="40"/>
      <c r="BK863" s="5"/>
      <c r="BM863" s="40"/>
      <c r="BN863" s="5"/>
      <c r="BP863" s="40"/>
      <c r="BQ863" s="5"/>
      <c r="BS863" s="40"/>
      <c r="BT863" s="5"/>
      <c r="BV863" s="40"/>
      <c r="BW863" s="5"/>
      <c r="BY863" s="40"/>
      <c r="BZ863" s="5"/>
      <c r="CB863" s="40"/>
      <c r="CC863" s="5"/>
      <c r="CE863" s="40"/>
      <c r="CF863" s="5"/>
      <c r="CH863" s="40"/>
      <c r="CI863" s="5"/>
      <c r="CK863" s="40"/>
      <c r="CL863" s="5"/>
      <c r="CN863" s="40"/>
      <c r="CO863" s="5"/>
      <c r="CQ863" s="40"/>
      <c r="CR863" s="5"/>
    </row>
    <row r="864">
      <c r="AO864" s="40"/>
      <c r="AP864" s="5"/>
      <c r="AR864" s="40"/>
      <c r="AS864" s="5"/>
      <c r="AU864" s="40"/>
      <c r="AV864" s="5"/>
      <c r="AX864" s="40"/>
      <c r="AY864" s="5"/>
      <c r="BA864" s="40"/>
      <c r="BB864" s="5"/>
      <c r="BD864" s="40"/>
      <c r="BE864" s="5"/>
      <c r="BG864" s="40"/>
      <c r="BH864" s="5"/>
      <c r="BJ864" s="40"/>
      <c r="BK864" s="5"/>
      <c r="BM864" s="40"/>
      <c r="BN864" s="5"/>
      <c r="BP864" s="40"/>
      <c r="BQ864" s="5"/>
      <c r="BS864" s="40"/>
      <c r="BT864" s="5"/>
      <c r="BV864" s="40"/>
      <c r="BW864" s="5"/>
      <c r="BY864" s="40"/>
      <c r="BZ864" s="5"/>
      <c r="CB864" s="40"/>
      <c r="CC864" s="5"/>
      <c r="CE864" s="40"/>
      <c r="CF864" s="5"/>
      <c r="CH864" s="40"/>
      <c r="CI864" s="5"/>
      <c r="CK864" s="40"/>
      <c r="CL864" s="5"/>
      <c r="CN864" s="40"/>
      <c r="CO864" s="5"/>
      <c r="CQ864" s="40"/>
      <c r="CR864" s="5"/>
    </row>
    <row r="865">
      <c r="AO865" s="40"/>
      <c r="AP865" s="5"/>
      <c r="AR865" s="40"/>
      <c r="AS865" s="5"/>
      <c r="AU865" s="40"/>
      <c r="AV865" s="5"/>
      <c r="AX865" s="40"/>
      <c r="AY865" s="5"/>
      <c r="BA865" s="40"/>
      <c r="BB865" s="5"/>
      <c r="BD865" s="40"/>
      <c r="BE865" s="5"/>
      <c r="BG865" s="40"/>
      <c r="BH865" s="5"/>
      <c r="BJ865" s="40"/>
      <c r="BK865" s="5"/>
      <c r="BM865" s="40"/>
      <c r="BN865" s="5"/>
      <c r="BP865" s="40"/>
      <c r="BQ865" s="5"/>
      <c r="BS865" s="40"/>
      <c r="BT865" s="5"/>
      <c r="BV865" s="40"/>
      <c r="BW865" s="5"/>
      <c r="BY865" s="40"/>
      <c r="BZ865" s="5"/>
      <c r="CB865" s="40"/>
      <c r="CC865" s="5"/>
      <c r="CE865" s="40"/>
      <c r="CF865" s="5"/>
      <c r="CH865" s="40"/>
      <c r="CI865" s="5"/>
      <c r="CK865" s="40"/>
      <c r="CL865" s="5"/>
      <c r="CN865" s="40"/>
      <c r="CO865" s="5"/>
      <c r="CQ865" s="40"/>
      <c r="CR865" s="5"/>
    </row>
    <row r="866">
      <c r="AO866" s="40"/>
      <c r="AP866" s="5"/>
      <c r="AR866" s="40"/>
      <c r="AS866" s="5"/>
      <c r="AU866" s="40"/>
      <c r="AV866" s="5"/>
      <c r="AX866" s="40"/>
      <c r="AY866" s="5"/>
      <c r="BA866" s="40"/>
      <c r="BB866" s="5"/>
      <c r="BD866" s="40"/>
      <c r="BE866" s="5"/>
      <c r="BG866" s="40"/>
      <c r="BH866" s="5"/>
      <c r="BJ866" s="40"/>
      <c r="BK866" s="5"/>
      <c r="BM866" s="40"/>
      <c r="BN866" s="5"/>
      <c r="BP866" s="40"/>
      <c r="BQ866" s="5"/>
      <c r="BS866" s="40"/>
      <c r="BT866" s="5"/>
      <c r="BV866" s="40"/>
      <c r="BW866" s="5"/>
      <c r="BY866" s="40"/>
      <c r="BZ866" s="5"/>
      <c r="CB866" s="40"/>
      <c r="CC866" s="5"/>
      <c r="CE866" s="40"/>
      <c r="CF866" s="5"/>
      <c r="CH866" s="40"/>
      <c r="CI866" s="5"/>
      <c r="CK866" s="40"/>
      <c r="CL866" s="5"/>
      <c r="CN866" s="40"/>
      <c r="CO866" s="5"/>
      <c r="CQ866" s="40"/>
      <c r="CR866" s="5"/>
    </row>
    <row r="867">
      <c r="AO867" s="40"/>
      <c r="AP867" s="5"/>
      <c r="AR867" s="40"/>
      <c r="AS867" s="5"/>
      <c r="AU867" s="40"/>
      <c r="AV867" s="5"/>
      <c r="AX867" s="40"/>
      <c r="AY867" s="5"/>
      <c r="BA867" s="40"/>
      <c r="BB867" s="5"/>
      <c r="BD867" s="40"/>
      <c r="BE867" s="5"/>
      <c r="BG867" s="40"/>
      <c r="BH867" s="5"/>
      <c r="BJ867" s="40"/>
      <c r="BK867" s="5"/>
      <c r="BM867" s="40"/>
      <c r="BN867" s="5"/>
      <c r="BP867" s="40"/>
      <c r="BQ867" s="5"/>
      <c r="BS867" s="40"/>
      <c r="BT867" s="5"/>
      <c r="BV867" s="40"/>
      <c r="BW867" s="5"/>
      <c r="BY867" s="40"/>
      <c r="BZ867" s="5"/>
      <c r="CB867" s="40"/>
      <c r="CC867" s="5"/>
      <c r="CE867" s="40"/>
      <c r="CF867" s="5"/>
      <c r="CH867" s="40"/>
      <c r="CI867" s="5"/>
      <c r="CK867" s="40"/>
      <c r="CL867" s="5"/>
      <c r="CN867" s="40"/>
      <c r="CO867" s="5"/>
      <c r="CQ867" s="40"/>
      <c r="CR867" s="5"/>
    </row>
    <row r="868">
      <c r="AO868" s="40"/>
      <c r="AP868" s="5"/>
      <c r="AR868" s="40"/>
      <c r="AS868" s="5"/>
      <c r="AU868" s="40"/>
      <c r="AV868" s="5"/>
      <c r="AX868" s="40"/>
      <c r="AY868" s="5"/>
      <c r="BA868" s="40"/>
      <c r="BB868" s="5"/>
      <c r="BD868" s="40"/>
      <c r="BE868" s="5"/>
      <c r="BG868" s="40"/>
      <c r="BH868" s="5"/>
      <c r="BJ868" s="40"/>
      <c r="BK868" s="5"/>
      <c r="BM868" s="40"/>
      <c r="BN868" s="5"/>
      <c r="BP868" s="40"/>
      <c r="BQ868" s="5"/>
      <c r="BS868" s="40"/>
      <c r="BT868" s="5"/>
      <c r="BV868" s="40"/>
      <c r="BW868" s="5"/>
      <c r="BY868" s="40"/>
      <c r="BZ868" s="5"/>
      <c r="CB868" s="40"/>
      <c r="CC868" s="5"/>
      <c r="CE868" s="40"/>
      <c r="CF868" s="5"/>
      <c r="CH868" s="40"/>
      <c r="CI868" s="5"/>
      <c r="CK868" s="40"/>
      <c r="CL868" s="5"/>
      <c r="CN868" s="40"/>
      <c r="CO868" s="5"/>
      <c r="CQ868" s="40"/>
      <c r="CR868" s="5"/>
    </row>
    <row r="869">
      <c r="AO869" s="40"/>
      <c r="AP869" s="5"/>
      <c r="AR869" s="40"/>
      <c r="AS869" s="5"/>
      <c r="AU869" s="40"/>
      <c r="AV869" s="5"/>
      <c r="AX869" s="40"/>
      <c r="AY869" s="5"/>
      <c r="BA869" s="40"/>
      <c r="BB869" s="5"/>
      <c r="BD869" s="40"/>
      <c r="BE869" s="5"/>
      <c r="BG869" s="40"/>
      <c r="BH869" s="5"/>
      <c r="BJ869" s="40"/>
      <c r="BK869" s="5"/>
      <c r="BM869" s="40"/>
      <c r="BN869" s="5"/>
      <c r="BP869" s="40"/>
      <c r="BQ869" s="5"/>
      <c r="BS869" s="40"/>
      <c r="BT869" s="5"/>
      <c r="BV869" s="40"/>
      <c r="BW869" s="5"/>
      <c r="BY869" s="40"/>
      <c r="BZ869" s="5"/>
      <c r="CB869" s="40"/>
      <c r="CC869" s="5"/>
      <c r="CE869" s="40"/>
      <c r="CF869" s="5"/>
      <c r="CH869" s="40"/>
      <c r="CI869" s="5"/>
      <c r="CK869" s="40"/>
      <c r="CL869" s="5"/>
      <c r="CN869" s="40"/>
      <c r="CO869" s="5"/>
      <c r="CQ869" s="40"/>
      <c r="CR869" s="5"/>
    </row>
    <row r="870">
      <c r="AO870" s="40"/>
      <c r="AP870" s="5"/>
      <c r="AR870" s="40"/>
      <c r="AS870" s="5"/>
      <c r="AU870" s="40"/>
      <c r="AV870" s="5"/>
      <c r="AX870" s="40"/>
      <c r="AY870" s="5"/>
      <c r="BA870" s="40"/>
      <c r="BB870" s="5"/>
      <c r="BD870" s="40"/>
      <c r="BE870" s="5"/>
      <c r="BG870" s="40"/>
      <c r="BH870" s="5"/>
      <c r="BJ870" s="40"/>
      <c r="BK870" s="5"/>
      <c r="BM870" s="40"/>
      <c r="BN870" s="5"/>
      <c r="BP870" s="40"/>
      <c r="BQ870" s="5"/>
      <c r="BS870" s="40"/>
      <c r="BT870" s="5"/>
      <c r="BV870" s="40"/>
      <c r="BW870" s="5"/>
      <c r="BY870" s="40"/>
      <c r="BZ870" s="5"/>
      <c r="CB870" s="40"/>
      <c r="CC870" s="5"/>
      <c r="CE870" s="40"/>
      <c r="CF870" s="5"/>
      <c r="CH870" s="40"/>
      <c r="CI870" s="5"/>
      <c r="CK870" s="40"/>
      <c r="CL870" s="5"/>
      <c r="CN870" s="40"/>
      <c r="CO870" s="5"/>
      <c r="CQ870" s="40"/>
      <c r="CR870" s="5"/>
    </row>
    <row r="871">
      <c r="AO871" s="40"/>
      <c r="AP871" s="5"/>
      <c r="AR871" s="40"/>
      <c r="AS871" s="5"/>
      <c r="AU871" s="40"/>
      <c r="AV871" s="5"/>
      <c r="AX871" s="40"/>
      <c r="AY871" s="5"/>
      <c r="BA871" s="40"/>
      <c r="BB871" s="5"/>
      <c r="BD871" s="40"/>
      <c r="BE871" s="5"/>
      <c r="BG871" s="40"/>
      <c r="BH871" s="5"/>
      <c r="BJ871" s="40"/>
      <c r="BK871" s="5"/>
      <c r="BM871" s="40"/>
      <c r="BN871" s="5"/>
      <c r="BP871" s="40"/>
      <c r="BQ871" s="5"/>
      <c r="BS871" s="40"/>
      <c r="BT871" s="5"/>
      <c r="BV871" s="40"/>
      <c r="BW871" s="5"/>
      <c r="BY871" s="40"/>
      <c r="BZ871" s="5"/>
      <c r="CB871" s="40"/>
      <c r="CC871" s="5"/>
      <c r="CE871" s="40"/>
      <c r="CF871" s="5"/>
      <c r="CH871" s="40"/>
      <c r="CI871" s="5"/>
      <c r="CK871" s="40"/>
      <c r="CL871" s="5"/>
      <c r="CN871" s="40"/>
      <c r="CO871" s="5"/>
      <c r="CQ871" s="40"/>
      <c r="CR871" s="5"/>
    </row>
    <row r="872">
      <c r="AO872" s="40"/>
      <c r="AP872" s="5"/>
      <c r="AR872" s="40"/>
      <c r="AS872" s="5"/>
      <c r="AU872" s="40"/>
      <c r="AV872" s="5"/>
      <c r="AX872" s="40"/>
      <c r="AY872" s="5"/>
      <c r="BA872" s="40"/>
      <c r="BB872" s="5"/>
      <c r="BD872" s="40"/>
      <c r="BE872" s="5"/>
      <c r="BG872" s="40"/>
      <c r="BH872" s="5"/>
      <c r="BJ872" s="40"/>
      <c r="BK872" s="5"/>
      <c r="BM872" s="40"/>
      <c r="BN872" s="5"/>
      <c r="BP872" s="40"/>
      <c r="BQ872" s="5"/>
      <c r="BS872" s="40"/>
      <c r="BT872" s="5"/>
      <c r="BV872" s="40"/>
      <c r="BW872" s="5"/>
      <c r="BY872" s="40"/>
      <c r="BZ872" s="5"/>
      <c r="CB872" s="40"/>
      <c r="CC872" s="5"/>
      <c r="CE872" s="40"/>
      <c r="CF872" s="5"/>
      <c r="CH872" s="40"/>
      <c r="CI872" s="5"/>
      <c r="CK872" s="40"/>
      <c r="CL872" s="5"/>
      <c r="CN872" s="40"/>
      <c r="CO872" s="5"/>
      <c r="CQ872" s="40"/>
      <c r="CR872" s="5"/>
    </row>
    <row r="873">
      <c r="AO873" s="40"/>
      <c r="AP873" s="5"/>
      <c r="AR873" s="40"/>
      <c r="AS873" s="5"/>
      <c r="AU873" s="40"/>
      <c r="AV873" s="5"/>
      <c r="AX873" s="40"/>
      <c r="AY873" s="5"/>
      <c r="BA873" s="40"/>
      <c r="BB873" s="5"/>
      <c r="BD873" s="40"/>
      <c r="BE873" s="5"/>
      <c r="BG873" s="40"/>
      <c r="BH873" s="5"/>
      <c r="BJ873" s="40"/>
      <c r="BK873" s="5"/>
      <c r="BM873" s="40"/>
      <c r="BN873" s="5"/>
      <c r="BP873" s="40"/>
      <c r="BQ873" s="5"/>
      <c r="BS873" s="40"/>
      <c r="BT873" s="5"/>
      <c r="BV873" s="40"/>
      <c r="BW873" s="5"/>
      <c r="BY873" s="40"/>
      <c r="BZ873" s="5"/>
      <c r="CB873" s="40"/>
      <c r="CC873" s="5"/>
      <c r="CE873" s="40"/>
      <c r="CF873" s="5"/>
      <c r="CH873" s="40"/>
      <c r="CI873" s="5"/>
      <c r="CK873" s="40"/>
      <c r="CL873" s="5"/>
      <c r="CN873" s="40"/>
      <c r="CO873" s="5"/>
      <c r="CQ873" s="40"/>
      <c r="CR873" s="5"/>
    </row>
    <row r="874">
      <c r="AO874" s="40"/>
      <c r="AP874" s="5"/>
      <c r="AR874" s="40"/>
      <c r="AS874" s="5"/>
      <c r="AU874" s="40"/>
      <c r="AV874" s="5"/>
      <c r="AX874" s="40"/>
      <c r="AY874" s="5"/>
      <c r="BA874" s="40"/>
      <c r="BB874" s="5"/>
      <c r="BD874" s="40"/>
      <c r="BE874" s="5"/>
      <c r="BG874" s="40"/>
      <c r="BH874" s="5"/>
      <c r="BJ874" s="40"/>
      <c r="BK874" s="5"/>
      <c r="BM874" s="40"/>
      <c r="BN874" s="5"/>
      <c r="BP874" s="40"/>
      <c r="BQ874" s="5"/>
      <c r="BS874" s="40"/>
      <c r="BT874" s="5"/>
      <c r="BV874" s="40"/>
      <c r="BW874" s="5"/>
      <c r="BY874" s="40"/>
      <c r="BZ874" s="5"/>
      <c r="CB874" s="40"/>
      <c r="CC874" s="5"/>
      <c r="CE874" s="40"/>
      <c r="CF874" s="5"/>
      <c r="CH874" s="40"/>
      <c r="CI874" s="5"/>
      <c r="CK874" s="40"/>
      <c r="CL874" s="5"/>
      <c r="CN874" s="40"/>
      <c r="CO874" s="5"/>
      <c r="CQ874" s="40"/>
      <c r="CR874" s="5"/>
    </row>
    <row r="875">
      <c r="AO875" s="40"/>
      <c r="AP875" s="5"/>
      <c r="AR875" s="40"/>
      <c r="AS875" s="5"/>
      <c r="AU875" s="40"/>
      <c r="AV875" s="5"/>
      <c r="AX875" s="40"/>
      <c r="AY875" s="5"/>
      <c r="BA875" s="40"/>
      <c r="BB875" s="5"/>
      <c r="BD875" s="40"/>
      <c r="BE875" s="5"/>
      <c r="BG875" s="40"/>
      <c r="BH875" s="5"/>
      <c r="BJ875" s="40"/>
      <c r="BK875" s="5"/>
      <c r="BM875" s="40"/>
      <c r="BN875" s="5"/>
      <c r="BP875" s="40"/>
      <c r="BQ875" s="5"/>
      <c r="BS875" s="40"/>
      <c r="BT875" s="5"/>
      <c r="BV875" s="40"/>
      <c r="BW875" s="5"/>
      <c r="BY875" s="40"/>
      <c r="BZ875" s="5"/>
      <c r="CB875" s="40"/>
      <c r="CC875" s="5"/>
      <c r="CE875" s="40"/>
      <c r="CF875" s="5"/>
      <c r="CH875" s="40"/>
      <c r="CI875" s="5"/>
      <c r="CK875" s="40"/>
      <c r="CL875" s="5"/>
      <c r="CN875" s="40"/>
      <c r="CO875" s="5"/>
      <c r="CQ875" s="40"/>
      <c r="CR875" s="5"/>
    </row>
    <row r="876">
      <c r="AO876" s="40"/>
      <c r="AP876" s="5"/>
      <c r="AR876" s="40"/>
      <c r="AS876" s="5"/>
      <c r="AU876" s="40"/>
      <c r="AV876" s="5"/>
      <c r="AX876" s="40"/>
      <c r="AY876" s="5"/>
      <c r="BA876" s="40"/>
      <c r="BB876" s="5"/>
      <c r="BD876" s="40"/>
      <c r="BE876" s="5"/>
      <c r="BG876" s="40"/>
      <c r="BH876" s="5"/>
      <c r="BJ876" s="40"/>
      <c r="BK876" s="5"/>
      <c r="BM876" s="40"/>
      <c r="BN876" s="5"/>
      <c r="BP876" s="40"/>
      <c r="BQ876" s="5"/>
      <c r="BS876" s="40"/>
      <c r="BT876" s="5"/>
      <c r="BV876" s="40"/>
      <c r="BW876" s="5"/>
      <c r="BY876" s="40"/>
      <c r="BZ876" s="5"/>
      <c r="CB876" s="40"/>
      <c r="CC876" s="5"/>
      <c r="CE876" s="40"/>
      <c r="CF876" s="5"/>
      <c r="CH876" s="40"/>
      <c r="CI876" s="5"/>
      <c r="CK876" s="40"/>
      <c r="CL876" s="5"/>
      <c r="CN876" s="40"/>
      <c r="CO876" s="5"/>
      <c r="CQ876" s="40"/>
      <c r="CR876" s="5"/>
    </row>
    <row r="877">
      <c r="AO877" s="40"/>
      <c r="AP877" s="5"/>
      <c r="AR877" s="40"/>
      <c r="AS877" s="5"/>
      <c r="AU877" s="40"/>
      <c r="AV877" s="5"/>
      <c r="AX877" s="40"/>
      <c r="AY877" s="5"/>
      <c r="BA877" s="40"/>
      <c r="BB877" s="5"/>
      <c r="BD877" s="40"/>
      <c r="BE877" s="5"/>
      <c r="BG877" s="40"/>
      <c r="BH877" s="5"/>
      <c r="BJ877" s="40"/>
      <c r="BK877" s="5"/>
      <c r="BM877" s="40"/>
      <c r="BN877" s="5"/>
      <c r="BP877" s="40"/>
      <c r="BQ877" s="5"/>
      <c r="BS877" s="40"/>
      <c r="BT877" s="5"/>
      <c r="BV877" s="40"/>
      <c r="BW877" s="5"/>
      <c r="BY877" s="40"/>
      <c r="BZ877" s="5"/>
      <c r="CB877" s="40"/>
      <c r="CC877" s="5"/>
      <c r="CE877" s="40"/>
      <c r="CF877" s="5"/>
      <c r="CH877" s="40"/>
      <c r="CI877" s="5"/>
      <c r="CK877" s="40"/>
      <c r="CL877" s="5"/>
      <c r="CN877" s="40"/>
      <c r="CO877" s="5"/>
      <c r="CQ877" s="40"/>
      <c r="CR877" s="5"/>
    </row>
    <row r="878">
      <c r="AO878" s="40"/>
      <c r="AP878" s="5"/>
      <c r="AR878" s="40"/>
      <c r="AS878" s="5"/>
      <c r="AU878" s="40"/>
      <c r="AV878" s="5"/>
      <c r="AX878" s="40"/>
      <c r="AY878" s="5"/>
      <c r="BA878" s="40"/>
      <c r="BB878" s="5"/>
      <c r="BD878" s="40"/>
      <c r="BE878" s="5"/>
      <c r="BG878" s="40"/>
      <c r="BH878" s="5"/>
      <c r="BJ878" s="40"/>
      <c r="BK878" s="5"/>
      <c r="BM878" s="40"/>
      <c r="BN878" s="5"/>
      <c r="BP878" s="40"/>
      <c r="BQ878" s="5"/>
      <c r="BS878" s="40"/>
      <c r="BT878" s="5"/>
      <c r="BV878" s="40"/>
      <c r="BW878" s="5"/>
      <c r="BY878" s="40"/>
      <c r="BZ878" s="5"/>
      <c r="CB878" s="40"/>
      <c r="CC878" s="5"/>
      <c r="CE878" s="40"/>
      <c r="CF878" s="5"/>
      <c r="CH878" s="40"/>
      <c r="CI878" s="5"/>
      <c r="CK878" s="40"/>
      <c r="CL878" s="5"/>
      <c r="CN878" s="40"/>
      <c r="CO878" s="5"/>
      <c r="CQ878" s="40"/>
      <c r="CR878" s="5"/>
    </row>
    <row r="879">
      <c r="AO879" s="40"/>
      <c r="AP879" s="5"/>
      <c r="AR879" s="40"/>
      <c r="AS879" s="5"/>
      <c r="AU879" s="40"/>
      <c r="AV879" s="5"/>
      <c r="AX879" s="40"/>
      <c r="AY879" s="5"/>
      <c r="BA879" s="40"/>
      <c r="BB879" s="5"/>
      <c r="BD879" s="40"/>
      <c r="BE879" s="5"/>
      <c r="BG879" s="40"/>
      <c r="BH879" s="5"/>
      <c r="BJ879" s="40"/>
      <c r="BK879" s="5"/>
      <c r="BM879" s="40"/>
      <c r="BN879" s="5"/>
      <c r="BP879" s="40"/>
      <c r="BQ879" s="5"/>
      <c r="BS879" s="40"/>
      <c r="BT879" s="5"/>
      <c r="BV879" s="40"/>
      <c r="BW879" s="5"/>
      <c r="BY879" s="40"/>
      <c r="BZ879" s="5"/>
      <c r="CB879" s="40"/>
      <c r="CC879" s="5"/>
      <c r="CE879" s="40"/>
      <c r="CF879" s="5"/>
      <c r="CH879" s="40"/>
      <c r="CI879" s="5"/>
      <c r="CK879" s="40"/>
      <c r="CL879" s="5"/>
      <c r="CN879" s="40"/>
      <c r="CO879" s="5"/>
      <c r="CQ879" s="40"/>
      <c r="CR879" s="5"/>
    </row>
    <row r="880">
      <c r="AO880" s="40"/>
      <c r="AP880" s="5"/>
      <c r="AR880" s="40"/>
      <c r="AS880" s="5"/>
      <c r="AU880" s="40"/>
      <c r="AV880" s="5"/>
      <c r="AX880" s="40"/>
      <c r="AY880" s="5"/>
      <c r="BA880" s="40"/>
      <c r="BB880" s="5"/>
      <c r="BD880" s="40"/>
      <c r="BE880" s="5"/>
      <c r="BG880" s="40"/>
      <c r="BH880" s="5"/>
      <c r="BJ880" s="40"/>
      <c r="BK880" s="5"/>
      <c r="BM880" s="40"/>
      <c r="BN880" s="5"/>
      <c r="BP880" s="40"/>
      <c r="BQ880" s="5"/>
      <c r="BS880" s="40"/>
      <c r="BT880" s="5"/>
      <c r="BV880" s="40"/>
      <c r="BW880" s="5"/>
      <c r="BY880" s="40"/>
      <c r="BZ880" s="5"/>
      <c r="CB880" s="40"/>
      <c r="CC880" s="5"/>
      <c r="CE880" s="40"/>
      <c r="CF880" s="5"/>
      <c r="CH880" s="40"/>
      <c r="CI880" s="5"/>
      <c r="CK880" s="40"/>
      <c r="CL880" s="5"/>
      <c r="CN880" s="40"/>
      <c r="CO880" s="5"/>
      <c r="CQ880" s="40"/>
      <c r="CR880" s="5"/>
    </row>
    <row r="881">
      <c r="AO881" s="40"/>
      <c r="AP881" s="5"/>
      <c r="AR881" s="40"/>
      <c r="AS881" s="5"/>
      <c r="AU881" s="40"/>
      <c r="AV881" s="5"/>
      <c r="AX881" s="40"/>
      <c r="AY881" s="5"/>
      <c r="BA881" s="40"/>
      <c r="BB881" s="5"/>
      <c r="BD881" s="40"/>
      <c r="BE881" s="5"/>
      <c r="BG881" s="40"/>
      <c r="BH881" s="5"/>
      <c r="BJ881" s="40"/>
      <c r="BK881" s="5"/>
      <c r="BM881" s="40"/>
      <c r="BN881" s="5"/>
      <c r="BP881" s="40"/>
      <c r="BQ881" s="5"/>
      <c r="BS881" s="40"/>
      <c r="BT881" s="5"/>
      <c r="BV881" s="40"/>
      <c r="BW881" s="5"/>
      <c r="BY881" s="40"/>
      <c r="BZ881" s="5"/>
      <c r="CB881" s="40"/>
      <c r="CC881" s="5"/>
      <c r="CE881" s="40"/>
      <c r="CF881" s="5"/>
      <c r="CH881" s="40"/>
      <c r="CI881" s="5"/>
      <c r="CK881" s="40"/>
      <c r="CL881" s="5"/>
      <c r="CN881" s="40"/>
      <c r="CO881" s="5"/>
      <c r="CQ881" s="40"/>
      <c r="CR881" s="5"/>
    </row>
    <row r="882">
      <c r="AO882" s="40"/>
      <c r="AP882" s="5"/>
      <c r="AR882" s="40"/>
      <c r="AS882" s="5"/>
      <c r="AU882" s="40"/>
      <c r="AV882" s="5"/>
      <c r="AX882" s="40"/>
      <c r="AY882" s="5"/>
      <c r="BA882" s="40"/>
      <c r="BB882" s="5"/>
      <c r="BD882" s="40"/>
      <c r="BE882" s="5"/>
      <c r="BG882" s="40"/>
      <c r="BH882" s="5"/>
      <c r="BJ882" s="40"/>
      <c r="BK882" s="5"/>
      <c r="BM882" s="40"/>
      <c r="BN882" s="5"/>
      <c r="BP882" s="40"/>
      <c r="BQ882" s="5"/>
      <c r="BS882" s="40"/>
      <c r="BT882" s="5"/>
      <c r="BV882" s="40"/>
      <c r="BW882" s="5"/>
      <c r="BY882" s="40"/>
      <c r="BZ882" s="5"/>
      <c r="CB882" s="40"/>
      <c r="CC882" s="5"/>
      <c r="CE882" s="40"/>
      <c r="CF882" s="5"/>
      <c r="CH882" s="40"/>
      <c r="CI882" s="5"/>
      <c r="CK882" s="40"/>
      <c r="CL882" s="5"/>
      <c r="CN882" s="40"/>
      <c r="CO882" s="5"/>
      <c r="CQ882" s="40"/>
      <c r="CR882" s="5"/>
    </row>
    <row r="883">
      <c r="AO883" s="40"/>
      <c r="AP883" s="5"/>
      <c r="AR883" s="40"/>
      <c r="AS883" s="5"/>
      <c r="AU883" s="40"/>
      <c r="AV883" s="5"/>
      <c r="AX883" s="40"/>
      <c r="AY883" s="5"/>
      <c r="BA883" s="40"/>
      <c r="BB883" s="5"/>
      <c r="BD883" s="40"/>
      <c r="BE883" s="5"/>
      <c r="BG883" s="40"/>
      <c r="BH883" s="5"/>
      <c r="BJ883" s="40"/>
      <c r="BK883" s="5"/>
      <c r="BM883" s="40"/>
      <c r="BN883" s="5"/>
      <c r="BP883" s="40"/>
      <c r="BQ883" s="5"/>
      <c r="BS883" s="40"/>
      <c r="BT883" s="5"/>
      <c r="BV883" s="40"/>
      <c r="BW883" s="5"/>
      <c r="BY883" s="40"/>
      <c r="BZ883" s="5"/>
      <c r="CB883" s="40"/>
      <c r="CC883" s="5"/>
      <c r="CE883" s="40"/>
      <c r="CF883" s="5"/>
      <c r="CH883" s="40"/>
      <c r="CI883" s="5"/>
      <c r="CK883" s="40"/>
      <c r="CL883" s="5"/>
      <c r="CN883" s="40"/>
      <c r="CO883" s="5"/>
      <c r="CQ883" s="40"/>
      <c r="CR883" s="5"/>
    </row>
    <row r="884">
      <c r="AO884" s="40"/>
      <c r="AP884" s="5"/>
      <c r="AR884" s="40"/>
      <c r="AS884" s="5"/>
      <c r="AU884" s="40"/>
      <c r="AV884" s="5"/>
      <c r="AX884" s="40"/>
      <c r="AY884" s="5"/>
      <c r="BA884" s="40"/>
      <c r="BB884" s="5"/>
      <c r="BD884" s="40"/>
      <c r="BE884" s="5"/>
      <c r="BG884" s="40"/>
      <c r="BH884" s="5"/>
      <c r="BJ884" s="40"/>
      <c r="BK884" s="5"/>
      <c r="BM884" s="40"/>
      <c r="BN884" s="5"/>
      <c r="BP884" s="40"/>
      <c r="BQ884" s="5"/>
      <c r="BS884" s="40"/>
      <c r="BT884" s="5"/>
      <c r="BV884" s="40"/>
      <c r="BW884" s="5"/>
      <c r="BY884" s="40"/>
      <c r="BZ884" s="5"/>
      <c r="CB884" s="40"/>
      <c r="CC884" s="5"/>
      <c r="CE884" s="40"/>
      <c r="CF884" s="5"/>
      <c r="CH884" s="40"/>
      <c r="CI884" s="5"/>
      <c r="CK884" s="40"/>
      <c r="CL884" s="5"/>
      <c r="CN884" s="40"/>
      <c r="CO884" s="5"/>
      <c r="CQ884" s="40"/>
      <c r="CR884" s="5"/>
    </row>
    <row r="885">
      <c r="AO885" s="40"/>
      <c r="AP885" s="5"/>
      <c r="AR885" s="40"/>
      <c r="AS885" s="5"/>
      <c r="AU885" s="40"/>
      <c r="AV885" s="5"/>
      <c r="AX885" s="40"/>
      <c r="AY885" s="5"/>
      <c r="BA885" s="40"/>
      <c r="BB885" s="5"/>
      <c r="BD885" s="40"/>
      <c r="BE885" s="5"/>
      <c r="BG885" s="40"/>
      <c r="BH885" s="5"/>
      <c r="BJ885" s="40"/>
      <c r="BK885" s="5"/>
      <c r="BM885" s="40"/>
      <c r="BN885" s="5"/>
      <c r="BP885" s="40"/>
      <c r="BQ885" s="5"/>
      <c r="BS885" s="40"/>
      <c r="BT885" s="5"/>
      <c r="BV885" s="40"/>
      <c r="BW885" s="5"/>
      <c r="BY885" s="40"/>
      <c r="BZ885" s="5"/>
      <c r="CB885" s="40"/>
      <c r="CC885" s="5"/>
      <c r="CE885" s="40"/>
      <c r="CF885" s="5"/>
      <c r="CH885" s="40"/>
      <c r="CI885" s="5"/>
      <c r="CK885" s="40"/>
      <c r="CL885" s="5"/>
      <c r="CN885" s="40"/>
      <c r="CO885" s="5"/>
      <c r="CQ885" s="40"/>
      <c r="CR885" s="5"/>
    </row>
    <row r="886">
      <c r="AO886" s="40"/>
      <c r="AP886" s="5"/>
      <c r="AR886" s="40"/>
      <c r="AS886" s="5"/>
      <c r="AU886" s="40"/>
      <c r="AV886" s="5"/>
      <c r="AX886" s="40"/>
      <c r="AY886" s="5"/>
      <c r="BA886" s="40"/>
      <c r="BB886" s="5"/>
      <c r="BD886" s="40"/>
      <c r="BE886" s="5"/>
      <c r="BG886" s="40"/>
      <c r="BH886" s="5"/>
      <c r="BJ886" s="40"/>
      <c r="BK886" s="5"/>
      <c r="BM886" s="40"/>
      <c r="BN886" s="5"/>
      <c r="BP886" s="40"/>
      <c r="BQ886" s="5"/>
      <c r="BS886" s="40"/>
      <c r="BT886" s="5"/>
      <c r="BV886" s="40"/>
      <c r="BW886" s="5"/>
      <c r="BY886" s="40"/>
      <c r="BZ886" s="5"/>
      <c r="CB886" s="40"/>
      <c r="CC886" s="5"/>
      <c r="CE886" s="40"/>
      <c r="CF886" s="5"/>
      <c r="CH886" s="40"/>
      <c r="CI886" s="5"/>
      <c r="CK886" s="40"/>
      <c r="CL886" s="5"/>
      <c r="CN886" s="40"/>
      <c r="CO886" s="5"/>
      <c r="CQ886" s="40"/>
      <c r="CR886" s="5"/>
    </row>
    <row r="887">
      <c r="AO887" s="40"/>
      <c r="AP887" s="5"/>
      <c r="AR887" s="40"/>
      <c r="AS887" s="5"/>
      <c r="AU887" s="40"/>
      <c r="AV887" s="5"/>
      <c r="AX887" s="40"/>
      <c r="AY887" s="5"/>
      <c r="BA887" s="40"/>
      <c r="BB887" s="5"/>
      <c r="BD887" s="40"/>
      <c r="BE887" s="5"/>
      <c r="BG887" s="40"/>
      <c r="BH887" s="5"/>
      <c r="BJ887" s="40"/>
      <c r="BK887" s="5"/>
      <c r="BM887" s="40"/>
      <c r="BN887" s="5"/>
      <c r="BP887" s="40"/>
      <c r="BQ887" s="5"/>
      <c r="BS887" s="40"/>
      <c r="BT887" s="5"/>
      <c r="BV887" s="40"/>
      <c r="BW887" s="5"/>
      <c r="BY887" s="40"/>
      <c r="BZ887" s="5"/>
      <c r="CB887" s="40"/>
      <c r="CC887" s="5"/>
      <c r="CE887" s="40"/>
      <c r="CF887" s="5"/>
      <c r="CH887" s="40"/>
      <c r="CI887" s="5"/>
      <c r="CK887" s="40"/>
      <c r="CL887" s="5"/>
      <c r="CN887" s="40"/>
      <c r="CO887" s="5"/>
      <c r="CQ887" s="40"/>
      <c r="CR887" s="5"/>
    </row>
    <row r="888">
      <c r="AO888" s="40"/>
      <c r="AP888" s="5"/>
      <c r="AR888" s="40"/>
      <c r="AS888" s="5"/>
      <c r="AU888" s="40"/>
      <c r="AV888" s="5"/>
      <c r="AX888" s="40"/>
      <c r="AY888" s="5"/>
      <c r="BA888" s="40"/>
      <c r="BB888" s="5"/>
      <c r="BD888" s="40"/>
      <c r="BE888" s="5"/>
      <c r="BG888" s="40"/>
      <c r="BH888" s="5"/>
      <c r="BJ888" s="40"/>
      <c r="BK888" s="5"/>
      <c r="BM888" s="40"/>
      <c r="BN888" s="5"/>
      <c r="BP888" s="40"/>
      <c r="BQ888" s="5"/>
      <c r="BS888" s="40"/>
      <c r="BT888" s="5"/>
      <c r="BV888" s="40"/>
      <c r="BW888" s="5"/>
      <c r="BY888" s="40"/>
      <c r="BZ888" s="5"/>
      <c r="CB888" s="40"/>
      <c r="CC888" s="5"/>
      <c r="CE888" s="40"/>
      <c r="CF888" s="5"/>
      <c r="CH888" s="40"/>
      <c r="CI888" s="5"/>
      <c r="CK888" s="40"/>
      <c r="CL888" s="5"/>
      <c r="CN888" s="40"/>
      <c r="CO888" s="5"/>
      <c r="CQ888" s="40"/>
      <c r="CR888" s="5"/>
    </row>
    <row r="889">
      <c r="AO889" s="40"/>
      <c r="AP889" s="5"/>
      <c r="AR889" s="40"/>
      <c r="AS889" s="5"/>
      <c r="AU889" s="40"/>
      <c r="AV889" s="5"/>
      <c r="AX889" s="40"/>
      <c r="AY889" s="5"/>
      <c r="BA889" s="40"/>
      <c r="BB889" s="5"/>
      <c r="BD889" s="40"/>
      <c r="BE889" s="5"/>
      <c r="BG889" s="40"/>
      <c r="BH889" s="5"/>
      <c r="BJ889" s="40"/>
      <c r="BK889" s="5"/>
      <c r="BM889" s="40"/>
      <c r="BN889" s="5"/>
      <c r="BP889" s="40"/>
      <c r="BQ889" s="5"/>
      <c r="BS889" s="40"/>
      <c r="BT889" s="5"/>
      <c r="BV889" s="40"/>
      <c r="BW889" s="5"/>
      <c r="BY889" s="40"/>
      <c r="BZ889" s="5"/>
      <c r="CB889" s="40"/>
      <c r="CC889" s="5"/>
      <c r="CE889" s="40"/>
      <c r="CF889" s="5"/>
      <c r="CH889" s="40"/>
      <c r="CI889" s="5"/>
      <c r="CK889" s="40"/>
      <c r="CL889" s="5"/>
      <c r="CN889" s="40"/>
      <c r="CO889" s="5"/>
      <c r="CQ889" s="40"/>
      <c r="CR889" s="5"/>
    </row>
    <row r="890">
      <c r="AO890" s="40"/>
      <c r="AP890" s="5"/>
      <c r="AR890" s="40"/>
      <c r="AS890" s="5"/>
      <c r="AU890" s="40"/>
      <c r="AV890" s="5"/>
      <c r="AX890" s="40"/>
      <c r="AY890" s="5"/>
      <c r="BA890" s="40"/>
      <c r="BB890" s="5"/>
      <c r="BD890" s="40"/>
      <c r="BE890" s="5"/>
      <c r="BG890" s="40"/>
      <c r="BH890" s="5"/>
      <c r="BJ890" s="40"/>
      <c r="BK890" s="5"/>
      <c r="BM890" s="40"/>
      <c r="BN890" s="5"/>
      <c r="BP890" s="40"/>
      <c r="BQ890" s="5"/>
      <c r="BS890" s="40"/>
      <c r="BT890" s="5"/>
      <c r="BV890" s="40"/>
      <c r="BW890" s="5"/>
      <c r="BY890" s="40"/>
      <c r="BZ890" s="5"/>
      <c r="CB890" s="40"/>
      <c r="CC890" s="5"/>
      <c r="CE890" s="40"/>
      <c r="CF890" s="5"/>
      <c r="CH890" s="40"/>
      <c r="CI890" s="5"/>
      <c r="CK890" s="40"/>
      <c r="CL890" s="5"/>
      <c r="CN890" s="40"/>
      <c r="CO890" s="5"/>
      <c r="CQ890" s="40"/>
      <c r="CR890" s="5"/>
    </row>
    <row r="891">
      <c r="AO891" s="40"/>
      <c r="AP891" s="5"/>
      <c r="AR891" s="40"/>
      <c r="AS891" s="5"/>
      <c r="AU891" s="40"/>
      <c r="AV891" s="5"/>
      <c r="AX891" s="40"/>
      <c r="AY891" s="5"/>
      <c r="BA891" s="40"/>
      <c r="BB891" s="5"/>
      <c r="BD891" s="40"/>
      <c r="BE891" s="5"/>
      <c r="BG891" s="40"/>
      <c r="BH891" s="5"/>
      <c r="BJ891" s="40"/>
      <c r="BK891" s="5"/>
      <c r="BM891" s="40"/>
      <c r="BN891" s="5"/>
      <c r="BP891" s="40"/>
      <c r="BQ891" s="5"/>
      <c r="BS891" s="40"/>
      <c r="BT891" s="5"/>
      <c r="BV891" s="40"/>
      <c r="BW891" s="5"/>
      <c r="BY891" s="40"/>
      <c r="BZ891" s="5"/>
      <c r="CB891" s="40"/>
      <c r="CC891" s="5"/>
      <c r="CE891" s="40"/>
      <c r="CF891" s="5"/>
      <c r="CH891" s="40"/>
      <c r="CI891" s="5"/>
      <c r="CK891" s="40"/>
      <c r="CL891" s="5"/>
      <c r="CN891" s="40"/>
      <c r="CO891" s="5"/>
      <c r="CQ891" s="40"/>
      <c r="CR891" s="5"/>
    </row>
    <row r="892">
      <c r="AO892" s="40"/>
      <c r="AP892" s="5"/>
      <c r="AR892" s="40"/>
      <c r="AS892" s="5"/>
      <c r="AU892" s="40"/>
      <c r="AV892" s="5"/>
      <c r="AX892" s="40"/>
      <c r="AY892" s="5"/>
      <c r="BA892" s="40"/>
      <c r="BB892" s="5"/>
      <c r="BD892" s="40"/>
      <c r="BE892" s="5"/>
      <c r="BG892" s="40"/>
      <c r="BH892" s="5"/>
      <c r="BJ892" s="40"/>
      <c r="BK892" s="5"/>
      <c r="BM892" s="40"/>
      <c r="BN892" s="5"/>
      <c r="BP892" s="40"/>
      <c r="BQ892" s="5"/>
      <c r="BS892" s="40"/>
      <c r="BT892" s="5"/>
      <c r="BV892" s="40"/>
      <c r="BW892" s="5"/>
      <c r="BY892" s="40"/>
      <c r="BZ892" s="5"/>
      <c r="CB892" s="40"/>
      <c r="CC892" s="5"/>
      <c r="CE892" s="40"/>
      <c r="CF892" s="5"/>
      <c r="CH892" s="40"/>
      <c r="CI892" s="5"/>
      <c r="CK892" s="40"/>
      <c r="CL892" s="5"/>
      <c r="CN892" s="40"/>
      <c r="CO892" s="5"/>
      <c r="CQ892" s="40"/>
      <c r="CR892" s="5"/>
    </row>
    <row r="893">
      <c r="AO893" s="40"/>
      <c r="AP893" s="5"/>
      <c r="AR893" s="40"/>
      <c r="AS893" s="5"/>
      <c r="AU893" s="40"/>
      <c r="AV893" s="5"/>
      <c r="AX893" s="40"/>
      <c r="AY893" s="5"/>
      <c r="BA893" s="40"/>
      <c r="BB893" s="5"/>
      <c r="BD893" s="40"/>
      <c r="BE893" s="5"/>
      <c r="BG893" s="40"/>
      <c r="BH893" s="5"/>
      <c r="BJ893" s="40"/>
      <c r="BK893" s="5"/>
      <c r="BM893" s="40"/>
      <c r="BN893" s="5"/>
      <c r="BP893" s="40"/>
      <c r="BQ893" s="5"/>
      <c r="BS893" s="40"/>
      <c r="BT893" s="5"/>
      <c r="BV893" s="40"/>
      <c r="BW893" s="5"/>
      <c r="BY893" s="40"/>
      <c r="BZ893" s="5"/>
      <c r="CB893" s="40"/>
      <c r="CC893" s="5"/>
      <c r="CE893" s="40"/>
      <c r="CF893" s="5"/>
      <c r="CH893" s="40"/>
      <c r="CI893" s="5"/>
      <c r="CK893" s="40"/>
      <c r="CL893" s="5"/>
      <c r="CN893" s="40"/>
      <c r="CO893" s="5"/>
      <c r="CQ893" s="40"/>
      <c r="CR893" s="5"/>
    </row>
    <row r="894">
      <c r="AO894" s="40"/>
      <c r="AP894" s="5"/>
      <c r="AR894" s="40"/>
      <c r="AS894" s="5"/>
      <c r="AU894" s="40"/>
      <c r="AV894" s="5"/>
      <c r="AX894" s="40"/>
      <c r="AY894" s="5"/>
      <c r="BA894" s="40"/>
      <c r="BB894" s="5"/>
      <c r="BD894" s="40"/>
      <c r="BE894" s="5"/>
      <c r="BG894" s="40"/>
      <c r="BH894" s="5"/>
      <c r="BJ894" s="40"/>
      <c r="BK894" s="5"/>
      <c r="BM894" s="40"/>
      <c r="BN894" s="5"/>
      <c r="BP894" s="40"/>
      <c r="BQ894" s="5"/>
      <c r="BS894" s="40"/>
      <c r="BT894" s="5"/>
      <c r="BV894" s="40"/>
      <c r="BW894" s="5"/>
      <c r="BY894" s="40"/>
      <c r="BZ894" s="5"/>
      <c r="CB894" s="40"/>
      <c r="CC894" s="5"/>
      <c r="CE894" s="40"/>
      <c r="CF894" s="5"/>
      <c r="CH894" s="40"/>
      <c r="CI894" s="5"/>
      <c r="CK894" s="40"/>
      <c r="CL894" s="5"/>
      <c r="CN894" s="40"/>
      <c r="CO894" s="5"/>
      <c r="CQ894" s="40"/>
      <c r="CR894" s="5"/>
    </row>
    <row r="895">
      <c r="AO895" s="40"/>
      <c r="AP895" s="5"/>
      <c r="AR895" s="40"/>
      <c r="AS895" s="5"/>
      <c r="AU895" s="40"/>
      <c r="AV895" s="5"/>
      <c r="AX895" s="40"/>
      <c r="AY895" s="5"/>
      <c r="BA895" s="40"/>
      <c r="BB895" s="5"/>
      <c r="BD895" s="40"/>
      <c r="BE895" s="5"/>
      <c r="BG895" s="40"/>
      <c r="BH895" s="5"/>
      <c r="BJ895" s="40"/>
      <c r="BK895" s="5"/>
      <c r="BM895" s="40"/>
      <c r="BN895" s="5"/>
      <c r="BP895" s="40"/>
      <c r="BQ895" s="5"/>
      <c r="BS895" s="40"/>
      <c r="BT895" s="5"/>
      <c r="BV895" s="40"/>
      <c r="BW895" s="5"/>
      <c r="BY895" s="40"/>
      <c r="BZ895" s="5"/>
      <c r="CB895" s="40"/>
      <c r="CC895" s="5"/>
      <c r="CE895" s="40"/>
      <c r="CF895" s="5"/>
      <c r="CH895" s="40"/>
      <c r="CI895" s="5"/>
      <c r="CK895" s="40"/>
      <c r="CL895" s="5"/>
      <c r="CN895" s="40"/>
      <c r="CO895" s="5"/>
      <c r="CQ895" s="40"/>
      <c r="CR895" s="5"/>
    </row>
    <row r="896">
      <c r="AO896" s="40"/>
      <c r="AP896" s="5"/>
      <c r="AR896" s="40"/>
      <c r="AS896" s="5"/>
      <c r="AU896" s="40"/>
      <c r="AV896" s="5"/>
      <c r="AX896" s="40"/>
      <c r="AY896" s="5"/>
      <c r="BA896" s="40"/>
      <c r="BB896" s="5"/>
      <c r="BD896" s="40"/>
      <c r="BE896" s="5"/>
      <c r="BG896" s="40"/>
      <c r="BH896" s="5"/>
      <c r="BJ896" s="40"/>
      <c r="BK896" s="5"/>
      <c r="BM896" s="40"/>
      <c r="BN896" s="5"/>
      <c r="BP896" s="40"/>
      <c r="BQ896" s="5"/>
      <c r="BS896" s="40"/>
      <c r="BT896" s="5"/>
      <c r="BV896" s="40"/>
      <c r="BW896" s="5"/>
      <c r="BY896" s="40"/>
      <c r="BZ896" s="5"/>
      <c r="CB896" s="40"/>
      <c r="CC896" s="5"/>
      <c r="CE896" s="40"/>
      <c r="CF896" s="5"/>
      <c r="CH896" s="40"/>
      <c r="CI896" s="5"/>
      <c r="CK896" s="40"/>
      <c r="CL896" s="5"/>
      <c r="CN896" s="40"/>
      <c r="CO896" s="5"/>
      <c r="CQ896" s="40"/>
      <c r="CR896" s="5"/>
    </row>
    <row r="897">
      <c r="AO897" s="40"/>
      <c r="AP897" s="5"/>
      <c r="AR897" s="40"/>
      <c r="AS897" s="5"/>
      <c r="AU897" s="40"/>
      <c r="AV897" s="5"/>
      <c r="AX897" s="40"/>
      <c r="AY897" s="5"/>
      <c r="BA897" s="40"/>
      <c r="BB897" s="5"/>
      <c r="BD897" s="40"/>
      <c r="BE897" s="5"/>
      <c r="BG897" s="40"/>
      <c r="BH897" s="5"/>
      <c r="BJ897" s="40"/>
      <c r="BK897" s="5"/>
      <c r="BM897" s="40"/>
      <c r="BN897" s="5"/>
      <c r="BP897" s="40"/>
      <c r="BQ897" s="5"/>
      <c r="BS897" s="40"/>
      <c r="BT897" s="5"/>
      <c r="BV897" s="40"/>
      <c r="BW897" s="5"/>
      <c r="BY897" s="40"/>
      <c r="BZ897" s="5"/>
      <c r="CB897" s="40"/>
      <c r="CC897" s="5"/>
      <c r="CE897" s="40"/>
      <c r="CF897" s="5"/>
      <c r="CH897" s="40"/>
      <c r="CI897" s="5"/>
      <c r="CK897" s="40"/>
      <c r="CL897" s="5"/>
      <c r="CN897" s="40"/>
      <c r="CO897" s="5"/>
      <c r="CQ897" s="40"/>
      <c r="CR897" s="5"/>
    </row>
    <row r="898">
      <c r="AO898" s="40"/>
      <c r="AP898" s="5"/>
      <c r="AR898" s="40"/>
      <c r="AS898" s="5"/>
      <c r="AU898" s="40"/>
      <c r="AV898" s="5"/>
      <c r="AX898" s="40"/>
      <c r="AY898" s="5"/>
      <c r="BA898" s="40"/>
      <c r="BB898" s="5"/>
      <c r="BD898" s="40"/>
      <c r="BE898" s="5"/>
      <c r="BG898" s="40"/>
      <c r="BH898" s="5"/>
      <c r="BJ898" s="40"/>
      <c r="BK898" s="5"/>
      <c r="BM898" s="40"/>
      <c r="BN898" s="5"/>
      <c r="BP898" s="40"/>
      <c r="BQ898" s="5"/>
      <c r="BS898" s="40"/>
      <c r="BT898" s="5"/>
      <c r="BV898" s="40"/>
      <c r="BW898" s="5"/>
      <c r="BY898" s="40"/>
      <c r="BZ898" s="5"/>
      <c r="CB898" s="40"/>
      <c r="CC898" s="5"/>
      <c r="CE898" s="40"/>
      <c r="CF898" s="5"/>
      <c r="CH898" s="40"/>
      <c r="CI898" s="5"/>
      <c r="CK898" s="40"/>
      <c r="CL898" s="5"/>
      <c r="CN898" s="40"/>
      <c r="CO898" s="5"/>
      <c r="CQ898" s="40"/>
      <c r="CR898" s="5"/>
    </row>
    <row r="899">
      <c r="AO899" s="40"/>
      <c r="AP899" s="5"/>
      <c r="AR899" s="40"/>
      <c r="AS899" s="5"/>
      <c r="AU899" s="40"/>
      <c r="AV899" s="5"/>
      <c r="AX899" s="40"/>
      <c r="AY899" s="5"/>
      <c r="BA899" s="40"/>
      <c r="BB899" s="5"/>
      <c r="BD899" s="40"/>
      <c r="BE899" s="5"/>
      <c r="BG899" s="40"/>
      <c r="BH899" s="5"/>
      <c r="BJ899" s="40"/>
      <c r="BK899" s="5"/>
      <c r="BM899" s="40"/>
      <c r="BN899" s="5"/>
      <c r="BP899" s="40"/>
      <c r="BQ899" s="5"/>
      <c r="BS899" s="40"/>
      <c r="BT899" s="5"/>
      <c r="BV899" s="40"/>
      <c r="BW899" s="5"/>
      <c r="BY899" s="40"/>
      <c r="BZ899" s="5"/>
      <c r="CB899" s="40"/>
      <c r="CC899" s="5"/>
      <c r="CE899" s="40"/>
      <c r="CF899" s="5"/>
      <c r="CH899" s="40"/>
      <c r="CI899" s="5"/>
      <c r="CK899" s="40"/>
      <c r="CL899" s="5"/>
      <c r="CN899" s="40"/>
      <c r="CO899" s="5"/>
      <c r="CQ899" s="40"/>
      <c r="CR899" s="5"/>
    </row>
    <row r="900">
      <c r="AO900" s="40"/>
      <c r="AP900" s="5"/>
      <c r="AR900" s="40"/>
      <c r="AS900" s="5"/>
      <c r="AU900" s="40"/>
      <c r="AV900" s="5"/>
      <c r="AX900" s="40"/>
      <c r="AY900" s="5"/>
      <c r="BA900" s="40"/>
      <c r="BB900" s="5"/>
      <c r="BD900" s="40"/>
      <c r="BE900" s="5"/>
      <c r="BG900" s="40"/>
      <c r="BH900" s="5"/>
      <c r="BJ900" s="40"/>
      <c r="BK900" s="5"/>
      <c r="BM900" s="40"/>
      <c r="BN900" s="5"/>
      <c r="BP900" s="40"/>
      <c r="BQ900" s="5"/>
      <c r="BS900" s="40"/>
      <c r="BT900" s="5"/>
      <c r="BV900" s="40"/>
      <c r="BW900" s="5"/>
      <c r="BY900" s="40"/>
      <c r="BZ900" s="5"/>
      <c r="CB900" s="40"/>
      <c r="CC900" s="5"/>
      <c r="CE900" s="40"/>
      <c r="CF900" s="5"/>
      <c r="CH900" s="40"/>
      <c r="CI900" s="5"/>
      <c r="CK900" s="40"/>
      <c r="CL900" s="5"/>
      <c r="CN900" s="40"/>
      <c r="CO900" s="5"/>
      <c r="CQ900" s="40"/>
      <c r="CR900" s="5"/>
    </row>
    <row r="901">
      <c r="AO901" s="40"/>
      <c r="AP901" s="5"/>
      <c r="AR901" s="40"/>
      <c r="AS901" s="5"/>
      <c r="AU901" s="40"/>
      <c r="AV901" s="5"/>
      <c r="AX901" s="40"/>
      <c r="AY901" s="5"/>
      <c r="BA901" s="40"/>
      <c r="BB901" s="5"/>
      <c r="BD901" s="40"/>
      <c r="BE901" s="5"/>
      <c r="BG901" s="40"/>
      <c r="BH901" s="5"/>
      <c r="BJ901" s="40"/>
      <c r="BK901" s="5"/>
      <c r="BM901" s="40"/>
      <c r="BN901" s="5"/>
      <c r="BP901" s="40"/>
      <c r="BQ901" s="5"/>
      <c r="BS901" s="40"/>
      <c r="BT901" s="5"/>
      <c r="BV901" s="40"/>
      <c r="BW901" s="5"/>
      <c r="BY901" s="40"/>
      <c r="BZ901" s="5"/>
      <c r="CB901" s="40"/>
      <c r="CC901" s="5"/>
      <c r="CE901" s="40"/>
      <c r="CF901" s="5"/>
      <c r="CH901" s="40"/>
      <c r="CI901" s="5"/>
      <c r="CK901" s="40"/>
      <c r="CL901" s="5"/>
      <c r="CN901" s="40"/>
      <c r="CO901" s="5"/>
      <c r="CQ901" s="40"/>
      <c r="CR901" s="5"/>
    </row>
    <row r="902">
      <c r="AO902" s="40"/>
      <c r="AP902" s="5"/>
      <c r="AR902" s="40"/>
      <c r="AS902" s="5"/>
      <c r="AU902" s="40"/>
      <c r="AV902" s="5"/>
      <c r="AX902" s="40"/>
      <c r="AY902" s="5"/>
      <c r="BA902" s="40"/>
      <c r="BB902" s="5"/>
      <c r="BD902" s="40"/>
      <c r="BE902" s="5"/>
      <c r="BG902" s="40"/>
      <c r="BH902" s="5"/>
      <c r="BJ902" s="40"/>
      <c r="BK902" s="5"/>
      <c r="BM902" s="40"/>
      <c r="BN902" s="5"/>
      <c r="BP902" s="40"/>
      <c r="BQ902" s="5"/>
      <c r="BS902" s="40"/>
      <c r="BT902" s="5"/>
      <c r="BV902" s="40"/>
      <c r="BW902" s="5"/>
      <c r="BY902" s="40"/>
      <c r="BZ902" s="5"/>
      <c r="CB902" s="40"/>
      <c r="CC902" s="5"/>
      <c r="CE902" s="40"/>
      <c r="CF902" s="5"/>
      <c r="CH902" s="40"/>
      <c r="CI902" s="5"/>
      <c r="CK902" s="40"/>
      <c r="CL902" s="5"/>
      <c r="CN902" s="40"/>
      <c r="CO902" s="5"/>
      <c r="CQ902" s="40"/>
      <c r="CR902" s="5"/>
    </row>
  </sheetData>
  <mergeCells count="35">
    <mergeCell ref="Z9:AB9"/>
    <mergeCell ref="AC9:AE9"/>
    <mergeCell ref="AF9:AH9"/>
    <mergeCell ref="AI9:AK9"/>
    <mergeCell ref="AL9:AN9"/>
    <mergeCell ref="AO9:AQ9"/>
    <mergeCell ref="AR9:AT9"/>
    <mergeCell ref="AU9:AW9"/>
    <mergeCell ref="AX9:AZ9"/>
    <mergeCell ref="BA9:BC9"/>
    <mergeCell ref="BD9:BF9"/>
    <mergeCell ref="BG9:BI9"/>
    <mergeCell ref="BJ9:BL9"/>
    <mergeCell ref="BM9:BO9"/>
    <mergeCell ref="CK9:CM9"/>
    <mergeCell ref="CN9:CP9"/>
    <mergeCell ref="CQ9:CS9"/>
    <mergeCell ref="BP9:BR9"/>
    <mergeCell ref="BS9:BU9"/>
    <mergeCell ref="BV9:BX9"/>
    <mergeCell ref="BY9:CA9"/>
    <mergeCell ref="CB9:CD9"/>
    <mergeCell ref="CE9:CG9"/>
    <mergeCell ref="CH9:CJ9"/>
    <mergeCell ref="B16:C16"/>
    <mergeCell ref="B17:C17"/>
    <mergeCell ref="A19:B19"/>
    <mergeCell ref="A45:C45"/>
    <mergeCell ref="E9:G9"/>
    <mergeCell ref="H9:J9"/>
    <mergeCell ref="K9:M9"/>
    <mergeCell ref="N9:P9"/>
    <mergeCell ref="Q9:S9"/>
    <mergeCell ref="T9:V9"/>
    <mergeCell ref="W9:Y9"/>
  </mergeCells>
  <conditionalFormatting sqref="A1:DD1000">
    <cfRule type="cellIs" dxfId="0" priority="1" operator="equal">
      <formula>"Topic"</formula>
    </cfRule>
  </conditionalFormatting>
  <conditionalFormatting sqref="F13">
    <cfRule type="colorScale" priority="2">
      <colorScale>
        <cfvo type="min"/>
        <cfvo type="max"/>
        <color rgb="FF57BB8A"/>
        <color rgb="FFFFFFFF"/>
      </colorScale>
    </cfRule>
  </conditionalFormatting>
  <dataValidations>
    <dataValidation type="list" allowBlank="1" sqref="G11:G61 J11:J61 M11:M61 P11:P61 S11:S61 V11:V61 Y11:Y61 AB11:AB61 AE11:AE61 AH11:AH61 AK11:AK61 AN11:AN61 AQ11:AQ61 AT11:AT61 AW11:AW61 AZ11:AZ61 BC11:BC61 BF11:BF61 BI11:BI61 BL11:BL61 BO11:BO61 BR11:BR61 BU11:BU61 BX11:BX61 CA11:CA61 CD11:CD61 CG11:CG61 CJ11:CJ61 CM11:CM61 CP11:CP61 CS11:DF61">
      <formula1>$E$3:$E$7</formula1>
    </dataValidation>
    <dataValidation type="list" allowBlank="1" sqref="A26:A40">
      <formula1>$A$20:$A$23</formula1>
    </dataValidation>
  </dataValidations>
  <hyperlinks>
    <hyperlink r:id="rId1" ref="B18"/>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75</v>
      </c>
      <c r="B1" s="1" t="s">
        <v>76</v>
      </c>
      <c r="C1" s="1" t="s">
        <v>77</v>
      </c>
      <c r="D1" s="1" t="s">
        <v>78</v>
      </c>
      <c r="E1" s="1" t="s">
        <v>79</v>
      </c>
      <c r="F1" s="1" t="s">
        <v>80</v>
      </c>
    </row>
    <row r="2">
      <c r="A2" s="44">
        <v>0.0</v>
      </c>
      <c r="B2" s="44">
        <v>1.593104932E9</v>
      </c>
      <c r="C2" s="40">
        <f>IFERROR(__xludf.DUMMYFUNCTION("INDEX(SPLIT(B2, char(10)), 0, 1)/86400+date(1970,1,1)"),44007.71449074074)</f>
        <v>44007.71449</v>
      </c>
      <c r="D2" s="44" t="s">
        <v>93</v>
      </c>
      <c r="E2" s="44" t="s">
        <v>290</v>
      </c>
      <c r="F2" s="44" t="s">
        <v>561</v>
      </c>
    </row>
    <row r="3">
      <c r="A3" s="44">
        <v>0.0</v>
      </c>
      <c r="B3" s="44">
        <v>1.593104935E9</v>
      </c>
      <c r="C3" s="40">
        <f>IFERROR(__xludf.DUMMYFUNCTION("INDEX(SPLIT(B3, char(10)), 0, 1)/86400+date(1970,1,1)"),44007.71452546296)</f>
        <v>44007.71453</v>
      </c>
      <c r="D3" s="44" t="s">
        <v>103</v>
      </c>
      <c r="E3" s="44" t="s">
        <v>562</v>
      </c>
      <c r="F3" s="44" t="s">
        <v>563</v>
      </c>
    </row>
    <row r="4">
      <c r="A4" s="44">
        <v>1.0</v>
      </c>
      <c r="B4" s="44">
        <v>1.593105059E9</v>
      </c>
      <c r="C4" s="40">
        <f>IFERROR(__xludf.DUMMYFUNCTION("INDEX(SPLIT(B4, char(10)), 0, 1)/86400+date(1970,1,1)"),44007.715960648144)</f>
        <v>44007.71596</v>
      </c>
      <c r="D4" s="44" t="s">
        <v>103</v>
      </c>
      <c r="E4" s="44" t="s">
        <v>564</v>
      </c>
      <c r="F4" s="44" t="s">
        <v>565</v>
      </c>
    </row>
    <row r="5">
      <c r="A5" s="44">
        <v>1.0</v>
      </c>
      <c r="B5" s="44">
        <v>1.593105071E9</v>
      </c>
      <c r="C5" s="40">
        <f>IFERROR(__xludf.DUMMYFUNCTION("INDEX(SPLIT(B5, char(10)), 0, 1)/86400+date(1970,1,1)"),44007.716099537036)</f>
        <v>44007.7161</v>
      </c>
      <c r="D5" s="44" t="s">
        <v>93</v>
      </c>
      <c r="E5" s="44" t="s">
        <v>566</v>
      </c>
      <c r="F5" s="44" t="s">
        <v>567</v>
      </c>
    </row>
    <row r="6">
      <c r="A6" s="44">
        <v>1.0</v>
      </c>
      <c r="B6" s="44">
        <v>1.593105121E9</v>
      </c>
      <c r="C6" s="40">
        <f>IFERROR(__xludf.DUMMYFUNCTION("INDEX(SPLIT(B6, char(10)), 0, 1)/86400+date(1970,1,1)"),44007.716678240744)</f>
        <v>44007.71668</v>
      </c>
      <c r="D6" s="44" t="s">
        <v>124</v>
      </c>
      <c r="E6" s="44" t="s">
        <v>568</v>
      </c>
      <c r="F6" s="44" t="s">
        <v>569</v>
      </c>
    </row>
    <row r="7">
      <c r="A7" s="44">
        <v>1.0</v>
      </c>
      <c r="B7" s="44">
        <v>1.593105127E9</v>
      </c>
      <c r="C7" s="40">
        <f>IFERROR(__xludf.DUMMYFUNCTION("INDEX(SPLIT(B7, char(10)), 0, 1)/86400+date(1970,1,1)"),44007.71674768519)</f>
        <v>44007.71675</v>
      </c>
      <c r="D7" s="44" t="s">
        <v>128</v>
      </c>
      <c r="E7" s="44" t="s">
        <v>570</v>
      </c>
      <c r="F7" s="44" t="s">
        <v>571</v>
      </c>
    </row>
    <row r="8">
      <c r="A8" s="44">
        <v>1.0</v>
      </c>
      <c r="B8" s="44">
        <v>1.593105134E9</v>
      </c>
      <c r="C8" s="40">
        <f>IFERROR(__xludf.DUMMYFUNCTION("INDEX(SPLIT(B8, char(10)), 0, 1)/86400+date(1970,1,1)"),44007.716828703706)</f>
        <v>44007.71683</v>
      </c>
      <c r="D8" s="44" t="s">
        <v>90</v>
      </c>
      <c r="E8" s="44" t="s">
        <v>568</v>
      </c>
      <c r="F8" s="44" t="s">
        <v>572</v>
      </c>
    </row>
    <row r="9">
      <c r="A9" s="44">
        <v>2.0</v>
      </c>
      <c r="B9" s="44">
        <v>1.59310516E9</v>
      </c>
      <c r="C9" s="40">
        <f>IFERROR(__xludf.DUMMYFUNCTION("INDEX(SPLIT(B9, char(10)), 0, 1)/86400+date(1970,1,1)"),44007.71712962963)</f>
        <v>44007.71713</v>
      </c>
      <c r="D9" s="44" t="s">
        <v>81</v>
      </c>
      <c r="E9" s="44" t="s">
        <v>573</v>
      </c>
      <c r="F9" s="44" t="s">
        <v>574</v>
      </c>
    </row>
    <row r="10">
      <c r="A10" s="44">
        <v>3.0</v>
      </c>
      <c r="B10" s="44">
        <v>1.59310533E9</v>
      </c>
      <c r="C10" s="40">
        <f>IFERROR(__xludf.DUMMYFUNCTION("INDEX(SPLIT(B10, char(10)), 0, 1)/86400+date(1970,1,1)"),44007.71909722222)</f>
        <v>44007.7191</v>
      </c>
      <c r="D10" s="44" t="s">
        <v>90</v>
      </c>
      <c r="E10" s="44" t="s">
        <v>575</v>
      </c>
      <c r="F10" s="44" t="s">
        <v>576</v>
      </c>
    </row>
    <row r="11">
      <c r="A11" s="44">
        <v>3.0</v>
      </c>
      <c r="B11" s="44">
        <v>1.593105343E9</v>
      </c>
      <c r="C11" s="40">
        <f>IFERROR(__xludf.DUMMYFUNCTION("INDEX(SPLIT(B11, char(10)), 0, 1)/86400+date(1970,1,1)"),44007.719247685185)</f>
        <v>44007.71925</v>
      </c>
      <c r="D11" s="44" t="s">
        <v>81</v>
      </c>
      <c r="E11" s="44" t="s">
        <v>577</v>
      </c>
      <c r="F11" s="44" t="s">
        <v>578</v>
      </c>
    </row>
    <row r="12">
      <c r="A12" s="44">
        <v>4.0</v>
      </c>
      <c r="B12" s="44">
        <v>1.593105535E9</v>
      </c>
      <c r="C12" s="40">
        <f>IFERROR(__xludf.DUMMYFUNCTION("INDEX(SPLIT(B12, char(10)), 0, 1)/86400+date(1970,1,1)"),44007.72146990741)</f>
        <v>44007.72147</v>
      </c>
      <c r="D12" s="44" t="s">
        <v>90</v>
      </c>
      <c r="E12" s="44" t="s">
        <v>112</v>
      </c>
      <c r="F12" s="44" t="s">
        <v>579</v>
      </c>
    </row>
    <row r="13">
      <c r="A13" s="44">
        <v>4.0</v>
      </c>
      <c r="B13" s="44">
        <v>1.593105557E9</v>
      </c>
      <c r="C13" s="40">
        <f>IFERROR(__xludf.DUMMYFUNCTION("INDEX(SPLIT(B13, char(10)), 0, 1)/86400+date(1970,1,1)"),44007.72172453704)</f>
        <v>44007.72172</v>
      </c>
      <c r="D13" s="44" t="s">
        <v>103</v>
      </c>
      <c r="E13" s="44" t="s">
        <v>198</v>
      </c>
      <c r="F13" s="44" t="s">
        <v>580</v>
      </c>
    </row>
    <row r="14">
      <c r="A14" s="44">
        <v>5.0</v>
      </c>
      <c r="B14" s="44">
        <v>1.593105643E9</v>
      </c>
      <c r="C14" s="40">
        <f>IFERROR(__xludf.DUMMYFUNCTION("INDEX(SPLIT(B14, char(10)), 0, 1)/86400+date(1970,1,1)"),44007.72271990741)</f>
        <v>44007.72272</v>
      </c>
      <c r="D14" s="44" t="s">
        <v>81</v>
      </c>
      <c r="E14" s="44" t="s">
        <v>581</v>
      </c>
      <c r="F14" s="44" t="s">
        <v>582</v>
      </c>
    </row>
    <row r="15">
      <c r="A15" s="44">
        <v>5.0</v>
      </c>
      <c r="B15" s="44">
        <v>1.593105649E9</v>
      </c>
      <c r="C15" s="40">
        <f>IFERROR(__xludf.DUMMYFUNCTION("INDEX(SPLIT(B15, char(10)), 0, 1)/86400+date(1970,1,1)"),44007.72278935185)</f>
        <v>44007.72279</v>
      </c>
      <c r="D15" s="44" t="s">
        <v>96</v>
      </c>
      <c r="E15" s="44" t="s">
        <v>583</v>
      </c>
      <c r="F15" s="44" t="s">
        <v>584</v>
      </c>
    </row>
    <row r="16">
      <c r="A16" s="44">
        <v>5.0</v>
      </c>
      <c r="B16" s="44">
        <v>1.593105657E9</v>
      </c>
      <c r="C16" s="40">
        <f>IFERROR(__xludf.DUMMYFUNCTION("INDEX(SPLIT(B16, char(10)), 0, 1)/86400+date(1970,1,1)"),44007.72288194444)</f>
        <v>44007.72288</v>
      </c>
      <c r="D16" s="44" t="s">
        <v>174</v>
      </c>
      <c r="E16" s="44" t="s">
        <v>585</v>
      </c>
      <c r="F16" s="44" t="s">
        <v>586</v>
      </c>
    </row>
    <row r="17">
      <c r="A17" s="44">
        <v>5.0</v>
      </c>
      <c r="B17" s="44">
        <v>1.593105662E9</v>
      </c>
      <c r="C17" s="40">
        <f>IFERROR(__xludf.DUMMYFUNCTION("INDEX(SPLIT(B17, char(10)), 0, 1)/86400+date(1970,1,1)"),44007.72293981482)</f>
        <v>44007.72294</v>
      </c>
      <c r="D17" s="44" t="s">
        <v>131</v>
      </c>
      <c r="E17" s="44" t="s">
        <v>587</v>
      </c>
      <c r="F17" s="44" t="s">
        <v>588</v>
      </c>
    </row>
    <row r="18">
      <c r="A18" s="44">
        <v>5.0</v>
      </c>
      <c r="B18" s="44">
        <v>1.593105677E9</v>
      </c>
      <c r="C18" s="40">
        <f>IFERROR(__xludf.DUMMYFUNCTION("INDEX(SPLIT(B18, char(10)), 0, 1)/86400+date(1970,1,1)"),44007.72311342593)</f>
        <v>44007.72311</v>
      </c>
      <c r="D18" s="44" t="s">
        <v>103</v>
      </c>
      <c r="E18" s="44" t="s">
        <v>589</v>
      </c>
      <c r="F18" s="44" t="s">
        <v>590</v>
      </c>
    </row>
    <row r="19">
      <c r="A19" s="44">
        <v>5.0</v>
      </c>
      <c r="B19" s="44">
        <v>1.593105706E9</v>
      </c>
      <c r="C19" s="40">
        <f>IFERROR(__xludf.DUMMYFUNCTION("INDEX(SPLIT(B19, char(10)), 0, 1)/86400+date(1970,1,1)"),44007.723449074074)</f>
        <v>44007.72345</v>
      </c>
      <c r="D19" s="44" t="s">
        <v>136</v>
      </c>
      <c r="E19" s="44" t="s">
        <v>591</v>
      </c>
      <c r="F19" s="44" t="s">
        <v>592</v>
      </c>
    </row>
    <row r="20">
      <c r="A20" s="44">
        <v>5.0</v>
      </c>
      <c r="B20" s="44">
        <v>1.593105719E9</v>
      </c>
      <c r="C20" s="40">
        <f>IFERROR(__xludf.DUMMYFUNCTION("INDEX(SPLIT(B20, char(10)), 0, 1)/86400+date(1970,1,1)"),44007.723599537036)</f>
        <v>44007.7236</v>
      </c>
      <c r="D20" s="44" t="s">
        <v>151</v>
      </c>
      <c r="E20" s="44" t="s">
        <v>593</v>
      </c>
      <c r="F20" s="44" t="s">
        <v>594</v>
      </c>
    </row>
    <row r="21">
      <c r="A21" s="44">
        <v>6.0</v>
      </c>
      <c r="B21" s="44">
        <v>1.593105887E9</v>
      </c>
      <c r="C21" s="40">
        <f>IFERROR(__xludf.DUMMYFUNCTION("INDEX(SPLIT(B21, char(10)), 0, 1)/86400+date(1970,1,1)"),44007.725543981476)</f>
        <v>44007.72554</v>
      </c>
      <c r="D21" s="44" t="s">
        <v>96</v>
      </c>
      <c r="E21" s="44" t="s">
        <v>595</v>
      </c>
      <c r="F21" s="44" t="s">
        <v>596</v>
      </c>
    </row>
    <row r="22">
      <c r="A22" s="44">
        <v>6.0</v>
      </c>
      <c r="B22" s="44">
        <v>1.593105908E9</v>
      </c>
      <c r="C22" s="40">
        <f>IFERROR(__xludf.DUMMYFUNCTION("INDEX(SPLIT(B22, char(10)), 0, 1)/86400+date(1970,1,1)"),44007.72578703704)</f>
        <v>44007.72579</v>
      </c>
      <c r="D22" s="44" t="s">
        <v>81</v>
      </c>
      <c r="E22" s="44" t="s">
        <v>597</v>
      </c>
      <c r="F22" s="44" t="s">
        <v>598</v>
      </c>
    </row>
    <row r="23">
      <c r="A23" s="44">
        <v>6.0</v>
      </c>
      <c r="B23" s="44">
        <v>1.59310591E9</v>
      </c>
      <c r="C23" s="40">
        <f>IFERROR(__xludf.DUMMYFUNCTION("INDEX(SPLIT(B23, char(10)), 0, 1)/86400+date(1970,1,1)"),44007.725810185184)</f>
        <v>44007.72581</v>
      </c>
      <c r="D23" s="44" t="s">
        <v>90</v>
      </c>
      <c r="E23" s="44" t="s">
        <v>599</v>
      </c>
      <c r="F23" s="44" t="s">
        <v>600</v>
      </c>
    </row>
    <row r="24">
      <c r="A24" s="44">
        <v>6.0</v>
      </c>
      <c r="B24" s="44">
        <v>1.593105926E9</v>
      </c>
      <c r="C24" s="40">
        <f>IFERROR(__xludf.DUMMYFUNCTION("INDEX(SPLIT(B24, char(10)), 0, 1)/86400+date(1970,1,1)"),44007.72599537037)</f>
        <v>44007.726</v>
      </c>
      <c r="D24" s="44" t="s">
        <v>103</v>
      </c>
      <c r="E24" s="44" t="s">
        <v>595</v>
      </c>
      <c r="F24" s="44" t="s">
        <v>601</v>
      </c>
    </row>
    <row r="25">
      <c r="A25" s="44">
        <v>7.0</v>
      </c>
      <c r="B25" s="44">
        <v>1.593105998E9</v>
      </c>
      <c r="C25" s="40">
        <f>IFERROR(__xludf.DUMMYFUNCTION("INDEX(SPLIT(B25, char(10)), 0, 1)/86400+date(1970,1,1)"),44007.7268287037)</f>
        <v>44007.72683</v>
      </c>
      <c r="D25" s="44" t="s">
        <v>81</v>
      </c>
      <c r="E25" s="44" t="s">
        <v>602</v>
      </c>
      <c r="F25" s="44" t="s">
        <v>603</v>
      </c>
    </row>
    <row r="26">
      <c r="A26" s="44">
        <v>8.0</v>
      </c>
      <c r="B26" s="44">
        <v>1.593106091E9</v>
      </c>
      <c r="C26" s="40">
        <f>IFERROR(__xludf.DUMMYFUNCTION("INDEX(SPLIT(B26, char(10)), 0, 1)/86400+date(1970,1,1)"),44007.72790509259)</f>
        <v>44007.72791</v>
      </c>
      <c r="D26" s="44" t="s">
        <v>103</v>
      </c>
      <c r="E26" s="44" t="s">
        <v>162</v>
      </c>
      <c r="F26" s="44" t="s">
        <v>604</v>
      </c>
    </row>
    <row r="27">
      <c r="A27" s="44">
        <v>9.0</v>
      </c>
      <c r="B27" s="44">
        <v>1.593106248E9</v>
      </c>
      <c r="C27" s="40">
        <f>IFERROR(__xludf.DUMMYFUNCTION("INDEX(SPLIT(B27, char(10)), 0, 1)/86400+date(1970,1,1)"),44007.729722222226)</f>
        <v>44007.72972</v>
      </c>
      <c r="D27" s="44" t="s">
        <v>81</v>
      </c>
      <c r="E27" s="44" t="s">
        <v>605</v>
      </c>
      <c r="F27" s="44" t="s">
        <v>606</v>
      </c>
    </row>
    <row r="28">
      <c r="A28" s="44">
        <v>10.0</v>
      </c>
      <c r="B28" s="44">
        <v>1.593106507E9</v>
      </c>
      <c r="C28" s="40">
        <f>IFERROR(__xludf.DUMMYFUNCTION("INDEX(SPLIT(B28, char(10)), 0, 1)/86400+date(1970,1,1)"),44007.732719907406)</f>
        <v>44007.73272</v>
      </c>
      <c r="D28" s="44" t="s">
        <v>96</v>
      </c>
      <c r="E28" s="44" t="s">
        <v>607</v>
      </c>
      <c r="F28" s="44" t="s">
        <v>608</v>
      </c>
    </row>
    <row r="29">
      <c r="A29" s="44">
        <v>11.0</v>
      </c>
      <c r="B29" s="44">
        <v>1.593106826E9</v>
      </c>
      <c r="C29" s="40">
        <f>IFERROR(__xludf.DUMMYFUNCTION("INDEX(SPLIT(B29, char(10)), 0, 1)/86400+date(1970,1,1)"),44007.73641203703)</f>
        <v>44007.73641</v>
      </c>
      <c r="D29" s="44" t="s">
        <v>81</v>
      </c>
      <c r="E29" s="44" t="s">
        <v>609</v>
      </c>
      <c r="F29" s="44" t="s">
        <v>610</v>
      </c>
    </row>
    <row r="30">
      <c r="A30" s="44">
        <v>12.0</v>
      </c>
      <c r="B30" s="44">
        <v>1.593107122E9</v>
      </c>
      <c r="C30" s="40">
        <f>IFERROR(__xludf.DUMMYFUNCTION("INDEX(SPLIT(B30, char(10)), 0, 1)/86400+date(1970,1,1)"),44007.73983796296)</f>
        <v>44007.73984</v>
      </c>
      <c r="D30" s="44" t="s">
        <v>96</v>
      </c>
      <c r="E30" s="44" t="s">
        <v>160</v>
      </c>
      <c r="F30" s="44" t="s">
        <v>611</v>
      </c>
    </row>
    <row r="31">
      <c r="A31" s="44">
        <v>13.0</v>
      </c>
      <c r="B31" s="44">
        <v>1.593107289E9</v>
      </c>
      <c r="C31" s="40">
        <f>IFERROR(__xludf.DUMMYFUNCTION("INDEX(SPLIT(B31, char(10)), 0, 1)/86400+date(1970,1,1)"),44007.74177083334)</f>
        <v>44007.74177</v>
      </c>
      <c r="D31" s="44" t="s">
        <v>96</v>
      </c>
      <c r="E31" s="44" t="s">
        <v>612</v>
      </c>
      <c r="F31" s="44" t="s">
        <v>613</v>
      </c>
    </row>
    <row r="32">
      <c r="A32" s="44">
        <v>13.0</v>
      </c>
      <c r="B32" s="44">
        <v>1.593107346E9</v>
      </c>
      <c r="C32" s="40">
        <f>IFERROR(__xludf.DUMMYFUNCTION("INDEX(SPLIT(B32, char(10)), 0, 1)/86400+date(1970,1,1)"),44007.742430555554)</f>
        <v>44007.74243</v>
      </c>
      <c r="D32" s="44" t="s">
        <v>136</v>
      </c>
      <c r="E32" s="44" t="s">
        <v>614</v>
      </c>
      <c r="F32" s="44" t="s">
        <v>615</v>
      </c>
    </row>
    <row r="33">
      <c r="A33" s="44">
        <v>13.0</v>
      </c>
      <c r="B33" s="44">
        <v>1.593107374E9</v>
      </c>
      <c r="C33" s="40">
        <f>IFERROR(__xludf.DUMMYFUNCTION("INDEX(SPLIT(B33, char(10)), 0, 1)/86400+date(1970,1,1)"),44007.74275462963)</f>
        <v>44007.74275</v>
      </c>
      <c r="D33" s="44" t="s">
        <v>81</v>
      </c>
      <c r="E33" s="44" t="s">
        <v>616</v>
      </c>
      <c r="F33" s="44" t="s">
        <v>617</v>
      </c>
    </row>
    <row r="34">
      <c r="A34" s="44">
        <v>14.0</v>
      </c>
      <c r="B34" s="44">
        <v>1.593107489E9</v>
      </c>
      <c r="C34" s="40">
        <f>IFERROR(__xludf.DUMMYFUNCTION("INDEX(SPLIT(B34, char(10)), 0, 1)/86400+date(1970,1,1)"),44007.74408564815)</f>
        <v>44007.74409</v>
      </c>
      <c r="D34" s="44" t="s">
        <v>90</v>
      </c>
      <c r="E34" s="44" t="s">
        <v>112</v>
      </c>
      <c r="F34" s="44" t="s">
        <v>618</v>
      </c>
    </row>
    <row r="35">
      <c r="A35" s="44">
        <v>14.0</v>
      </c>
      <c r="B35" s="44">
        <v>1.593107546E9</v>
      </c>
      <c r="C35" s="40">
        <f>IFERROR(__xludf.DUMMYFUNCTION("INDEX(SPLIT(B35, char(10)), 0, 1)/86400+date(1970,1,1)"),44007.74474537037)</f>
        <v>44007.74475</v>
      </c>
      <c r="D35" s="44" t="s">
        <v>103</v>
      </c>
      <c r="E35" s="44" t="s">
        <v>619</v>
      </c>
      <c r="F35" s="44" t="s">
        <v>620</v>
      </c>
    </row>
    <row r="36">
      <c r="A36" s="44">
        <v>15.0</v>
      </c>
      <c r="B36" s="44">
        <v>1.593107662E9</v>
      </c>
      <c r="C36" s="40">
        <f>IFERROR(__xludf.DUMMYFUNCTION("INDEX(SPLIT(B36, char(10)), 0, 1)/86400+date(1970,1,1)"),44007.746087962965)</f>
        <v>44007.74609</v>
      </c>
      <c r="D36" s="44" t="s">
        <v>96</v>
      </c>
      <c r="E36" s="44" t="s">
        <v>621</v>
      </c>
      <c r="F36" s="44" t="s">
        <v>622</v>
      </c>
    </row>
    <row r="37">
      <c r="A37" s="44">
        <v>16.0</v>
      </c>
      <c r="B37" s="44">
        <v>1.593108286E9</v>
      </c>
      <c r="C37" s="40">
        <f>IFERROR(__xludf.DUMMYFUNCTION("INDEX(SPLIT(B37, char(10)), 0, 1)/86400+date(1970,1,1)"),44007.75331018519)</f>
        <v>44007.75331</v>
      </c>
      <c r="D37" s="44" t="s">
        <v>131</v>
      </c>
      <c r="E37" s="44" t="s">
        <v>623</v>
      </c>
      <c r="F37" s="44" t="s">
        <v>624</v>
      </c>
    </row>
    <row r="38">
      <c r="A38" s="44">
        <v>16.0</v>
      </c>
      <c r="B38" s="44">
        <v>1.593108337E9</v>
      </c>
      <c r="C38" s="40">
        <f>IFERROR(__xludf.DUMMYFUNCTION("INDEX(SPLIT(B38, char(10)), 0, 1)/86400+date(1970,1,1)"),44007.753900462965)</f>
        <v>44007.7539</v>
      </c>
      <c r="D38" s="44" t="s">
        <v>96</v>
      </c>
      <c r="E38" s="44" t="s">
        <v>625</v>
      </c>
      <c r="F38" s="44" t="s">
        <v>626</v>
      </c>
    </row>
    <row r="39">
      <c r="A39" s="44">
        <v>17.0</v>
      </c>
      <c r="B39" s="44">
        <v>1.593108434E9</v>
      </c>
      <c r="C39" s="40">
        <f>IFERROR(__xludf.DUMMYFUNCTION("INDEX(SPLIT(B39, char(10)), 0, 1)/86400+date(1970,1,1)"),44007.755023148144)</f>
        <v>44007.75502</v>
      </c>
      <c r="D39" s="44" t="s">
        <v>128</v>
      </c>
      <c r="E39" s="44" t="s">
        <v>627</v>
      </c>
      <c r="F39" s="44" t="s">
        <v>628</v>
      </c>
    </row>
    <row r="40">
      <c r="A40" s="44">
        <v>18.0</v>
      </c>
      <c r="B40" s="44">
        <v>1.593108844E9</v>
      </c>
      <c r="C40" s="40">
        <f>IFERROR(__xludf.DUMMYFUNCTION("INDEX(SPLIT(B40, char(10)), 0, 1)/86400+date(1970,1,1)"),44007.75976851852)</f>
        <v>44007.75977</v>
      </c>
      <c r="D40" s="44" t="s">
        <v>103</v>
      </c>
      <c r="E40" s="44" t="s">
        <v>629</v>
      </c>
      <c r="F40" s="44" t="s">
        <v>630</v>
      </c>
    </row>
    <row r="41">
      <c r="A41" s="44">
        <v>19.0</v>
      </c>
      <c r="B41" s="44">
        <v>1.593109062E9</v>
      </c>
      <c r="C41" s="40">
        <f>IFERROR(__xludf.DUMMYFUNCTION("INDEX(SPLIT(B41, char(10)), 0, 1)/86400+date(1970,1,1)"),44007.762291666666)</f>
        <v>44007.76229</v>
      </c>
      <c r="D41" s="44" t="s">
        <v>103</v>
      </c>
      <c r="E41" s="44" t="s">
        <v>631</v>
      </c>
      <c r="F41" s="44" t="s">
        <v>632</v>
      </c>
    </row>
    <row r="42">
      <c r="A42" s="44">
        <v>20.0</v>
      </c>
      <c r="B42" s="44">
        <v>1.593109319E9</v>
      </c>
      <c r="C42" s="40">
        <f>IFERROR(__xludf.DUMMYFUNCTION("INDEX(SPLIT(B42, char(10)), 0, 1)/86400+date(1970,1,1)"),44007.7652662037)</f>
        <v>44007.76527</v>
      </c>
      <c r="D42" s="44" t="s">
        <v>96</v>
      </c>
      <c r="E42" s="44" t="s">
        <v>633</v>
      </c>
      <c r="F42" s="44" t="s">
        <v>634</v>
      </c>
    </row>
    <row r="43">
      <c r="A43" s="44">
        <v>20.0</v>
      </c>
      <c r="B43" s="44">
        <v>1.593109389E9</v>
      </c>
      <c r="C43" s="40">
        <f>IFERROR(__xludf.DUMMYFUNCTION("INDEX(SPLIT(B43, char(10)), 0, 1)/86400+date(1970,1,1)"),44007.766076388885)</f>
        <v>44007.76608</v>
      </c>
      <c r="D43" s="44" t="s">
        <v>131</v>
      </c>
      <c r="E43" s="44" t="s">
        <v>635</v>
      </c>
      <c r="F43" s="44" t="s">
        <v>636</v>
      </c>
    </row>
    <row r="44">
      <c r="A44" s="44">
        <v>21.0</v>
      </c>
      <c r="B44" s="44">
        <v>1.593109744E9</v>
      </c>
      <c r="C44" s="40">
        <f>IFERROR(__xludf.DUMMYFUNCTION("INDEX(SPLIT(B44, char(10)), 0, 1)/86400+date(1970,1,1)"),44007.77018518519)</f>
        <v>44007.77019</v>
      </c>
      <c r="D44" s="44" t="s">
        <v>93</v>
      </c>
      <c r="E44" s="44" t="s">
        <v>268</v>
      </c>
      <c r="F44" s="44" t="s">
        <v>637</v>
      </c>
    </row>
    <row r="45">
      <c r="A45" s="44">
        <v>21.0</v>
      </c>
      <c r="B45" s="44">
        <v>1.593109801E9</v>
      </c>
      <c r="C45" s="40">
        <f>IFERROR(__xludf.DUMMYFUNCTION("INDEX(SPLIT(B45, char(10)), 0, 1)/86400+date(1970,1,1)"),44007.77084490741)</f>
        <v>44007.77084</v>
      </c>
      <c r="D45" s="44" t="s">
        <v>81</v>
      </c>
      <c r="E45" s="44" t="s">
        <v>638</v>
      </c>
      <c r="F45" s="44" t="s">
        <v>639</v>
      </c>
    </row>
    <row r="46">
      <c r="A46" s="44">
        <v>22.0</v>
      </c>
      <c r="B46" s="44">
        <v>1.59310989E9</v>
      </c>
      <c r="C46" s="40">
        <f>IFERROR(__xludf.DUMMYFUNCTION("INDEX(SPLIT(B46, char(10)), 0, 1)/86400+date(1970,1,1)"),44007.771875)</f>
        <v>44007.77188</v>
      </c>
      <c r="D46" s="44" t="s">
        <v>96</v>
      </c>
      <c r="E46" s="44" t="s">
        <v>640</v>
      </c>
      <c r="F46" s="44" t="s">
        <v>641</v>
      </c>
    </row>
    <row r="47">
      <c r="A47" s="44">
        <v>22.0</v>
      </c>
      <c r="B47" s="44">
        <v>1.593109944E9</v>
      </c>
      <c r="C47" s="40">
        <f>IFERROR(__xludf.DUMMYFUNCTION("INDEX(SPLIT(B47, char(10)), 0, 1)/86400+date(1970,1,1)"),44007.7725)</f>
        <v>44007.7725</v>
      </c>
      <c r="D47" s="44" t="s">
        <v>90</v>
      </c>
      <c r="E47" s="44" t="s">
        <v>112</v>
      </c>
      <c r="F47" s="44" t="s">
        <v>642</v>
      </c>
    </row>
    <row r="48">
      <c r="A48" s="44">
        <v>22.0</v>
      </c>
      <c r="B48" s="44">
        <v>1.593109959E9</v>
      </c>
      <c r="C48" s="40">
        <f>IFERROR(__xludf.DUMMYFUNCTION("INDEX(SPLIT(B48, char(10)), 0, 1)/86400+date(1970,1,1)"),44007.77267361111)</f>
        <v>44007.77267</v>
      </c>
      <c r="D48" s="44" t="s">
        <v>81</v>
      </c>
      <c r="E48" s="44" t="s">
        <v>643</v>
      </c>
      <c r="F48" s="44" t="s">
        <v>644</v>
      </c>
    </row>
    <row r="49">
      <c r="A49" s="44">
        <v>23.0</v>
      </c>
      <c r="B49" s="44">
        <v>1.593110027E9</v>
      </c>
      <c r="C49" s="40">
        <f>IFERROR(__xludf.DUMMYFUNCTION("INDEX(SPLIT(B49, char(10)), 0, 1)/86400+date(1970,1,1)"),44007.77346064815)</f>
        <v>44007.77346</v>
      </c>
      <c r="D49" s="44" t="s">
        <v>96</v>
      </c>
      <c r="E49" s="44" t="s">
        <v>645</v>
      </c>
      <c r="F49" s="44" t="s">
        <v>646</v>
      </c>
    </row>
    <row r="50">
      <c r="A50" s="44">
        <v>24.0</v>
      </c>
      <c r="B50" s="44">
        <v>1.593110207E9</v>
      </c>
      <c r="C50" s="40">
        <f>IFERROR(__xludf.DUMMYFUNCTION("INDEX(SPLIT(B50, char(10)), 0, 1)/86400+date(1970,1,1)"),44007.77554398148)</f>
        <v>44007.77554</v>
      </c>
      <c r="D50" s="44" t="s">
        <v>174</v>
      </c>
      <c r="E50" s="44" t="s">
        <v>647</v>
      </c>
      <c r="F50" s="44" t="s">
        <v>648</v>
      </c>
    </row>
    <row r="51">
      <c r="A51" s="44">
        <v>24.0</v>
      </c>
      <c r="B51" s="44">
        <v>1.593110296E9</v>
      </c>
      <c r="C51" s="40">
        <f>IFERROR(__xludf.DUMMYFUNCTION("INDEX(SPLIT(B51, char(10)), 0, 1)/86400+date(1970,1,1)"),44007.77657407407)</f>
        <v>44007.77657</v>
      </c>
      <c r="D51" s="44" t="s">
        <v>131</v>
      </c>
      <c r="E51" s="44" t="s">
        <v>649</v>
      </c>
      <c r="F51" s="44" t="s">
        <v>650</v>
      </c>
    </row>
    <row r="52">
      <c r="A52" s="44">
        <v>25.0</v>
      </c>
      <c r="B52" s="44">
        <v>1.593110334E9</v>
      </c>
      <c r="C52" s="40">
        <f>IFERROR(__xludf.DUMMYFUNCTION("INDEX(SPLIT(B52, char(10)), 0, 1)/86400+date(1970,1,1)"),44007.77701388889)</f>
        <v>44007.77701</v>
      </c>
      <c r="D52" s="44" t="s">
        <v>93</v>
      </c>
      <c r="E52" s="44" t="s">
        <v>651</v>
      </c>
      <c r="F52" s="44" t="s">
        <v>652</v>
      </c>
    </row>
    <row r="53">
      <c r="A53" s="44">
        <v>25.0</v>
      </c>
      <c r="B53" s="44">
        <v>1.593110406E9</v>
      </c>
      <c r="C53" s="40">
        <f>IFERROR(__xludf.DUMMYFUNCTION("INDEX(SPLIT(B53, char(10)), 0, 1)/86400+date(1970,1,1)"),44007.77784722223)</f>
        <v>44007.77785</v>
      </c>
      <c r="D53" s="44" t="s">
        <v>81</v>
      </c>
      <c r="E53" s="44" t="s">
        <v>653</v>
      </c>
      <c r="F53" s="44" t="s">
        <v>654</v>
      </c>
    </row>
    <row r="54">
      <c r="A54" s="44">
        <v>26.0</v>
      </c>
      <c r="B54" s="44">
        <v>1.593110529E9</v>
      </c>
      <c r="C54" s="40">
        <f>IFERROR(__xludf.DUMMYFUNCTION("INDEX(SPLIT(B54, char(10)), 0, 1)/86400+date(1970,1,1)"),44007.77927083333)</f>
        <v>44007.77927</v>
      </c>
      <c r="D54" s="44" t="s">
        <v>103</v>
      </c>
      <c r="E54" s="44" t="s">
        <v>198</v>
      </c>
      <c r="F54" s="44" t="s">
        <v>655</v>
      </c>
    </row>
    <row r="55">
      <c r="A55" s="44">
        <v>26.0</v>
      </c>
      <c r="B55" s="44">
        <v>1.593110565E9</v>
      </c>
      <c r="C55" s="40">
        <f>IFERROR(__xludf.DUMMYFUNCTION("INDEX(SPLIT(B55, char(10)), 0, 1)/86400+date(1970,1,1)"),44007.7796875)</f>
        <v>44007.77969</v>
      </c>
      <c r="D55" s="44" t="s">
        <v>96</v>
      </c>
      <c r="E55" s="44" t="s">
        <v>656</v>
      </c>
      <c r="F55" s="44" t="s">
        <v>657</v>
      </c>
    </row>
    <row r="56">
      <c r="A56" s="44">
        <v>27.0</v>
      </c>
      <c r="B56" s="44">
        <v>1.593110643E9</v>
      </c>
      <c r="C56" s="40">
        <f>IFERROR(__xludf.DUMMYFUNCTION("INDEX(SPLIT(B56, char(10)), 0, 1)/86400+date(1970,1,1)"),44007.780590277776)</f>
        <v>44007.78059</v>
      </c>
      <c r="D56" s="44" t="s">
        <v>128</v>
      </c>
      <c r="E56" s="44" t="s">
        <v>658</v>
      </c>
      <c r="F56" s="44" t="s">
        <v>659</v>
      </c>
    </row>
    <row r="57">
      <c r="A57" s="44">
        <v>27.0</v>
      </c>
      <c r="B57" s="44">
        <v>1.593110689E9</v>
      </c>
      <c r="C57" s="40">
        <f>IFERROR(__xludf.DUMMYFUNCTION("INDEX(SPLIT(B57, char(10)), 0, 1)/86400+date(1970,1,1)"),44007.781122685185)</f>
        <v>44007.78112</v>
      </c>
      <c r="D57" s="44" t="s">
        <v>124</v>
      </c>
      <c r="E57" s="44" t="s">
        <v>660</v>
      </c>
      <c r="F57" s="44" t="s">
        <v>661</v>
      </c>
    </row>
    <row r="58">
      <c r="A58" s="44">
        <v>27.0</v>
      </c>
      <c r="B58" s="44">
        <v>1.593110726E9</v>
      </c>
      <c r="C58" s="40">
        <f>IFERROR(__xludf.DUMMYFUNCTION("INDEX(SPLIT(B58, char(10)), 0, 1)/86400+date(1970,1,1)"),44007.78155092592)</f>
        <v>44007.78155</v>
      </c>
      <c r="D58" s="44" t="s">
        <v>90</v>
      </c>
      <c r="E58" s="44" t="s">
        <v>662</v>
      </c>
      <c r="F58" s="44" t="s">
        <v>663</v>
      </c>
    </row>
    <row r="59">
      <c r="A59" s="44">
        <v>28.0</v>
      </c>
      <c r="B59" s="44">
        <v>1.593110747E9</v>
      </c>
      <c r="C59" s="40">
        <f>IFERROR(__xludf.DUMMYFUNCTION("INDEX(SPLIT(B59, char(10)), 0, 1)/86400+date(1970,1,1)"),44007.781793981485)</f>
        <v>44007.78179</v>
      </c>
      <c r="D59" s="44" t="s">
        <v>93</v>
      </c>
      <c r="E59" s="44" t="s">
        <v>635</v>
      </c>
      <c r="F59" s="44" t="s">
        <v>664</v>
      </c>
    </row>
    <row r="60">
      <c r="A60" s="44">
        <v>28.0</v>
      </c>
      <c r="B60" s="44">
        <v>1.593110771E9</v>
      </c>
      <c r="C60" s="40">
        <f>IFERROR(__xludf.DUMMYFUNCTION("INDEX(SPLIT(B60, char(10)), 0, 1)/86400+date(1970,1,1)"),44007.782071759255)</f>
        <v>44007.78207</v>
      </c>
      <c r="D60" s="44" t="s">
        <v>131</v>
      </c>
      <c r="E60" s="44" t="s">
        <v>665</v>
      </c>
      <c r="F60" s="44" t="s">
        <v>666</v>
      </c>
    </row>
    <row r="61">
      <c r="A61" s="44">
        <v>28.0</v>
      </c>
      <c r="B61" s="44">
        <v>1.593110793E9</v>
      </c>
      <c r="C61" s="40">
        <f>IFERROR(__xludf.DUMMYFUNCTION("INDEX(SPLIT(B61, char(10)), 0, 1)/86400+date(1970,1,1)"),44007.782326388886)</f>
        <v>44007.78233</v>
      </c>
      <c r="D61" s="44" t="s">
        <v>96</v>
      </c>
      <c r="E61" s="44" t="s">
        <v>667</v>
      </c>
      <c r="F61" s="44" t="s">
        <v>668</v>
      </c>
    </row>
    <row r="62">
      <c r="A62" s="44">
        <v>28.0</v>
      </c>
      <c r="B62" s="44">
        <v>1.593110798E9</v>
      </c>
      <c r="C62" s="40">
        <f>IFERROR(__xludf.DUMMYFUNCTION("INDEX(SPLIT(B62, char(10)), 0, 1)/86400+date(1970,1,1)"),44007.78238425926)</f>
        <v>44007.78238</v>
      </c>
      <c r="D62" s="44" t="s">
        <v>136</v>
      </c>
      <c r="E62" s="44" t="s">
        <v>669</v>
      </c>
      <c r="F62" s="44" t="s">
        <v>670</v>
      </c>
    </row>
    <row r="63">
      <c r="A63" s="44">
        <v>29.0</v>
      </c>
      <c r="B63" s="44">
        <v>1.593110928E9</v>
      </c>
      <c r="C63" s="40">
        <f>IFERROR(__xludf.DUMMYFUNCTION("INDEX(SPLIT(B63, char(10)), 0, 1)/86400+date(1970,1,1)"),44007.78388888889)</f>
        <v>44007.78389</v>
      </c>
      <c r="D63" s="44" t="s">
        <v>174</v>
      </c>
      <c r="E63" s="44" t="s">
        <v>175</v>
      </c>
      <c r="F63" s="44" t="s">
        <v>671</v>
      </c>
    </row>
    <row r="64">
      <c r="A64" s="44">
        <v>30.0</v>
      </c>
      <c r="B64" s="44">
        <v>1.593111342E9</v>
      </c>
      <c r="C64" s="40">
        <f>IFERROR(__xludf.DUMMYFUNCTION("INDEX(SPLIT(B64, char(10)), 0, 1)/86400+date(1970,1,1)"),44007.78868055556)</f>
        <v>44007.78868</v>
      </c>
      <c r="D64" s="44" t="s">
        <v>103</v>
      </c>
      <c r="E64" s="44" t="s">
        <v>104</v>
      </c>
      <c r="F64" s="44" t="s">
        <v>672</v>
      </c>
    </row>
    <row r="65">
      <c r="A65" s="44">
        <v>31.0</v>
      </c>
      <c r="B65" s="44">
        <v>1.593111442E9</v>
      </c>
      <c r="C65" s="40">
        <f>IFERROR(__xludf.DUMMYFUNCTION("INDEX(SPLIT(B65, char(10)), 0, 1)/86400+date(1970,1,1)"),44007.78983796296)</f>
        <v>44007.78984</v>
      </c>
      <c r="D65" s="44" t="s">
        <v>96</v>
      </c>
      <c r="E65" s="44" t="s">
        <v>160</v>
      </c>
      <c r="F65" s="44" t="s">
        <v>673</v>
      </c>
    </row>
    <row r="66">
      <c r="C66" s="40"/>
    </row>
    <row r="67">
      <c r="C67" s="40"/>
    </row>
    <row r="68">
      <c r="C68" s="40"/>
    </row>
    <row r="69">
      <c r="C69" s="40"/>
    </row>
    <row r="70">
      <c r="C70" s="40"/>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9.0" topLeftCell="E10" activePane="bottomRight" state="frozen"/>
      <selection activeCell="E1" sqref="E1" pane="topRight"/>
      <selection activeCell="A10" sqref="A10" pane="bottomLeft"/>
      <selection activeCell="E10" sqref="E10" pane="bottomRight"/>
    </sheetView>
  </sheetViews>
  <sheetFormatPr customHeight="1" defaultColWidth="12.63" defaultRowHeight="15.75"/>
  <cols>
    <col customWidth="1" min="1" max="1" width="12.0"/>
    <col customWidth="1" min="2" max="2" width="17.13"/>
    <col customWidth="1" min="3" max="3" width="9.13"/>
    <col customWidth="1" min="4" max="4" width="9.75"/>
    <col customWidth="1" min="5" max="5" width="17.13"/>
    <col customWidth="1" min="6" max="6" width="25.75"/>
    <col customWidth="1" min="9" max="9" width="15.88"/>
  </cols>
  <sheetData>
    <row r="1" hidden="1">
      <c r="A1" s="1"/>
      <c r="B1" s="1"/>
      <c r="C1" s="1"/>
      <c r="D1" s="1"/>
      <c r="E1" s="1" t="s">
        <v>30</v>
      </c>
      <c r="F1" s="5" t="str">
        <f>IFERROR(__xludf.DUMMYFUNCTION("TRANSPOSE(UNIQUE(INDIRECT(B2&amp;""!D2:D107"")))"),"['goal', 'score', 'conced', 'equalis', 'offsid', 'assist']")</f>
        <v>['goal', 'score', 'conced', 'equalis', 'offsid', 'assist']</v>
      </c>
      <c r="G1" s="5" t="str">
        <f>IFERROR(__xludf.DUMMYFUNCTION("""COMPUTED_VALUE"""),"['touch', 'cross', 'ball', 'pass']")</f>
        <v>['touch', 'cross', 'ball', 'pass']</v>
      </c>
      <c r="H1" s="5" t="str">
        <f>IFERROR(__xludf.DUMMYFUNCTION("""COMPUTED_VALUE"""),"['foul', 'refere', 'book', 'decis', 'var', 'given', 'pen', 'dive', 'ref', 'penalti']")</f>
        <v>['foul', 'refere', 'book', 'decis', 'var', 'given', 'pen', 'dive', 'ref', 'penalti']</v>
      </c>
      <c r="I1" s="5" t="str">
        <f>IFERROR(__xludf.DUMMYFUNCTION("""COMPUTED_VALUE"""),"['tackl', 'dribbl', 'yellow', 'red', 'card']")</f>
        <v>['tackl', 'dribbl', 'yellow', 'red', 'card']</v>
      </c>
      <c r="J1" s="5" t="str">
        <f>IFERROR(__xludf.DUMMYFUNCTION("""COMPUTED_VALUE"""),"['take', 'knee', 'player']")</f>
        <v>['take', 'knee', 'player']</v>
      </c>
      <c r="K1" s="5" t="str">
        <f>IFERROR(__xludf.DUMMYFUNCTION("""COMPUTED_VALUE"""),"['champion', 'final', 'leagu', 'footbal', 'win']")</f>
        <v>['champion', 'final', 'leagu', 'footbal', 'win']</v>
      </c>
      <c r="L1" s="5" t="str">
        <f>IFERROR(__xludf.DUMMYFUNCTION("""COMPUTED_VALUE"""),"['need', 'half', 'sub', 'second', 'lead', '2nd']")</f>
        <v>['need', 'half', 'sub', 'second', 'lead', '2nd']</v>
      </c>
      <c r="M1" s="5" t="str">
        <f>IFERROR(__xludf.DUMMYFUNCTION("""COMPUTED_VALUE"""),"['keeper', 'best', 'goalkeep', 'defend', 'EXCLUDED-kepa', 'save']")</f>
        <v>['keeper', 'best', 'goalkeep', 'defend', 'EXCLUDED-kepa', 'save']</v>
      </c>
      <c r="N1" s="5" t="str">
        <f>IFERROR(__xludf.DUMMYFUNCTION("""COMPUTED_VALUE"""),"['gol', 'stream', 'onlin', 'free', 'reddit', 'link', 'EXCLUDED-manchest', 'ff', 'live']")</f>
        <v>['gol', 'stream', 'onlin', 'free', 'reddit', 'link', 'EXCLUDED-manchest', 'ff', 'live']</v>
      </c>
      <c r="O1" s="5" t="str">
        <f>IFERROR(__xludf.DUMMYFUNCTION("""COMPUTED_VALUE"""),"['deflect', 'kick', 'corner', 'shot', 'net']")</f>
        <v>['deflect', 'kick', 'corner', 'shot', 'net']</v>
      </c>
      <c r="P1" s="5" t="str">
        <f>IFERROR(__xludf.DUMMYFUNCTION("""COMPUTED_VALUE"""),"['world', 'class', 'striker']")</f>
        <v>['world', 'class', 'striker']</v>
      </c>
      <c r="Q1" s="5"/>
    </row>
    <row r="2">
      <c r="A2" s="14" t="s">
        <v>31</v>
      </c>
      <c r="B2" s="15" t="s">
        <v>674</v>
      </c>
      <c r="C2" s="14"/>
      <c r="D2" s="14"/>
      <c r="E2" s="16" t="s">
        <v>33</v>
      </c>
      <c r="F2" s="17" t="s">
        <v>34</v>
      </c>
      <c r="G2" s="18" t="s">
        <v>35</v>
      </c>
      <c r="H2" s="16" t="s">
        <v>33</v>
      </c>
      <c r="I2" s="17" t="s">
        <v>34</v>
      </c>
      <c r="J2" s="18" t="s">
        <v>35</v>
      </c>
      <c r="K2" s="16" t="s">
        <v>33</v>
      </c>
      <c r="L2" s="17" t="s">
        <v>34</v>
      </c>
      <c r="M2" s="18" t="s">
        <v>35</v>
      </c>
      <c r="N2" s="16" t="s">
        <v>33</v>
      </c>
      <c r="O2" s="17" t="s">
        <v>34</v>
      </c>
      <c r="P2" s="18" t="s">
        <v>35</v>
      </c>
      <c r="Q2" s="16" t="s">
        <v>33</v>
      </c>
      <c r="R2" s="17" t="s">
        <v>34</v>
      </c>
      <c r="S2" s="18" t="s">
        <v>35</v>
      </c>
      <c r="T2" s="16" t="s">
        <v>33</v>
      </c>
      <c r="U2" s="17" t="s">
        <v>34</v>
      </c>
      <c r="V2" s="18" t="s">
        <v>35</v>
      </c>
      <c r="W2" s="16" t="s">
        <v>33</v>
      </c>
      <c r="X2" s="17" t="s">
        <v>34</v>
      </c>
      <c r="Y2" s="18" t="s">
        <v>35</v>
      </c>
      <c r="Z2" s="16" t="s">
        <v>33</v>
      </c>
      <c r="AA2" s="17" t="s">
        <v>34</v>
      </c>
      <c r="AB2" s="18" t="s">
        <v>35</v>
      </c>
      <c r="AC2" s="16" t="s">
        <v>33</v>
      </c>
      <c r="AD2" s="17" t="s">
        <v>34</v>
      </c>
      <c r="AE2" s="18" t="s">
        <v>35</v>
      </c>
      <c r="AF2" s="16" t="s">
        <v>33</v>
      </c>
      <c r="AG2" s="17" t="s">
        <v>34</v>
      </c>
      <c r="AH2" s="18" t="s">
        <v>35</v>
      </c>
      <c r="AI2" s="16" t="s">
        <v>33</v>
      </c>
      <c r="AJ2" s="17" t="s">
        <v>34</v>
      </c>
      <c r="AK2" s="18" t="s">
        <v>35</v>
      </c>
      <c r="AL2" s="16" t="s">
        <v>33</v>
      </c>
      <c r="AM2" s="17" t="s">
        <v>34</v>
      </c>
      <c r="AN2" s="18" t="s">
        <v>35</v>
      </c>
      <c r="AO2" s="16" t="s">
        <v>33</v>
      </c>
      <c r="AP2" s="17" t="s">
        <v>34</v>
      </c>
      <c r="AQ2" s="18" t="s">
        <v>35</v>
      </c>
      <c r="AR2" s="16" t="s">
        <v>33</v>
      </c>
      <c r="AS2" s="17" t="s">
        <v>34</v>
      </c>
      <c r="AT2" s="18" t="s">
        <v>35</v>
      </c>
      <c r="AU2" s="16" t="s">
        <v>33</v>
      </c>
      <c r="AV2" s="17" t="s">
        <v>34</v>
      </c>
      <c r="AW2" s="18" t="s">
        <v>35</v>
      </c>
      <c r="AX2" s="16" t="s">
        <v>33</v>
      </c>
      <c r="AY2" s="17" t="s">
        <v>34</v>
      </c>
      <c r="AZ2" s="18" t="s">
        <v>35</v>
      </c>
      <c r="BA2" s="16" t="s">
        <v>33</v>
      </c>
      <c r="BB2" s="17" t="s">
        <v>34</v>
      </c>
      <c r="BC2" s="18" t="s">
        <v>35</v>
      </c>
      <c r="BD2" s="16" t="s">
        <v>33</v>
      </c>
      <c r="BE2" s="17" t="s">
        <v>34</v>
      </c>
      <c r="BF2" s="18" t="s">
        <v>35</v>
      </c>
      <c r="BG2" s="16" t="s">
        <v>33</v>
      </c>
      <c r="BH2" s="17" t="s">
        <v>34</v>
      </c>
      <c r="BI2" s="18" t="s">
        <v>35</v>
      </c>
      <c r="BJ2" s="16" t="s">
        <v>33</v>
      </c>
      <c r="BK2" s="17" t="s">
        <v>34</v>
      </c>
      <c r="BL2" s="18" t="s">
        <v>35</v>
      </c>
      <c r="BM2" s="16" t="s">
        <v>33</v>
      </c>
      <c r="BN2" s="17" t="s">
        <v>34</v>
      </c>
      <c r="BO2" s="18" t="s">
        <v>35</v>
      </c>
      <c r="BP2" s="16" t="s">
        <v>33</v>
      </c>
      <c r="BQ2" s="17" t="s">
        <v>34</v>
      </c>
      <c r="BR2" s="18" t="s">
        <v>35</v>
      </c>
      <c r="BS2" s="16" t="s">
        <v>33</v>
      </c>
      <c r="BT2" s="17" t="s">
        <v>34</v>
      </c>
      <c r="BU2" s="18" t="s">
        <v>35</v>
      </c>
      <c r="BV2" s="16" t="s">
        <v>33</v>
      </c>
      <c r="BW2" s="17" t="s">
        <v>34</v>
      </c>
      <c r="BX2" s="18" t="s">
        <v>35</v>
      </c>
      <c r="BY2" s="16" t="s">
        <v>33</v>
      </c>
      <c r="BZ2" s="17" t="s">
        <v>34</v>
      </c>
      <c r="CA2" s="18" t="s">
        <v>35</v>
      </c>
      <c r="CB2" s="16" t="s">
        <v>33</v>
      </c>
      <c r="CC2" s="17" t="s">
        <v>34</v>
      </c>
      <c r="CD2" s="18" t="s">
        <v>35</v>
      </c>
      <c r="CE2" s="16" t="s">
        <v>33</v>
      </c>
      <c r="CF2" s="17" t="s">
        <v>34</v>
      </c>
      <c r="CG2" s="18" t="s">
        <v>35</v>
      </c>
      <c r="CH2" s="16" t="s">
        <v>33</v>
      </c>
      <c r="CI2" s="17" t="s">
        <v>34</v>
      </c>
      <c r="CJ2" s="18" t="s">
        <v>35</v>
      </c>
      <c r="CK2" s="16" t="s">
        <v>33</v>
      </c>
      <c r="CL2" s="17" t="s">
        <v>34</v>
      </c>
      <c r="CM2" s="18" t="s">
        <v>35</v>
      </c>
      <c r="CN2" s="16" t="s">
        <v>33</v>
      </c>
      <c r="CO2" s="17" t="s">
        <v>34</v>
      </c>
      <c r="CP2" s="18" t="s">
        <v>35</v>
      </c>
      <c r="CQ2" s="16" t="s">
        <v>33</v>
      </c>
      <c r="CR2" s="17" t="s">
        <v>34</v>
      </c>
      <c r="CS2" s="18" t="s">
        <v>35</v>
      </c>
      <c r="CT2" s="1"/>
      <c r="CU2" s="1"/>
      <c r="CV2" s="1"/>
      <c r="CW2" s="1"/>
      <c r="CX2" s="1"/>
      <c r="CY2" s="1"/>
      <c r="CZ2" s="1"/>
      <c r="DA2" s="1"/>
      <c r="DB2" s="1"/>
      <c r="DC2" s="1"/>
      <c r="DD2" s="1"/>
      <c r="DE2" s="1"/>
      <c r="DF2" s="1"/>
    </row>
    <row r="3">
      <c r="A3" s="14"/>
      <c r="B3" s="19"/>
      <c r="C3" s="14"/>
      <c r="D3" s="14"/>
      <c r="E3" s="20" t="s">
        <v>14</v>
      </c>
      <c r="F3" s="21">
        <f t="shared" ref="F3:F7" si="1">COUNTIF(G$10:G1007,E3)</f>
        <v>0</v>
      </c>
      <c r="G3" s="22">
        <f t="shared" ref="G3:G7" si="2">F3/SUM(F$3:F$7)</f>
        <v>0</v>
      </c>
      <c r="H3" s="20" t="s">
        <v>14</v>
      </c>
      <c r="I3" s="21">
        <f t="shared" ref="I3:I7" si="3">COUNTIF(J$10:J1007,H3)</f>
        <v>0</v>
      </c>
      <c r="J3" s="22">
        <f t="shared" ref="J3:J7" si="4">I3/SUM(I$3:I$7)</f>
        <v>0</v>
      </c>
      <c r="K3" s="20" t="s">
        <v>14</v>
      </c>
      <c r="L3" s="21">
        <f t="shared" ref="L3:L7" si="5">COUNTIF(M$10:M1007,K3)</f>
        <v>0</v>
      </c>
      <c r="M3" s="22">
        <f t="shared" ref="M3:M7" si="6">L3/SUM(L$3:L$7)</f>
        <v>0</v>
      </c>
      <c r="N3" s="20" t="s">
        <v>14</v>
      </c>
      <c r="O3" s="21">
        <f t="shared" ref="O3:O7" si="7">COUNTIF(P$10:P1007,N3)</f>
        <v>0</v>
      </c>
      <c r="P3" s="22">
        <f t="shared" ref="P3:P7" si="8">O3/SUM(O$3:O$7)</f>
        <v>0</v>
      </c>
      <c r="Q3" s="20" t="s">
        <v>14</v>
      </c>
      <c r="R3" s="21">
        <f t="shared" ref="R3:R7" si="9">COUNTIF(S$10:S1007,Q3)</f>
        <v>0</v>
      </c>
      <c r="S3" s="22">
        <f t="shared" ref="S3:S7" si="10">R3/SUM(R$3:R$7)</f>
        <v>0</v>
      </c>
      <c r="T3" s="20" t="s">
        <v>14</v>
      </c>
      <c r="U3" s="21">
        <f t="shared" ref="U3:U7" si="11">COUNTIF(V$10:V1007,T3)</f>
        <v>0</v>
      </c>
      <c r="V3" s="22">
        <f t="shared" ref="V3:V7" si="12">U3/SUM(U$3:U$7)</f>
        <v>0</v>
      </c>
      <c r="W3" s="20" t="s">
        <v>14</v>
      </c>
      <c r="X3" s="21">
        <f t="shared" ref="X3:X7" si="13">COUNTIF(Y$10:Y1007,W3)</f>
        <v>1</v>
      </c>
      <c r="Y3" s="22">
        <f t="shared" ref="Y3:Y7" si="14">X3/SUM(X$3:X$7)</f>
        <v>0.07692307692</v>
      </c>
      <c r="Z3" s="20" t="s">
        <v>14</v>
      </c>
      <c r="AA3" s="21">
        <f t="shared" ref="AA3:AA7" si="15">COUNTIF(AB$10:AB1007,Z3)</f>
        <v>0</v>
      </c>
      <c r="AB3" s="22">
        <f t="shared" ref="AB3:AB7" si="16">AA3/SUM(AA$3:AA$7)</f>
        <v>0</v>
      </c>
      <c r="AC3" s="20" t="s">
        <v>14</v>
      </c>
      <c r="AD3" s="21">
        <f t="shared" ref="AD3:AD7" si="17">COUNTIF(AE$10:AE1007,AC3)</f>
        <v>0</v>
      </c>
      <c r="AE3" s="22">
        <f t="shared" ref="AE3:AE7" si="18">AD3/SUM(AD$3:AD$7)</f>
        <v>0</v>
      </c>
      <c r="AF3" s="20" t="s">
        <v>14</v>
      </c>
      <c r="AG3" s="21">
        <f t="shared" ref="AG3:AG7" si="19">COUNTIF(AH$10:AH1007,AF3)</f>
        <v>0</v>
      </c>
      <c r="AH3" s="22">
        <f t="shared" ref="AH3:AH7" si="20">AG3/SUM(AG$3:AG$7)</f>
        <v>0</v>
      </c>
      <c r="AI3" s="20" t="s">
        <v>14</v>
      </c>
      <c r="AJ3" s="21">
        <f t="shared" ref="AJ3:AJ7" si="21">COUNTIF(AK$10:AK1007,AI3)</f>
        <v>0</v>
      </c>
      <c r="AK3" s="22">
        <f t="shared" ref="AK3:AK7" si="22">AJ3/SUM(AJ$3:AJ$7)</f>
        <v>0</v>
      </c>
      <c r="AL3" s="20" t="s">
        <v>14</v>
      </c>
      <c r="AM3" s="21">
        <f t="shared" ref="AM3:AM7" si="23">COUNTIF(AN$10:AN1007,AL3)</f>
        <v>0</v>
      </c>
      <c r="AN3" s="22" t="str">
        <f t="shared" ref="AN3:AN7" si="24">AM3/SUM(AM$3:AM$7)</f>
        <v>#DIV/0!</v>
      </c>
      <c r="AO3" s="20" t="s">
        <v>14</v>
      </c>
      <c r="AP3" s="21">
        <f t="shared" ref="AP3:AP7" si="25">COUNTIF(AQ$10:AQ1007,AO3)</f>
        <v>0</v>
      </c>
      <c r="AQ3" s="22" t="str">
        <f t="shared" ref="AQ3:AQ7" si="26">AP3/SUM(AP$3:AP$7)</f>
        <v>#DIV/0!</v>
      </c>
      <c r="AR3" s="20" t="s">
        <v>14</v>
      </c>
      <c r="AS3" s="21">
        <f t="shared" ref="AS3:AS7" si="27">COUNTIF(AT$10:AT1007,AR3)</f>
        <v>0</v>
      </c>
      <c r="AT3" s="22" t="str">
        <f t="shared" ref="AT3:AT7" si="28">AS3/SUM(AS$3:AS$7)</f>
        <v>#DIV/0!</v>
      </c>
      <c r="AU3" s="20" t="s">
        <v>14</v>
      </c>
      <c r="AV3" s="21">
        <f t="shared" ref="AV3:AV7" si="29">COUNTIF(AW$10:AW1007,AU3)</f>
        <v>0</v>
      </c>
      <c r="AW3" s="22" t="str">
        <f t="shared" ref="AW3:AW7" si="30">AV3/SUM(AV$3:AV$7)</f>
        <v>#DIV/0!</v>
      </c>
      <c r="AX3" s="20" t="s">
        <v>14</v>
      </c>
      <c r="AY3" s="21">
        <f t="shared" ref="AY3:AY7" si="31">COUNTIF(AZ$10:AZ1007,AX3)</f>
        <v>0</v>
      </c>
      <c r="AZ3" s="22" t="str">
        <f t="shared" ref="AZ3:AZ7" si="32">AY3/SUM(AY$3:AY$7)</f>
        <v>#DIV/0!</v>
      </c>
      <c r="BA3" s="20" t="s">
        <v>14</v>
      </c>
      <c r="BB3" s="21">
        <f t="shared" ref="BB3:BB7" si="33">COUNTIF(BC$10:BC1007,BA3)</f>
        <v>0</v>
      </c>
      <c r="BC3" s="22" t="str">
        <f t="shared" ref="BC3:BC7" si="34">BB3/SUM(BB$3:BB$7)</f>
        <v>#DIV/0!</v>
      </c>
      <c r="BD3" s="20" t="s">
        <v>14</v>
      </c>
      <c r="BE3" s="21">
        <f t="shared" ref="BE3:BE7" si="35">COUNTIF(BF$10:BF1007,BD3)</f>
        <v>0</v>
      </c>
      <c r="BF3" s="22" t="str">
        <f t="shared" ref="BF3:BF7" si="36">BE3/SUM(BE$3:BE$7)</f>
        <v>#DIV/0!</v>
      </c>
      <c r="BG3" s="20" t="s">
        <v>14</v>
      </c>
      <c r="BH3" s="21">
        <f t="shared" ref="BH3:BH7" si="37">COUNTIF(BI$10:BI1007,BG3)</f>
        <v>0</v>
      </c>
      <c r="BI3" s="22" t="str">
        <f t="shared" ref="BI3:BI7" si="38">BH3/SUM(BH$3:BH$7)</f>
        <v>#DIV/0!</v>
      </c>
      <c r="BJ3" s="20" t="s">
        <v>14</v>
      </c>
      <c r="BK3" s="21">
        <f t="shared" ref="BK3:BK7" si="39">COUNTIF(BL$10:BL1007,BJ3)</f>
        <v>0</v>
      </c>
      <c r="BL3" s="22" t="str">
        <f t="shared" ref="BL3:BL7" si="40">BK3/SUM(BK$3:BK$7)</f>
        <v>#DIV/0!</v>
      </c>
      <c r="BM3" s="20" t="s">
        <v>14</v>
      </c>
      <c r="BN3" s="21">
        <f t="shared" ref="BN3:BN7" si="41">COUNTIF(BO$10:BO1007,BM3)</f>
        <v>0</v>
      </c>
      <c r="BO3" s="22" t="str">
        <f t="shared" ref="BO3:BO7" si="42">BN3/SUM(BN$3:BN$7)</f>
        <v>#DIV/0!</v>
      </c>
      <c r="BP3" s="20" t="s">
        <v>14</v>
      </c>
      <c r="BQ3" s="21">
        <f t="shared" ref="BQ3:BQ7" si="43">COUNTIF(BR$10:BR1007,BP3)</f>
        <v>0</v>
      </c>
      <c r="BR3" s="22" t="str">
        <f t="shared" ref="BR3:BR7" si="44">BQ3/SUM(BQ$3:BQ$7)</f>
        <v>#DIV/0!</v>
      </c>
      <c r="BS3" s="20" t="s">
        <v>14</v>
      </c>
      <c r="BT3" s="21">
        <f t="shared" ref="BT3:BT7" si="45">COUNTIF(BU$10:BU1007,BS3)</f>
        <v>0</v>
      </c>
      <c r="BU3" s="22" t="str">
        <f t="shared" ref="BU3:BU7" si="46">BT3/SUM(BT$3:BT$7)</f>
        <v>#DIV/0!</v>
      </c>
      <c r="BV3" s="20" t="s">
        <v>14</v>
      </c>
      <c r="BW3" s="21">
        <f t="shared" ref="BW3:BW7" si="47">COUNTIF(BX$10:BX1007,BV3)</f>
        <v>0</v>
      </c>
      <c r="BX3" s="22" t="str">
        <f t="shared" ref="BX3:BX7" si="48">BW3/SUM(BW$3:BW$7)</f>
        <v>#DIV/0!</v>
      </c>
      <c r="BY3" s="20" t="s">
        <v>14</v>
      </c>
      <c r="BZ3" s="21">
        <f t="shared" ref="BZ3:BZ7" si="49">COUNTIF(CA$10:CA1007,BY3)</f>
        <v>0</v>
      </c>
      <c r="CA3" s="22" t="str">
        <f t="shared" ref="CA3:CA7" si="50">BZ3/SUM(BZ$3:BZ$7)</f>
        <v>#DIV/0!</v>
      </c>
      <c r="CB3" s="20" t="s">
        <v>14</v>
      </c>
      <c r="CC3" s="21">
        <f t="shared" ref="CC3:CC7" si="51">COUNTIF(CD$10:CD1007,CB3)</f>
        <v>0</v>
      </c>
      <c r="CD3" s="22" t="str">
        <f t="shared" ref="CD3:CD7" si="52">CC3/SUM(CC$3:CC$7)</f>
        <v>#DIV/0!</v>
      </c>
      <c r="CE3" s="20" t="s">
        <v>14</v>
      </c>
      <c r="CF3" s="21">
        <f t="shared" ref="CF3:CF7" si="53">COUNTIF(CG$10:CG1007,CE3)</f>
        <v>0</v>
      </c>
      <c r="CG3" s="22" t="str">
        <f t="shared" ref="CG3:CG7" si="54">CF3/SUM(CF$3:CF$7)</f>
        <v>#DIV/0!</v>
      </c>
      <c r="CH3" s="20" t="s">
        <v>14</v>
      </c>
      <c r="CI3" s="21">
        <f t="shared" ref="CI3:CI7" si="55">COUNTIF(CJ$10:CJ1007,CH3)</f>
        <v>0</v>
      </c>
      <c r="CJ3" s="22" t="str">
        <f t="shared" ref="CJ3:CJ7" si="56">CI3/SUM(CI$3:CI$7)</f>
        <v>#DIV/0!</v>
      </c>
      <c r="CK3" s="20" t="s">
        <v>14</v>
      </c>
      <c r="CL3" s="21">
        <f t="shared" ref="CL3:CL7" si="57">COUNTIF(CM$10:CM1007,CK3)</f>
        <v>0</v>
      </c>
      <c r="CM3" s="22" t="str">
        <f t="shared" ref="CM3:CM7" si="58">CL3/SUM(CL$3:CL$7)</f>
        <v>#DIV/0!</v>
      </c>
      <c r="CN3" s="20" t="s">
        <v>14</v>
      </c>
      <c r="CO3" s="21">
        <f t="shared" ref="CO3:CO7" si="59">COUNTIF(CP$10:CP1007,CN3)</f>
        <v>0</v>
      </c>
      <c r="CP3" s="22" t="str">
        <f t="shared" ref="CP3:CP7" si="60">CO3/SUM(CO$3:CO$7)</f>
        <v>#DIV/0!</v>
      </c>
      <c r="CQ3" s="20" t="s">
        <v>14</v>
      </c>
      <c r="CR3" s="21">
        <f t="shared" ref="CR3:CR7" si="61">COUNTIF(CS$10:CS1007,CQ3)</f>
        <v>0</v>
      </c>
      <c r="CS3" s="22" t="str">
        <f t="shared" ref="CS3:CS7" si="62">CR3/SUM(CR$3:CR$7)</f>
        <v>#DIV/0!</v>
      </c>
      <c r="CT3" s="6"/>
      <c r="CU3" s="6"/>
      <c r="CV3" s="6"/>
      <c r="CW3" s="6"/>
      <c r="CX3" s="6"/>
      <c r="CY3" s="6"/>
      <c r="CZ3" s="6"/>
      <c r="DA3" s="6"/>
      <c r="DB3" s="6"/>
      <c r="DC3" s="6"/>
      <c r="DD3" s="6"/>
      <c r="DE3" s="6"/>
      <c r="DF3" s="6"/>
    </row>
    <row r="4">
      <c r="A4" s="14"/>
      <c r="B4" s="19"/>
      <c r="C4" s="14"/>
      <c r="D4" s="14"/>
      <c r="E4" s="20" t="s">
        <v>15</v>
      </c>
      <c r="F4" s="21">
        <f t="shared" si="1"/>
        <v>0</v>
      </c>
      <c r="G4" s="22">
        <f t="shared" si="2"/>
        <v>0</v>
      </c>
      <c r="H4" s="20" t="s">
        <v>15</v>
      </c>
      <c r="I4" s="21">
        <f t="shared" si="3"/>
        <v>0</v>
      </c>
      <c r="J4" s="22">
        <f t="shared" si="4"/>
        <v>0</v>
      </c>
      <c r="K4" s="20" t="s">
        <v>15</v>
      </c>
      <c r="L4" s="21">
        <f t="shared" si="5"/>
        <v>0</v>
      </c>
      <c r="M4" s="22">
        <f t="shared" si="6"/>
        <v>0</v>
      </c>
      <c r="N4" s="20" t="s">
        <v>15</v>
      </c>
      <c r="O4" s="21">
        <f t="shared" si="7"/>
        <v>0</v>
      </c>
      <c r="P4" s="22">
        <f t="shared" si="8"/>
        <v>0</v>
      </c>
      <c r="Q4" s="20" t="s">
        <v>15</v>
      </c>
      <c r="R4" s="21">
        <f t="shared" si="9"/>
        <v>1</v>
      </c>
      <c r="S4" s="22">
        <f t="shared" si="10"/>
        <v>0.1428571429</v>
      </c>
      <c r="T4" s="20" t="s">
        <v>15</v>
      </c>
      <c r="U4" s="21">
        <f t="shared" si="11"/>
        <v>4</v>
      </c>
      <c r="V4" s="22">
        <f t="shared" si="12"/>
        <v>0.3636363636</v>
      </c>
      <c r="W4" s="20" t="s">
        <v>15</v>
      </c>
      <c r="X4" s="21">
        <f t="shared" si="13"/>
        <v>0</v>
      </c>
      <c r="Y4" s="22">
        <f t="shared" si="14"/>
        <v>0</v>
      </c>
      <c r="Z4" s="20" t="s">
        <v>15</v>
      </c>
      <c r="AA4" s="21">
        <f t="shared" si="15"/>
        <v>1</v>
      </c>
      <c r="AB4" s="22">
        <f t="shared" si="16"/>
        <v>0.3333333333</v>
      </c>
      <c r="AC4" s="20" t="s">
        <v>15</v>
      </c>
      <c r="AD4" s="21">
        <f t="shared" si="17"/>
        <v>0</v>
      </c>
      <c r="AE4" s="22">
        <f t="shared" si="18"/>
        <v>0</v>
      </c>
      <c r="AF4" s="20" t="s">
        <v>15</v>
      </c>
      <c r="AG4" s="21">
        <f t="shared" si="19"/>
        <v>0</v>
      </c>
      <c r="AH4" s="22">
        <f t="shared" si="20"/>
        <v>0</v>
      </c>
      <c r="AI4" s="20" t="s">
        <v>15</v>
      </c>
      <c r="AJ4" s="21">
        <f t="shared" si="21"/>
        <v>0</v>
      </c>
      <c r="AK4" s="22">
        <f t="shared" si="22"/>
        <v>0</v>
      </c>
      <c r="AL4" s="20" t="s">
        <v>15</v>
      </c>
      <c r="AM4" s="21">
        <f t="shared" si="23"/>
        <v>0</v>
      </c>
      <c r="AN4" s="22" t="str">
        <f t="shared" si="24"/>
        <v>#DIV/0!</v>
      </c>
      <c r="AO4" s="20" t="s">
        <v>15</v>
      </c>
      <c r="AP4" s="21">
        <f t="shared" si="25"/>
        <v>0</v>
      </c>
      <c r="AQ4" s="22" t="str">
        <f t="shared" si="26"/>
        <v>#DIV/0!</v>
      </c>
      <c r="AR4" s="20" t="s">
        <v>15</v>
      </c>
      <c r="AS4" s="21">
        <f t="shared" si="27"/>
        <v>0</v>
      </c>
      <c r="AT4" s="22" t="str">
        <f t="shared" si="28"/>
        <v>#DIV/0!</v>
      </c>
      <c r="AU4" s="20" t="s">
        <v>15</v>
      </c>
      <c r="AV4" s="21">
        <f t="shared" si="29"/>
        <v>0</v>
      </c>
      <c r="AW4" s="22" t="str">
        <f t="shared" si="30"/>
        <v>#DIV/0!</v>
      </c>
      <c r="AX4" s="20" t="s">
        <v>15</v>
      </c>
      <c r="AY4" s="21">
        <f t="shared" si="31"/>
        <v>0</v>
      </c>
      <c r="AZ4" s="22" t="str">
        <f t="shared" si="32"/>
        <v>#DIV/0!</v>
      </c>
      <c r="BA4" s="20" t="s">
        <v>15</v>
      </c>
      <c r="BB4" s="21">
        <f t="shared" si="33"/>
        <v>0</v>
      </c>
      <c r="BC4" s="22" t="str">
        <f t="shared" si="34"/>
        <v>#DIV/0!</v>
      </c>
      <c r="BD4" s="20" t="s">
        <v>15</v>
      </c>
      <c r="BE4" s="21">
        <f t="shared" si="35"/>
        <v>0</v>
      </c>
      <c r="BF4" s="22" t="str">
        <f t="shared" si="36"/>
        <v>#DIV/0!</v>
      </c>
      <c r="BG4" s="20" t="s">
        <v>15</v>
      </c>
      <c r="BH4" s="21">
        <f t="shared" si="37"/>
        <v>0</v>
      </c>
      <c r="BI4" s="22" t="str">
        <f t="shared" si="38"/>
        <v>#DIV/0!</v>
      </c>
      <c r="BJ4" s="20" t="s">
        <v>15</v>
      </c>
      <c r="BK4" s="21">
        <f t="shared" si="39"/>
        <v>0</v>
      </c>
      <c r="BL4" s="22" t="str">
        <f t="shared" si="40"/>
        <v>#DIV/0!</v>
      </c>
      <c r="BM4" s="20" t="s">
        <v>15</v>
      </c>
      <c r="BN4" s="21">
        <f t="shared" si="41"/>
        <v>0</v>
      </c>
      <c r="BO4" s="22" t="str">
        <f t="shared" si="42"/>
        <v>#DIV/0!</v>
      </c>
      <c r="BP4" s="20" t="s">
        <v>15</v>
      </c>
      <c r="BQ4" s="21">
        <f t="shared" si="43"/>
        <v>0</v>
      </c>
      <c r="BR4" s="22" t="str">
        <f t="shared" si="44"/>
        <v>#DIV/0!</v>
      </c>
      <c r="BS4" s="20" t="s">
        <v>15</v>
      </c>
      <c r="BT4" s="21">
        <f t="shared" si="45"/>
        <v>0</v>
      </c>
      <c r="BU4" s="22" t="str">
        <f t="shared" si="46"/>
        <v>#DIV/0!</v>
      </c>
      <c r="BV4" s="20" t="s">
        <v>15</v>
      </c>
      <c r="BW4" s="21">
        <f t="shared" si="47"/>
        <v>0</v>
      </c>
      <c r="BX4" s="22" t="str">
        <f t="shared" si="48"/>
        <v>#DIV/0!</v>
      </c>
      <c r="BY4" s="20" t="s">
        <v>15</v>
      </c>
      <c r="BZ4" s="21">
        <f t="shared" si="49"/>
        <v>0</v>
      </c>
      <c r="CA4" s="22" t="str">
        <f t="shared" si="50"/>
        <v>#DIV/0!</v>
      </c>
      <c r="CB4" s="20" t="s">
        <v>15</v>
      </c>
      <c r="CC4" s="21">
        <f t="shared" si="51"/>
        <v>0</v>
      </c>
      <c r="CD4" s="22" t="str">
        <f t="shared" si="52"/>
        <v>#DIV/0!</v>
      </c>
      <c r="CE4" s="20" t="s">
        <v>15</v>
      </c>
      <c r="CF4" s="21">
        <f t="shared" si="53"/>
        <v>0</v>
      </c>
      <c r="CG4" s="22" t="str">
        <f t="shared" si="54"/>
        <v>#DIV/0!</v>
      </c>
      <c r="CH4" s="20" t="s">
        <v>15</v>
      </c>
      <c r="CI4" s="21">
        <f t="shared" si="55"/>
        <v>0</v>
      </c>
      <c r="CJ4" s="22" t="str">
        <f t="shared" si="56"/>
        <v>#DIV/0!</v>
      </c>
      <c r="CK4" s="20" t="s">
        <v>15</v>
      </c>
      <c r="CL4" s="21">
        <f t="shared" si="57"/>
        <v>0</v>
      </c>
      <c r="CM4" s="22" t="str">
        <f t="shared" si="58"/>
        <v>#DIV/0!</v>
      </c>
      <c r="CN4" s="20" t="s">
        <v>15</v>
      </c>
      <c r="CO4" s="21">
        <f t="shared" si="59"/>
        <v>0</v>
      </c>
      <c r="CP4" s="22" t="str">
        <f t="shared" si="60"/>
        <v>#DIV/0!</v>
      </c>
      <c r="CQ4" s="20" t="s">
        <v>15</v>
      </c>
      <c r="CR4" s="21">
        <f t="shared" si="61"/>
        <v>0</v>
      </c>
      <c r="CS4" s="22" t="str">
        <f t="shared" si="62"/>
        <v>#DIV/0!</v>
      </c>
      <c r="CT4" s="6"/>
      <c r="CU4" s="6"/>
      <c r="CV4" s="6"/>
      <c r="CW4" s="6"/>
      <c r="CX4" s="6"/>
      <c r="CY4" s="6"/>
      <c r="CZ4" s="6"/>
      <c r="DA4" s="6"/>
      <c r="DB4" s="6"/>
      <c r="DC4" s="6"/>
      <c r="DD4" s="6"/>
      <c r="DE4" s="6"/>
      <c r="DF4" s="6"/>
    </row>
    <row r="5">
      <c r="A5" s="23"/>
      <c r="B5" s="19"/>
      <c r="C5" s="14"/>
      <c r="D5" s="14"/>
      <c r="E5" s="20" t="s">
        <v>16</v>
      </c>
      <c r="F5" s="21">
        <f t="shared" si="1"/>
        <v>1</v>
      </c>
      <c r="G5" s="22">
        <f t="shared" si="2"/>
        <v>0.2</v>
      </c>
      <c r="H5" s="20" t="s">
        <v>16</v>
      </c>
      <c r="I5" s="21">
        <f t="shared" si="3"/>
        <v>0</v>
      </c>
      <c r="J5" s="22">
        <f t="shared" si="4"/>
        <v>0</v>
      </c>
      <c r="K5" s="20" t="s">
        <v>16</v>
      </c>
      <c r="L5" s="21">
        <f t="shared" si="5"/>
        <v>0</v>
      </c>
      <c r="M5" s="22">
        <f t="shared" si="6"/>
        <v>0</v>
      </c>
      <c r="N5" s="20" t="s">
        <v>16</v>
      </c>
      <c r="O5" s="21">
        <f t="shared" si="7"/>
        <v>0</v>
      </c>
      <c r="P5" s="22">
        <f t="shared" si="8"/>
        <v>0</v>
      </c>
      <c r="Q5" s="20" t="s">
        <v>16</v>
      </c>
      <c r="R5" s="21">
        <f t="shared" si="9"/>
        <v>2</v>
      </c>
      <c r="S5" s="22">
        <f t="shared" si="10"/>
        <v>0.2857142857</v>
      </c>
      <c r="T5" s="20" t="s">
        <v>16</v>
      </c>
      <c r="U5" s="21">
        <f t="shared" si="11"/>
        <v>3</v>
      </c>
      <c r="V5" s="22">
        <f t="shared" si="12"/>
        <v>0.2727272727</v>
      </c>
      <c r="W5" s="20" t="s">
        <v>16</v>
      </c>
      <c r="X5" s="21">
        <f t="shared" si="13"/>
        <v>2</v>
      </c>
      <c r="Y5" s="22">
        <f t="shared" si="14"/>
        <v>0.1538461538</v>
      </c>
      <c r="Z5" s="20" t="s">
        <v>16</v>
      </c>
      <c r="AA5" s="21">
        <f t="shared" si="15"/>
        <v>0</v>
      </c>
      <c r="AB5" s="22">
        <f t="shared" si="16"/>
        <v>0</v>
      </c>
      <c r="AC5" s="20" t="s">
        <v>16</v>
      </c>
      <c r="AD5" s="21">
        <f t="shared" si="17"/>
        <v>0</v>
      </c>
      <c r="AE5" s="22">
        <f t="shared" si="18"/>
        <v>0</v>
      </c>
      <c r="AF5" s="20" t="s">
        <v>16</v>
      </c>
      <c r="AG5" s="21">
        <f t="shared" si="19"/>
        <v>0</v>
      </c>
      <c r="AH5" s="22">
        <f t="shared" si="20"/>
        <v>0</v>
      </c>
      <c r="AI5" s="20" t="s">
        <v>16</v>
      </c>
      <c r="AJ5" s="21">
        <f t="shared" si="21"/>
        <v>1</v>
      </c>
      <c r="AK5" s="22">
        <f t="shared" si="22"/>
        <v>1</v>
      </c>
      <c r="AL5" s="20" t="s">
        <v>16</v>
      </c>
      <c r="AM5" s="21">
        <f t="shared" si="23"/>
        <v>0</v>
      </c>
      <c r="AN5" s="22" t="str">
        <f t="shared" si="24"/>
        <v>#DIV/0!</v>
      </c>
      <c r="AO5" s="20" t="s">
        <v>16</v>
      </c>
      <c r="AP5" s="21">
        <f t="shared" si="25"/>
        <v>0</v>
      </c>
      <c r="AQ5" s="22" t="str">
        <f t="shared" si="26"/>
        <v>#DIV/0!</v>
      </c>
      <c r="AR5" s="20" t="s">
        <v>16</v>
      </c>
      <c r="AS5" s="21">
        <f t="shared" si="27"/>
        <v>0</v>
      </c>
      <c r="AT5" s="22" t="str">
        <f t="shared" si="28"/>
        <v>#DIV/0!</v>
      </c>
      <c r="AU5" s="20" t="s">
        <v>16</v>
      </c>
      <c r="AV5" s="21">
        <f t="shared" si="29"/>
        <v>0</v>
      </c>
      <c r="AW5" s="22" t="str">
        <f t="shared" si="30"/>
        <v>#DIV/0!</v>
      </c>
      <c r="AX5" s="20" t="s">
        <v>16</v>
      </c>
      <c r="AY5" s="21">
        <f t="shared" si="31"/>
        <v>0</v>
      </c>
      <c r="AZ5" s="22" t="str">
        <f t="shared" si="32"/>
        <v>#DIV/0!</v>
      </c>
      <c r="BA5" s="20" t="s">
        <v>16</v>
      </c>
      <c r="BB5" s="21">
        <f t="shared" si="33"/>
        <v>0</v>
      </c>
      <c r="BC5" s="22" t="str">
        <f t="shared" si="34"/>
        <v>#DIV/0!</v>
      </c>
      <c r="BD5" s="20" t="s">
        <v>16</v>
      </c>
      <c r="BE5" s="21">
        <f t="shared" si="35"/>
        <v>0</v>
      </c>
      <c r="BF5" s="22" t="str">
        <f t="shared" si="36"/>
        <v>#DIV/0!</v>
      </c>
      <c r="BG5" s="20" t="s">
        <v>16</v>
      </c>
      <c r="BH5" s="21">
        <f t="shared" si="37"/>
        <v>0</v>
      </c>
      <c r="BI5" s="22" t="str">
        <f t="shared" si="38"/>
        <v>#DIV/0!</v>
      </c>
      <c r="BJ5" s="20" t="s">
        <v>16</v>
      </c>
      <c r="BK5" s="21">
        <f t="shared" si="39"/>
        <v>0</v>
      </c>
      <c r="BL5" s="22" t="str">
        <f t="shared" si="40"/>
        <v>#DIV/0!</v>
      </c>
      <c r="BM5" s="20" t="s">
        <v>16</v>
      </c>
      <c r="BN5" s="21">
        <f t="shared" si="41"/>
        <v>0</v>
      </c>
      <c r="BO5" s="22" t="str">
        <f t="shared" si="42"/>
        <v>#DIV/0!</v>
      </c>
      <c r="BP5" s="20" t="s">
        <v>16</v>
      </c>
      <c r="BQ5" s="21">
        <f t="shared" si="43"/>
        <v>0</v>
      </c>
      <c r="BR5" s="22" t="str">
        <f t="shared" si="44"/>
        <v>#DIV/0!</v>
      </c>
      <c r="BS5" s="20" t="s">
        <v>16</v>
      </c>
      <c r="BT5" s="21">
        <f t="shared" si="45"/>
        <v>0</v>
      </c>
      <c r="BU5" s="22" t="str">
        <f t="shared" si="46"/>
        <v>#DIV/0!</v>
      </c>
      <c r="BV5" s="20" t="s">
        <v>16</v>
      </c>
      <c r="BW5" s="21">
        <f t="shared" si="47"/>
        <v>0</v>
      </c>
      <c r="BX5" s="22" t="str">
        <f t="shared" si="48"/>
        <v>#DIV/0!</v>
      </c>
      <c r="BY5" s="20" t="s">
        <v>16</v>
      </c>
      <c r="BZ5" s="21">
        <f t="shared" si="49"/>
        <v>0</v>
      </c>
      <c r="CA5" s="22" t="str">
        <f t="shared" si="50"/>
        <v>#DIV/0!</v>
      </c>
      <c r="CB5" s="20" t="s">
        <v>16</v>
      </c>
      <c r="CC5" s="21">
        <f t="shared" si="51"/>
        <v>0</v>
      </c>
      <c r="CD5" s="22" t="str">
        <f t="shared" si="52"/>
        <v>#DIV/0!</v>
      </c>
      <c r="CE5" s="20" t="s">
        <v>16</v>
      </c>
      <c r="CF5" s="21">
        <f t="shared" si="53"/>
        <v>0</v>
      </c>
      <c r="CG5" s="22" t="str">
        <f t="shared" si="54"/>
        <v>#DIV/0!</v>
      </c>
      <c r="CH5" s="20" t="s">
        <v>16</v>
      </c>
      <c r="CI5" s="21">
        <f t="shared" si="55"/>
        <v>0</v>
      </c>
      <c r="CJ5" s="22" t="str">
        <f t="shared" si="56"/>
        <v>#DIV/0!</v>
      </c>
      <c r="CK5" s="20" t="s">
        <v>16</v>
      </c>
      <c r="CL5" s="21">
        <f t="shared" si="57"/>
        <v>0</v>
      </c>
      <c r="CM5" s="22" t="str">
        <f t="shared" si="58"/>
        <v>#DIV/0!</v>
      </c>
      <c r="CN5" s="20" t="s">
        <v>16</v>
      </c>
      <c r="CO5" s="21">
        <f t="shared" si="59"/>
        <v>0</v>
      </c>
      <c r="CP5" s="22" t="str">
        <f t="shared" si="60"/>
        <v>#DIV/0!</v>
      </c>
      <c r="CQ5" s="20" t="s">
        <v>16</v>
      </c>
      <c r="CR5" s="21">
        <f t="shared" si="61"/>
        <v>0</v>
      </c>
      <c r="CS5" s="22" t="str">
        <f t="shared" si="62"/>
        <v>#DIV/0!</v>
      </c>
      <c r="CT5" s="6"/>
      <c r="CU5" s="6"/>
      <c r="CV5" s="6"/>
      <c r="CW5" s="6"/>
      <c r="CX5" s="6"/>
      <c r="CY5" s="6"/>
      <c r="CZ5" s="6"/>
      <c r="DA5" s="6"/>
      <c r="DB5" s="6"/>
      <c r="DC5" s="6"/>
      <c r="DD5" s="6"/>
      <c r="DE5" s="6"/>
      <c r="DF5" s="6"/>
    </row>
    <row r="6">
      <c r="A6" s="14"/>
      <c r="B6" s="19"/>
      <c r="C6" s="14"/>
      <c r="D6" s="14"/>
      <c r="E6" s="20" t="s">
        <v>17</v>
      </c>
      <c r="F6" s="21">
        <f t="shared" si="1"/>
        <v>3</v>
      </c>
      <c r="G6" s="22">
        <f t="shared" si="2"/>
        <v>0.6</v>
      </c>
      <c r="H6" s="20" t="s">
        <v>17</v>
      </c>
      <c r="I6" s="21">
        <f t="shared" si="3"/>
        <v>2</v>
      </c>
      <c r="J6" s="22">
        <f t="shared" si="4"/>
        <v>0.1818181818</v>
      </c>
      <c r="K6" s="20" t="s">
        <v>17</v>
      </c>
      <c r="L6" s="21">
        <f t="shared" si="5"/>
        <v>2</v>
      </c>
      <c r="M6" s="22">
        <f t="shared" si="6"/>
        <v>1</v>
      </c>
      <c r="N6" s="20" t="s">
        <v>17</v>
      </c>
      <c r="O6" s="21">
        <f t="shared" si="7"/>
        <v>3</v>
      </c>
      <c r="P6" s="22">
        <f t="shared" si="8"/>
        <v>1</v>
      </c>
      <c r="Q6" s="20" t="s">
        <v>17</v>
      </c>
      <c r="R6" s="21">
        <f t="shared" si="9"/>
        <v>2</v>
      </c>
      <c r="S6" s="22">
        <f t="shared" si="10"/>
        <v>0.2857142857</v>
      </c>
      <c r="T6" s="20" t="s">
        <v>17</v>
      </c>
      <c r="U6" s="21">
        <f t="shared" si="11"/>
        <v>1</v>
      </c>
      <c r="V6" s="22">
        <f t="shared" si="12"/>
        <v>0.09090909091</v>
      </c>
      <c r="W6" s="20" t="s">
        <v>17</v>
      </c>
      <c r="X6" s="21">
        <f t="shared" si="13"/>
        <v>7</v>
      </c>
      <c r="Y6" s="22">
        <f t="shared" si="14"/>
        <v>0.5384615385</v>
      </c>
      <c r="Z6" s="20" t="s">
        <v>17</v>
      </c>
      <c r="AA6" s="21">
        <f t="shared" si="15"/>
        <v>1</v>
      </c>
      <c r="AB6" s="22">
        <f t="shared" si="16"/>
        <v>0.3333333333</v>
      </c>
      <c r="AC6" s="20" t="s">
        <v>17</v>
      </c>
      <c r="AD6" s="21">
        <f t="shared" si="17"/>
        <v>4</v>
      </c>
      <c r="AE6" s="22">
        <f t="shared" si="18"/>
        <v>0.8</v>
      </c>
      <c r="AF6" s="20" t="s">
        <v>17</v>
      </c>
      <c r="AG6" s="21">
        <f t="shared" si="19"/>
        <v>3</v>
      </c>
      <c r="AH6" s="22">
        <f t="shared" si="20"/>
        <v>1</v>
      </c>
      <c r="AI6" s="20" t="s">
        <v>17</v>
      </c>
      <c r="AJ6" s="21">
        <f t="shared" si="21"/>
        <v>0</v>
      </c>
      <c r="AK6" s="22">
        <f t="shared" si="22"/>
        <v>0</v>
      </c>
      <c r="AL6" s="20" t="s">
        <v>17</v>
      </c>
      <c r="AM6" s="21">
        <f t="shared" si="23"/>
        <v>0</v>
      </c>
      <c r="AN6" s="22" t="str">
        <f t="shared" si="24"/>
        <v>#DIV/0!</v>
      </c>
      <c r="AO6" s="20" t="s">
        <v>17</v>
      </c>
      <c r="AP6" s="21">
        <f t="shared" si="25"/>
        <v>0</v>
      </c>
      <c r="AQ6" s="22" t="str">
        <f t="shared" si="26"/>
        <v>#DIV/0!</v>
      </c>
      <c r="AR6" s="20" t="s">
        <v>17</v>
      </c>
      <c r="AS6" s="21">
        <f t="shared" si="27"/>
        <v>0</v>
      </c>
      <c r="AT6" s="22" t="str">
        <f t="shared" si="28"/>
        <v>#DIV/0!</v>
      </c>
      <c r="AU6" s="20" t="s">
        <v>17</v>
      </c>
      <c r="AV6" s="21">
        <f t="shared" si="29"/>
        <v>0</v>
      </c>
      <c r="AW6" s="22" t="str">
        <f t="shared" si="30"/>
        <v>#DIV/0!</v>
      </c>
      <c r="AX6" s="20" t="s">
        <v>17</v>
      </c>
      <c r="AY6" s="21">
        <f t="shared" si="31"/>
        <v>0</v>
      </c>
      <c r="AZ6" s="22" t="str">
        <f t="shared" si="32"/>
        <v>#DIV/0!</v>
      </c>
      <c r="BA6" s="20" t="s">
        <v>17</v>
      </c>
      <c r="BB6" s="21">
        <f t="shared" si="33"/>
        <v>0</v>
      </c>
      <c r="BC6" s="22" t="str">
        <f t="shared" si="34"/>
        <v>#DIV/0!</v>
      </c>
      <c r="BD6" s="20" t="s">
        <v>17</v>
      </c>
      <c r="BE6" s="21">
        <f t="shared" si="35"/>
        <v>0</v>
      </c>
      <c r="BF6" s="22" t="str">
        <f t="shared" si="36"/>
        <v>#DIV/0!</v>
      </c>
      <c r="BG6" s="20" t="s">
        <v>17</v>
      </c>
      <c r="BH6" s="21">
        <f t="shared" si="37"/>
        <v>0</v>
      </c>
      <c r="BI6" s="22" t="str">
        <f t="shared" si="38"/>
        <v>#DIV/0!</v>
      </c>
      <c r="BJ6" s="20" t="s">
        <v>17</v>
      </c>
      <c r="BK6" s="21">
        <f t="shared" si="39"/>
        <v>0</v>
      </c>
      <c r="BL6" s="22" t="str">
        <f t="shared" si="40"/>
        <v>#DIV/0!</v>
      </c>
      <c r="BM6" s="20" t="s">
        <v>17</v>
      </c>
      <c r="BN6" s="21">
        <f t="shared" si="41"/>
        <v>0</v>
      </c>
      <c r="BO6" s="22" t="str">
        <f t="shared" si="42"/>
        <v>#DIV/0!</v>
      </c>
      <c r="BP6" s="20" t="s">
        <v>17</v>
      </c>
      <c r="BQ6" s="21">
        <f t="shared" si="43"/>
        <v>0</v>
      </c>
      <c r="BR6" s="22" t="str">
        <f t="shared" si="44"/>
        <v>#DIV/0!</v>
      </c>
      <c r="BS6" s="20" t="s">
        <v>17</v>
      </c>
      <c r="BT6" s="21">
        <f t="shared" si="45"/>
        <v>0</v>
      </c>
      <c r="BU6" s="22" t="str">
        <f t="shared" si="46"/>
        <v>#DIV/0!</v>
      </c>
      <c r="BV6" s="20" t="s">
        <v>17</v>
      </c>
      <c r="BW6" s="21">
        <f t="shared" si="47"/>
        <v>0</v>
      </c>
      <c r="BX6" s="22" t="str">
        <f t="shared" si="48"/>
        <v>#DIV/0!</v>
      </c>
      <c r="BY6" s="20" t="s">
        <v>17</v>
      </c>
      <c r="BZ6" s="21">
        <f t="shared" si="49"/>
        <v>0</v>
      </c>
      <c r="CA6" s="22" t="str">
        <f t="shared" si="50"/>
        <v>#DIV/0!</v>
      </c>
      <c r="CB6" s="20" t="s">
        <v>17</v>
      </c>
      <c r="CC6" s="21">
        <f t="shared" si="51"/>
        <v>0</v>
      </c>
      <c r="CD6" s="22" t="str">
        <f t="shared" si="52"/>
        <v>#DIV/0!</v>
      </c>
      <c r="CE6" s="20" t="s">
        <v>17</v>
      </c>
      <c r="CF6" s="21">
        <f t="shared" si="53"/>
        <v>0</v>
      </c>
      <c r="CG6" s="22" t="str">
        <f t="shared" si="54"/>
        <v>#DIV/0!</v>
      </c>
      <c r="CH6" s="20" t="s">
        <v>17</v>
      </c>
      <c r="CI6" s="21">
        <f t="shared" si="55"/>
        <v>0</v>
      </c>
      <c r="CJ6" s="22" t="str">
        <f t="shared" si="56"/>
        <v>#DIV/0!</v>
      </c>
      <c r="CK6" s="20" t="s">
        <v>17</v>
      </c>
      <c r="CL6" s="21">
        <f t="shared" si="57"/>
        <v>0</v>
      </c>
      <c r="CM6" s="22" t="str">
        <f t="shared" si="58"/>
        <v>#DIV/0!</v>
      </c>
      <c r="CN6" s="20" t="s">
        <v>17</v>
      </c>
      <c r="CO6" s="21">
        <f t="shared" si="59"/>
        <v>0</v>
      </c>
      <c r="CP6" s="22" t="str">
        <f t="shared" si="60"/>
        <v>#DIV/0!</v>
      </c>
      <c r="CQ6" s="20" t="s">
        <v>17</v>
      </c>
      <c r="CR6" s="21">
        <f t="shared" si="61"/>
        <v>0</v>
      </c>
      <c r="CS6" s="22" t="str">
        <f t="shared" si="62"/>
        <v>#DIV/0!</v>
      </c>
      <c r="CT6" s="6"/>
      <c r="CU6" s="6"/>
      <c r="CV6" s="6"/>
      <c r="CW6" s="6"/>
      <c r="CX6" s="6"/>
      <c r="CY6" s="6"/>
      <c r="CZ6" s="6"/>
      <c r="DA6" s="6"/>
      <c r="DB6" s="6"/>
      <c r="DC6" s="6"/>
      <c r="DD6" s="6"/>
      <c r="DE6" s="6"/>
      <c r="DF6" s="6"/>
    </row>
    <row r="7">
      <c r="A7" s="14"/>
      <c r="B7" s="19"/>
      <c r="C7" s="14"/>
      <c r="D7" s="14"/>
      <c r="E7" s="20" t="s">
        <v>18</v>
      </c>
      <c r="F7" s="21">
        <f t="shared" si="1"/>
        <v>1</v>
      </c>
      <c r="G7" s="22">
        <f t="shared" si="2"/>
        <v>0.2</v>
      </c>
      <c r="H7" s="20" t="s">
        <v>18</v>
      </c>
      <c r="I7" s="21">
        <f t="shared" si="3"/>
        <v>9</v>
      </c>
      <c r="J7" s="22">
        <f t="shared" si="4"/>
        <v>0.8181818182</v>
      </c>
      <c r="K7" s="20" t="s">
        <v>18</v>
      </c>
      <c r="L7" s="21">
        <f t="shared" si="5"/>
        <v>0</v>
      </c>
      <c r="M7" s="22">
        <f t="shared" si="6"/>
        <v>0</v>
      </c>
      <c r="N7" s="20" t="s">
        <v>18</v>
      </c>
      <c r="O7" s="21">
        <f t="shared" si="7"/>
        <v>0</v>
      </c>
      <c r="P7" s="22">
        <f t="shared" si="8"/>
        <v>0</v>
      </c>
      <c r="Q7" s="20" t="s">
        <v>18</v>
      </c>
      <c r="R7" s="21">
        <f t="shared" si="9"/>
        <v>2</v>
      </c>
      <c r="S7" s="22">
        <f t="shared" si="10"/>
        <v>0.2857142857</v>
      </c>
      <c r="T7" s="20" t="s">
        <v>18</v>
      </c>
      <c r="U7" s="21">
        <f t="shared" si="11"/>
        <v>3</v>
      </c>
      <c r="V7" s="22">
        <f t="shared" si="12"/>
        <v>0.2727272727</v>
      </c>
      <c r="W7" s="20" t="s">
        <v>18</v>
      </c>
      <c r="X7" s="21">
        <f t="shared" si="13"/>
        <v>3</v>
      </c>
      <c r="Y7" s="22">
        <f t="shared" si="14"/>
        <v>0.2307692308</v>
      </c>
      <c r="Z7" s="20" t="s">
        <v>18</v>
      </c>
      <c r="AA7" s="21">
        <f t="shared" si="15"/>
        <v>1</v>
      </c>
      <c r="AB7" s="22">
        <f t="shared" si="16"/>
        <v>0.3333333333</v>
      </c>
      <c r="AC7" s="20" t="s">
        <v>18</v>
      </c>
      <c r="AD7" s="21">
        <f t="shared" si="17"/>
        <v>1</v>
      </c>
      <c r="AE7" s="22">
        <f t="shared" si="18"/>
        <v>0.2</v>
      </c>
      <c r="AF7" s="20" t="s">
        <v>18</v>
      </c>
      <c r="AG7" s="21">
        <f t="shared" si="19"/>
        <v>0</v>
      </c>
      <c r="AH7" s="22">
        <f t="shared" si="20"/>
        <v>0</v>
      </c>
      <c r="AI7" s="20" t="s">
        <v>18</v>
      </c>
      <c r="AJ7" s="21">
        <f t="shared" si="21"/>
        <v>0</v>
      </c>
      <c r="AK7" s="22">
        <f t="shared" si="22"/>
        <v>0</v>
      </c>
      <c r="AL7" s="20" t="s">
        <v>18</v>
      </c>
      <c r="AM7" s="21">
        <f t="shared" si="23"/>
        <v>0</v>
      </c>
      <c r="AN7" s="22" t="str">
        <f t="shared" si="24"/>
        <v>#DIV/0!</v>
      </c>
      <c r="AO7" s="20" t="s">
        <v>18</v>
      </c>
      <c r="AP7" s="21">
        <f t="shared" si="25"/>
        <v>0</v>
      </c>
      <c r="AQ7" s="22" t="str">
        <f t="shared" si="26"/>
        <v>#DIV/0!</v>
      </c>
      <c r="AR7" s="20" t="s">
        <v>18</v>
      </c>
      <c r="AS7" s="21">
        <f t="shared" si="27"/>
        <v>0</v>
      </c>
      <c r="AT7" s="22" t="str">
        <f t="shared" si="28"/>
        <v>#DIV/0!</v>
      </c>
      <c r="AU7" s="20" t="s">
        <v>18</v>
      </c>
      <c r="AV7" s="21">
        <f t="shared" si="29"/>
        <v>0</v>
      </c>
      <c r="AW7" s="22" t="str">
        <f t="shared" si="30"/>
        <v>#DIV/0!</v>
      </c>
      <c r="AX7" s="20" t="s">
        <v>18</v>
      </c>
      <c r="AY7" s="21">
        <f t="shared" si="31"/>
        <v>0</v>
      </c>
      <c r="AZ7" s="22" t="str">
        <f t="shared" si="32"/>
        <v>#DIV/0!</v>
      </c>
      <c r="BA7" s="20" t="s">
        <v>18</v>
      </c>
      <c r="BB7" s="21">
        <f t="shared" si="33"/>
        <v>0</v>
      </c>
      <c r="BC7" s="22" t="str">
        <f t="shared" si="34"/>
        <v>#DIV/0!</v>
      </c>
      <c r="BD7" s="20" t="s">
        <v>18</v>
      </c>
      <c r="BE7" s="21">
        <f t="shared" si="35"/>
        <v>0</v>
      </c>
      <c r="BF7" s="22" t="str">
        <f t="shared" si="36"/>
        <v>#DIV/0!</v>
      </c>
      <c r="BG7" s="20" t="s">
        <v>18</v>
      </c>
      <c r="BH7" s="21">
        <f t="shared" si="37"/>
        <v>0</v>
      </c>
      <c r="BI7" s="22" t="str">
        <f t="shared" si="38"/>
        <v>#DIV/0!</v>
      </c>
      <c r="BJ7" s="20" t="s">
        <v>18</v>
      </c>
      <c r="BK7" s="21">
        <f t="shared" si="39"/>
        <v>0</v>
      </c>
      <c r="BL7" s="22" t="str">
        <f t="shared" si="40"/>
        <v>#DIV/0!</v>
      </c>
      <c r="BM7" s="20" t="s">
        <v>18</v>
      </c>
      <c r="BN7" s="21">
        <f t="shared" si="41"/>
        <v>0</v>
      </c>
      <c r="BO7" s="22" t="str">
        <f t="shared" si="42"/>
        <v>#DIV/0!</v>
      </c>
      <c r="BP7" s="20" t="s">
        <v>18</v>
      </c>
      <c r="BQ7" s="21">
        <f t="shared" si="43"/>
        <v>0</v>
      </c>
      <c r="BR7" s="22" t="str">
        <f t="shared" si="44"/>
        <v>#DIV/0!</v>
      </c>
      <c r="BS7" s="20" t="s">
        <v>18</v>
      </c>
      <c r="BT7" s="21">
        <f t="shared" si="45"/>
        <v>0</v>
      </c>
      <c r="BU7" s="22" t="str">
        <f t="shared" si="46"/>
        <v>#DIV/0!</v>
      </c>
      <c r="BV7" s="20" t="s">
        <v>18</v>
      </c>
      <c r="BW7" s="21">
        <f t="shared" si="47"/>
        <v>0</v>
      </c>
      <c r="BX7" s="22" t="str">
        <f t="shared" si="48"/>
        <v>#DIV/0!</v>
      </c>
      <c r="BY7" s="20" t="s">
        <v>18</v>
      </c>
      <c r="BZ7" s="21">
        <f t="shared" si="49"/>
        <v>0</v>
      </c>
      <c r="CA7" s="22" t="str">
        <f t="shared" si="50"/>
        <v>#DIV/0!</v>
      </c>
      <c r="CB7" s="20" t="s">
        <v>18</v>
      </c>
      <c r="CC7" s="21">
        <f t="shared" si="51"/>
        <v>0</v>
      </c>
      <c r="CD7" s="22" t="str">
        <f t="shared" si="52"/>
        <v>#DIV/0!</v>
      </c>
      <c r="CE7" s="20" t="s">
        <v>18</v>
      </c>
      <c r="CF7" s="21">
        <f t="shared" si="53"/>
        <v>0</v>
      </c>
      <c r="CG7" s="22" t="str">
        <f t="shared" si="54"/>
        <v>#DIV/0!</v>
      </c>
      <c r="CH7" s="20" t="s">
        <v>18</v>
      </c>
      <c r="CI7" s="21">
        <f t="shared" si="55"/>
        <v>0</v>
      </c>
      <c r="CJ7" s="22" t="str">
        <f t="shared" si="56"/>
        <v>#DIV/0!</v>
      </c>
      <c r="CK7" s="20" t="s">
        <v>18</v>
      </c>
      <c r="CL7" s="21">
        <f t="shared" si="57"/>
        <v>0</v>
      </c>
      <c r="CM7" s="22" t="str">
        <f t="shared" si="58"/>
        <v>#DIV/0!</v>
      </c>
      <c r="CN7" s="20" t="s">
        <v>18</v>
      </c>
      <c r="CO7" s="21">
        <f t="shared" si="59"/>
        <v>0</v>
      </c>
      <c r="CP7" s="22" t="str">
        <f t="shared" si="60"/>
        <v>#DIV/0!</v>
      </c>
      <c r="CQ7" s="20" t="s">
        <v>18</v>
      </c>
      <c r="CR7" s="21">
        <f t="shared" si="61"/>
        <v>0</v>
      </c>
      <c r="CS7" s="22" t="str">
        <f t="shared" si="62"/>
        <v>#DIV/0!</v>
      </c>
      <c r="CT7" s="6"/>
      <c r="CU7" s="6"/>
      <c r="CV7" s="6"/>
      <c r="CW7" s="6"/>
      <c r="CX7" s="6"/>
      <c r="CY7" s="6"/>
      <c r="CZ7" s="6"/>
      <c r="DA7" s="6"/>
      <c r="DB7" s="6"/>
      <c r="DC7" s="6"/>
      <c r="DD7" s="6"/>
      <c r="DE7" s="6"/>
      <c r="DF7" s="6"/>
    </row>
    <row r="8">
      <c r="A8" s="14"/>
      <c r="B8" s="19"/>
      <c r="C8" s="14"/>
      <c r="D8" s="14"/>
      <c r="E8" s="24" t="s">
        <v>13</v>
      </c>
      <c r="F8" s="5">
        <f>SUM(F3:F7)</f>
        <v>5</v>
      </c>
      <c r="G8" s="25">
        <f>SUM(G6:G7)</f>
        <v>0.8</v>
      </c>
      <c r="H8" s="24" t="s">
        <v>13</v>
      </c>
      <c r="I8" s="5">
        <f>SUM(I3:I7)</f>
        <v>11</v>
      </c>
      <c r="J8" s="25">
        <f>SUM(J6:J7)</f>
        <v>1</v>
      </c>
      <c r="K8" s="24" t="s">
        <v>13</v>
      </c>
      <c r="L8" s="5">
        <f>SUM(L3:L7)</f>
        <v>2</v>
      </c>
      <c r="M8" s="25">
        <f>SUM(M6:M7)</f>
        <v>1</v>
      </c>
      <c r="N8" s="24" t="s">
        <v>13</v>
      </c>
      <c r="O8" s="5">
        <f>SUM(O3:O7)</f>
        <v>3</v>
      </c>
      <c r="P8" s="25">
        <f>SUM(P6:P7)</f>
        <v>1</v>
      </c>
      <c r="Q8" s="24" t="s">
        <v>13</v>
      </c>
      <c r="R8" s="5">
        <f>SUM(R3:R7)</f>
        <v>7</v>
      </c>
      <c r="S8" s="25">
        <f>SUM(S6:S7)</f>
        <v>0.5714285714</v>
      </c>
      <c r="T8" s="24" t="s">
        <v>13</v>
      </c>
      <c r="U8" s="5">
        <f>SUM(U3:U7)</f>
        <v>11</v>
      </c>
      <c r="V8" s="25">
        <f>SUM(V6:V7)</f>
        <v>0.3636363636</v>
      </c>
      <c r="W8" s="24" t="s">
        <v>13</v>
      </c>
      <c r="X8" s="5">
        <f>SUM(X3:X7)</f>
        <v>13</v>
      </c>
      <c r="Y8" s="25">
        <f>SUM(Y6:Y7)</f>
        <v>0.7692307692</v>
      </c>
      <c r="Z8" s="24" t="s">
        <v>13</v>
      </c>
      <c r="AA8" s="5">
        <f>SUM(AA3:AA7)</f>
        <v>3</v>
      </c>
      <c r="AB8" s="25">
        <f>SUM(AB6:AB7)</f>
        <v>0.6666666667</v>
      </c>
      <c r="AC8" s="24" t="s">
        <v>13</v>
      </c>
      <c r="AD8" s="5">
        <f>SUM(AD3:AD7)</f>
        <v>5</v>
      </c>
      <c r="AE8" s="25">
        <f>SUM(AE6:AE7)</f>
        <v>1</v>
      </c>
      <c r="AF8" s="24" t="s">
        <v>13</v>
      </c>
      <c r="AG8" s="5">
        <f>SUM(AG3:AG7)</f>
        <v>3</v>
      </c>
      <c r="AH8" s="25">
        <f>SUM(AH6:AH7)</f>
        <v>1</v>
      </c>
      <c r="AI8" s="24" t="s">
        <v>13</v>
      </c>
      <c r="AJ8" s="5">
        <f>SUM(AJ3:AJ7)</f>
        <v>1</v>
      </c>
      <c r="AK8" s="25">
        <f>SUM(AK6:AK7)</f>
        <v>0</v>
      </c>
      <c r="AL8" s="24" t="s">
        <v>13</v>
      </c>
      <c r="AM8" s="5">
        <f>SUM(AM3:AM7)</f>
        <v>0</v>
      </c>
      <c r="AN8" s="25" t="str">
        <f>SUM(AN6:AN7)</f>
        <v>#DIV/0!</v>
      </c>
      <c r="AO8" s="24" t="s">
        <v>13</v>
      </c>
      <c r="AP8" s="5">
        <f>SUM(AP3:AP7)</f>
        <v>0</v>
      </c>
      <c r="AQ8" s="25" t="str">
        <f>SUM(AQ6:AQ7)</f>
        <v>#DIV/0!</v>
      </c>
      <c r="AR8" s="24" t="s">
        <v>13</v>
      </c>
      <c r="AS8" s="5">
        <f>SUM(AS3:AS7)</f>
        <v>0</v>
      </c>
      <c r="AT8" s="25" t="str">
        <f>SUM(AT6:AT7)</f>
        <v>#DIV/0!</v>
      </c>
      <c r="AU8" s="24" t="s">
        <v>13</v>
      </c>
      <c r="AV8" s="5">
        <f>SUM(AV3:AV7)</f>
        <v>0</v>
      </c>
      <c r="AW8" s="25" t="str">
        <f>SUM(AW6:AW7)</f>
        <v>#DIV/0!</v>
      </c>
      <c r="AX8" s="24" t="s">
        <v>13</v>
      </c>
      <c r="AY8" s="5">
        <f>SUM(AY3:AY7)</f>
        <v>0</v>
      </c>
      <c r="AZ8" s="25" t="str">
        <f>SUM(AZ6:AZ7)</f>
        <v>#DIV/0!</v>
      </c>
      <c r="BA8" s="24" t="s">
        <v>13</v>
      </c>
      <c r="BB8" s="5">
        <f>SUM(BB3:BB7)</f>
        <v>0</v>
      </c>
      <c r="BC8" s="25" t="str">
        <f>SUM(BC6:BC7)</f>
        <v>#DIV/0!</v>
      </c>
      <c r="BD8" s="24" t="s">
        <v>13</v>
      </c>
      <c r="BE8" s="5">
        <f>SUM(BE3:BE7)</f>
        <v>0</v>
      </c>
      <c r="BF8" s="25" t="str">
        <f>SUM(BF6:BF7)</f>
        <v>#DIV/0!</v>
      </c>
      <c r="BG8" s="24" t="s">
        <v>13</v>
      </c>
      <c r="BH8" s="5">
        <f>SUM(BH3:BH7)</f>
        <v>0</v>
      </c>
      <c r="BI8" s="25" t="str">
        <f>SUM(BI6:BI7)</f>
        <v>#DIV/0!</v>
      </c>
      <c r="BJ8" s="24" t="s">
        <v>13</v>
      </c>
      <c r="BK8" s="5">
        <f>SUM(BK3:BK7)</f>
        <v>0</v>
      </c>
      <c r="BL8" s="25" t="str">
        <f>SUM(BL6:BL7)</f>
        <v>#DIV/0!</v>
      </c>
      <c r="BM8" s="24" t="s">
        <v>13</v>
      </c>
      <c r="BN8" s="5">
        <f>SUM(BN3:BN7)</f>
        <v>0</v>
      </c>
      <c r="BO8" s="25" t="str">
        <f>SUM(BO6:BO7)</f>
        <v>#DIV/0!</v>
      </c>
      <c r="BP8" s="24" t="s">
        <v>13</v>
      </c>
      <c r="BQ8" s="5">
        <f>SUM(BQ3:BQ7)</f>
        <v>0</v>
      </c>
      <c r="BR8" s="25" t="str">
        <f>SUM(BR6:BR7)</f>
        <v>#DIV/0!</v>
      </c>
      <c r="BS8" s="24" t="s">
        <v>13</v>
      </c>
      <c r="BT8" s="5">
        <f>SUM(BT3:BT7)</f>
        <v>0</v>
      </c>
      <c r="BU8" s="25" t="str">
        <f>SUM(BU6:BU7)</f>
        <v>#DIV/0!</v>
      </c>
      <c r="BV8" s="24" t="s">
        <v>13</v>
      </c>
      <c r="BW8" s="5">
        <f>SUM(BW3:BW7)</f>
        <v>0</v>
      </c>
      <c r="BX8" s="25" t="str">
        <f>SUM(BX6:BX7)</f>
        <v>#DIV/0!</v>
      </c>
      <c r="BY8" s="24" t="s">
        <v>13</v>
      </c>
      <c r="BZ8" s="5">
        <f>SUM(BZ3:BZ7)</f>
        <v>0</v>
      </c>
      <c r="CA8" s="25" t="str">
        <f>SUM(CA6:CA7)</f>
        <v>#DIV/0!</v>
      </c>
      <c r="CB8" s="24" t="s">
        <v>13</v>
      </c>
      <c r="CC8" s="5">
        <f>SUM(CC3:CC7)</f>
        <v>0</v>
      </c>
      <c r="CD8" s="25" t="str">
        <f>SUM(CD6:CD7)</f>
        <v>#DIV/0!</v>
      </c>
      <c r="CE8" s="24" t="s">
        <v>13</v>
      </c>
      <c r="CF8" s="5">
        <f>SUM(CF3:CF7)</f>
        <v>0</v>
      </c>
      <c r="CG8" s="25" t="str">
        <f>SUM(CG6:CG7)</f>
        <v>#DIV/0!</v>
      </c>
      <c r="CH8" s="24" t="s">
        <v>13</v>
      </c>
      <c r="CI8" s="5">
        <f>SUM(CI3:CI7)</f>
        <v>0</v>
      </c>
      <c r="CJ8" s="25" t="str">
        <f>SUM(CJ6:CJ7)</f>
        <v>#DIV/0!</v>
      </c>
      <c r="CK8" s="24" t="s">
        <v>13</v>
      </c>
      <c r="CL8" s="5">
        <f>SUM(CL3:CL7)</f>
        <v>0</v>
      </c>
      <c r="CM8" s="25" t="str">
        <f>SUM(CM6:CM7)</f>
        <v>#DIV/0!</v>
      </c>
      <c r="CN8" s="24" t="s">
        <v>13</v>
      </c>
      <c r="CO8" s="5">
        <f>SUM(CO3:CO7)</f>
        <v>0</v>
      </c>
      <c r="CP8" s="25" t="str">
        <f>SUM(CP6:CP7)</f>
        <v>#DIV/0!</v>
      </c>
      <c r="CQ8" s="24" t="s">
        <v>13</v>
      </c>
      <c r="CR8" s="5">
        <f>SUM(CR3:CR7)</f>
        <v>0</v>
      </c>
      <c r="CS8" s="25" t="str">
        <f>SUM(CS6:CS7)</f>
        <v>#DIV/0!</v>
      </c>
      <c r="CT8" s="26"/>
      <c r="CU8" s="26"/>
      <c r="CV8" s="26"/>
      <c r="CW8" s="26"/>
      <c r="CX8" s="26"/>
      <c r="CY8" s="26"/>
      <c r="CZ8" s="26"/>
      <c r="DA8" s="26"/>
      <c r="DB8" s="26"/>
      <c r="DC8" s="26"/>
      <c r="DD8" s="26"/>
      <c r="DE8" s="26"/>
      <c r="DF8" s="26"/>
    </row>
    <row r="9">
      <c r="A9" s="14" t="s">
        <v>33</v>
      </c>
      <c r="B9" s="19"/>
      <c r="C9" s="14" t="s">
        <v>34</v>
      </c>
      <c r="D9" s="14" t="s">
        <v>35</v>
      </c>
      <c r="E9" s="27" t="str">
        <f>IF((COLUMN(E9) - 2)/3 = INT((COLUMN(E9) - 2)/3), INDIRECT("R1C"&amp;CEILING(4 + COLUMN(E9)/3,1), FALSE), "")</f>
        <v>['goal', 'score', 'conced', 'equalis', 'offsid', 'assist']</v>
      </c>
      <c r="F9" s="28"/>
      <c r="G9" s="29"/>
      <c r="H9" s="27" t="str">
        <f>IF((COLUMN(H9) - 2)/3 = INT((COLUMN(H9) - 2)/3), INDIRECT("R1C"&amp;CEILING(4 + COLUMN(H9)/3,1), FALSE), "")</f>
        <v>['touch', 'cross', 'ball', 'pass']</v>
      </c>
      <c r="I9" s="28"/>
      <c r="J9" s="29"/>
      <c r="K9" s="27" t="str">
        <f>IF((COLUMN(K9) - 2)/3 = INT((COLUMN(K9) - 2)/3), INDIRECT("R1C"&amp;CEILING(4 + COLUMN(K9)/3,1), FALSE), "")</f>
        <v>['foul', 'refere', 'book', 'decis', 'var', 'given', 'pen', 'dive', 'ref', 'penalti']</v>
      </c>
      <c r="L9" s="28"/>
      <c r="M9" s="29"/>
      <c r="N9" s="27" t="str">
        <f>IF((COLUMN(N9) - 2)/3 = INT((COLUMN(N9) - 2)/3), INDIRECT("R1C"&amp;CEILING(4 + COLUMN(N9)/3,1), FALSE), "")</f>
        <v>['tackl', 'dribbl', 'yellow', 'red', 'card']</v>
      </c>
      <c r="O9" s="28"/>
      <c r="P9" s="29"/>
      <c r="Q9" s="27" t="str">
        <f>IF((COLUMN(Q9) - 2)/3 = INT((COLUMN(Q9) - 2)/3), INDIRECT("R1C"&amp;CEILING(4 + COLUMN(Q9)/3,1), FALSE), "")</f>
        <v>['take', 'knee', 'player']</v>
      </c>
      <c r="R9" s="28"/>
      <c r="S9" s="29"/>
      <c r="T9" s="27" t="str">
        <f>IF((COLUMN(T9) - 2)/3 = INT((COLUMN(T9) - 2)/3), INDIRECT("R1C"&amp;CEILING(4 + COLUMN(T9)/3,1), FALSE), "")</f>
        <v>['champion', 'final', 'leagu', 'footbal', 'win']</v>
      </c>
      <c r="U9" s="28"/>
      <c r="V9" s="29"/>
      <c r="W9" s="27" t="str">
        <f>IF((COLUMN(W9) - 2)/3 = INT((COLUMN(W9) - 2)/3), INDIRECT("R1C"&amp;CEILING(4 + COLUMN(W9)/3,1), FALSE), "")</f>
        <v>['need', 'half', 'sub', 'second', 'lead', '2nd']</v>
      </c>
      <c r="X9" s="28"/>
      <c r="Y9" s="29"/>
      <c r="Z9" s="27" t="str">
        <f>IF((COLUMN(Z9) - 2)/3 = INT((COLUMN(Z9) - 2)/3), INDIRECT("R1C"&amp;CEILING(4 + COLUMN(Z9)/3,1), FALSE), "")</f>
        <v>['keeper', 'best', 'goalkeep', 'defend', 'EXCLUDED-kepa', 'save']</v>
      </c>
      <c r="AA9" s="28"/>
      <c r="AB9" s="29"/>
      <c r="AC9" s="27" t="str">
        <f>IF((COLUMN(AC9) - 2)/3 = INT((COLUMN(AC9) - 2)/3), INDIRECT("R1C"&amp;CEILING(4 + COLUMN(AC9)/3,1), FALSE), "")</f>
        <v>['gol', 'stream', 'onlin', 'free', 'reddit', 'link', 'EXCLUDED-manchest', 'ff', 'live']</v>
      </c>
      <c r="AD9" s="28"/>
      <c r="AE9" s="29"/>
      <c r="AF9" s="27" t="str">
        <f>IF((COLUMN(AF9) - 2)/3 = INT((COLUMN(AF9) - 2)/3), INDIRECT("R1C"&amp;CEILING(4 + COLUMN(AF9)/3,1), FALSE), "")</f>
        <v>['deflect', 'kick', 'corner', 'shot', 'net']</v>
      </c>
      <c r="AG9" s="28"/>
      <c r="AH9" s="29"/>
      <c r="AI9" s="27" t="str">
        <f>IF((COLUMN(AI9) - 2)/3 = INT((COLUMN(AI9) - 2)/3), INDIRECT("R1C"&amp;CEILING(4 + COLUMN(AI9)/3,1), FALSE), "")</f>
        <v>['world', 'class', 'striker']</v>
      </c>
      <c r="AJ9" s="28"/>
      <c r="AK9" s="29"/>
      <c r="AL9" s="27" t="str">
        <f>IF((COLUMN(AL9) - 2)/3 = INT((COLUMN(AL9) - 2)/3), INDIRECT("R1C"&amp;CEILING(4 + COLUMN(AL9)/3,1), FALSE), "")</f>
        <v/>
      </c>
      <c r="AM9" s="28"/>
      <c r="AN9" s="29"/>
      <c r="AO9" s="27" t="str">
        <f>IF((COLUMN(AO9) - 2)/3 = INT((COLUMN(AO9) - 2)/3), INDIRECT("R1C"&amp;CEILING(4 + COLUMN(AO9)/3,1), FALSE), "")</f>
        <v/>
      </c>
      <c r="AP9" s="28"/>
      <c r="AQ9" s="29"/>
      <c r="AR9" s="27" t="str">
        <f>IF((COLUMN(AR9) - 2)/3 = INT((COLUMN(AR9) - 2)/3), INDIRECT("R1C"&amp;CEILING(4 + COLUMN(AR9)/3,1), FALSE), "")</f>
        <v/>
      </c>
      <c r="AS9" s="28"/>
      <c r="AT9" s="29"/>
      <c r="AU9" s="27" t="str">
        <f>IF((COLUMN(AU9) - 2)/3 = INT((COLUMN(AU9) - 2)/3), INDIRECT("R1C"&amp;CEILING(4 + COLUMN(AU9)/3,1), FALSE), "")</f>
        <v/>
      </c>
      <c r="AV9" s="28"/>
      <c r="AW9" s="29"/>
      <c r="AX9" s="27" t="str">
        <f>IF((COLUMN(AX9) - 2)/3 = INT((COLUMN(AX9) - 2)/3), INDIRECT("R1C"&amp;CEILING(4 + COLUMN(AX9)/3,1), FALSE), "")</f>
        <v/>
      </c>
      <c r="AY9" s="28"/>
      <c r="AZ9" s="29"/>
      <c r="BA9" s="27" t="str">
        <f>IF((COLUMN(BA9) - 2)/3 = INT((COLUMN(BA9) - 2)/3), INDIRECT("R1C"&amp;CEILING(4 + COLUMN(BA9)/3,1), FALSE), "")</f>
        <v/>
      </c>
      <c r="BB9" s="28"/>
      <c r="BC9" s="29"/>
      <c r="BD9" s="27" t="str">
        <f>IF((COLUMN(BD9) - 2)/3 = INT((COLUMN(BD9) - 2)/3), INDIRECT("R1C"&amp;CEILING(4 + COLUMN(BD9)/3,1), FALSE), "")</f>
        <v/>
      </c>
      <c r="BE9" s="28"/>
      <c r="BF9" s="29"/>
      <c r="BG9" s="27" t="str">
        <f>IF((COLUMN(BG9) - 2)/3 = INT((COLUMN(BG9) - 2)/3), INDIRECT("R1C"&amp;CEILING(4 + COLUMN(BG9)/3,1), FALSE), "")</f>
        <v/>
      </c>
      <c r="BH9" s="28"/>
      <c r="BI9" s="29"/>
      <c r="BJ9" s="27" t="str">
        <f>IF((COLUMN(BJ9) - 2)/3 = INT((COLUMN(BJ9) - 2)/3), INDIRECT("R1C"&amp;CEILING(4 + COLUMN(BJ9)/3,1), FALSE), "")</f>
        <v/>
      </c>
      <c r="BK9" s="28"/>
      <c r="BL9" s="29"/>
      <c r="BM9" s="27" t="str">
        <f>IF((COLUMN(BM9) - 2)/3 = INT((COLUMN(BM9) - 2)/3), INDIRECT("R1C"&amp;CEILING(4 + COLUMN(BM9)/3,1), FALSE), "")</f>
        <v/>
      </c>
      <c r="BN9" s="28"/>
      <c r="BO9" s="29"/>
      <c r="BP9" s="27" t="str">
        <f>IF((COLUMN(BP9) - 2)/3 = INT((COLUMN(BP9) - 2)/3), INDIRECT("R1C"&amp;CEILING(4 + COLUMN(BP9)/3,1), FALSE), "")</f>
        <v/>
      </c>
      <c r="BQ9" s="28"/>
      <c r="BR9" s="29"/>
      <c r="BS9" s="27" t="str">
        <f>IF((COLUMN(BS9) - 2)/3 = INT((COLUMN(BS9) - 2)/3), INDIRECT("R1C"&amp;CEILING(4 + COLUMN(BS9)/3,1), FALSE), "")</f>
        <v/>
      </c>
      <c r="BT9" s="28"/>
      <c r="BU9" s="29"/>
      <c r="BV9" s="27" t="str">
        <f>IF((COLUMN(BV9) - 2)/3 = INT((COLUMN(BV9) - 2)/3), INDIRECT("R1C"&amp;CEILING(4 + COLUMN(BV9)/3,1), FALSE), "")</f>
        <v/>
      </c>
      <c r="BW9" s="28"/>
      <c r="BX9" s="29"/>
      <c r="BY9" s="27" t="str">
        <f>IF((COLUMN(BY9) - 2)/3 = INT((COLUMN(BY9) - 2)/3), INDIRECT("R1C"&amp;CEILING(4 + COLUMN(BY9)/3,1), FALSE), "")</f>
        <v/>
      </c>
      <c r="BZ9" s="28"/>
      <c r="CA9" s="29"/>
      <c r="CB9" s="27" t="str">
        <f>IF((COLUMN(CB9) - 2)/3 = INT((COLUMN(CB9) - 2)/3), INDIRECT("R1C"&amp;CEILING(4 + COLUMN(CB9)/3,1), FALSE), "")</f>
        <v/>
      </c>
      <c r="CC9" s="28"/>
      <c r="CD9" s="29"/>
      <c r="CE9" s="27" t="str">
        <f>IF((COLUMN(CE9) - 2)/3 = INT((COLUMN(CE9) - 2)/3), INDIRECT("R1C"&amp;CEILING(4 + COLUMN(CE9)/3,1), FALSE), "")</f>
        <v/>
      </c>
      <c r="CF9" s="28"/>
      <c r="CG9" s="29"/>
      <c r="CH9" s="27" t="str">
        <f>IF((COLUMN(CH9) - 2)/3 = INT((COLUMN(CH9) - 2)/3), INDIRECT("R1C"&amp;CEILING(4 + COLUMN(CH9)/3,1), FALSE), "")</f>
        <v/>
      </c>
      <c r="CI9" s="28"/>
      <c r="CJ9" s="29"/>
      <c r="CK9" s="27" t="str">
        <f>IF((COLUMN(CK9) - 2)/3 = INT((COLUMN(CK9) - 2)/3), INDIRECT("R1C"&amp;CEILING(4 + COLUMN(CK9)/3,1), FALSE), "")</f>
        <v/>
      </c>
      <c r="CL9" s="28"/>
      <c r="CM9" s="29"/>
      <c r="CN9" s="27" t="str">
        <f>IF((COLUMN(CN9) - 2)/3 = INT((COLUMN(CN9) - 2)/3), INDIRECT("R1C"&amp;CEILING(4 + COLUMN(CN9)/3,1), FALSE), "")</f>
        <v/>
      </c>
      <c r="CO9" s="28"/>
      <c r="CP9" s="29"/>
      <c r="CQ9" s="27" t="str">
        <f>IF((COLUMN(CQ9) - 2)/3 = INT((COLUMN(CQ9) - 2)/3), INDIRECT("R1C"&amp;CEILING(4 + COLUMN(CQ9)/3,1), FALSE), "")</f>
        <v/>
      </c>
      <c r="CR9" s="28"/>
      <c r="CS9" s="29"/>
    </row>
    <row r="10">
      <c r="A10" s="19" t="s">
        <v>14</v>
      </c>
      <c r="B10" s="19" t="s">
        <v>36</v>
      </c>
      <c r="C10" s="30">
        <f>IFERROR(__xludf.DUMMYFUNCTION("SUM(FILTER($E3:DF3, (COLUMN($E3:DF3)) / 3 = ROUND((COLUMN($E3:DF3)) / 3), NOT(ISERROR($E3:DF3))))"),1.0)</f>
        <v>1</v>
      </c>
      <c r="D10" s="26">
        <f t="shared" ref="D10:D14" si="63">$C10/$C$15</f>
        <v>0.015625</v>
      </c>
      <c r="E10" s="5" t="str">
        <f>IFERROR(__xludf.DUMMYFUNCTION("QUERY(INDIRECT($B$2&amp;""!$A$1:$F""), ""SELECT C, F WHERE D = """""" &amp; E9 &amp; """""""")"),"date")</f>
        <v>date</v>
      </c>
      <c r="F10" s="5" t="str">
        <f>IFERROR(__xludf.DUMMYFUNCTION("""COMPUTED_VALUE"""),"summary")</f>
        <v>summary</v>
      </c>
      <c r="H10" s="5" t="str">
        <f>IFERROR(__xludf.DUMMYFUNCTION("QUERY(INDIRECT($B$2&amp;""!$A$1:$F""), ""SELECT C, F WHERE D = """""" &amp; H9 &amp; """""""")"),"date")</f>
        <v>date</v>
      </c>
      <c r="I10" s="5" t="str">
        <f>IFERROR(__xludf.DUMMYFUNCTION("""COMPUTED_VALUE"""),"summary")</f>
        <v>summary</v>
      </c>
      <c r="K10" s="5" t="str">
        <f>IFERROR(__xludf.DUMMYFUNCTION("QUERY(INDIRECT($B$2&amp;""!$A$1:$F""), ""SELECT C, F WHERE D = """""" &amp; K9 &amp; """""""")"),"date")</f>
        <v>date</v>
      </c>
      <c r="L10" s="5" t="str">
        <f>IFERROR(__xludf.DUMMYFUNCTION("""COMPUTED_VALUE"""),"summary")</f>
        <v>summary</v>
      </c>
      <c r="N10" s="5" t="str">
        <f>IFERROR(__xludf.DUMMYFUNCTION("QUERY(INDIRECT($B$2&amp;""!$A$1:$F""), ""SELECT C, F WHERE D = """""" &amp; N9 &amp; """""""")"),"date")</f>
        <v>date</v>
      </c>
      <c r="O10" s="5" t="str">
        <f>IFERROR(__xludf.DUMMYFUNCTION("""COMPUTED_VALUE"""),"summary")</f>
        <v>summary</v>
      </c>
      <c r="Q10" s="5" t="str">
        <f>IFERROR(__xludf.DUMMYFUNCTION("QUERY(INDIRECT($B$2&amp;""!$A$1:$F""), ""SELECT C, F WHERE D = """""" &amp; Q9 &amp; """""""")"),"date")</f>
        <v>date</v>
      </c>
      <c r="R10" s="5" t="str">
        <f>IFERROR(__xludf.DUMMYFUNCTION("""COMPUTED_VALUE"""),"summary")</f>
        <v>summary</v>
      </c>
      <c r="T10" s="5" t="str">
        <f>IFERROR(__xludf.DUMMYFUNCTION("QUERY(INDIRECT($B$2&amp;""!$A$1:$F""), ""SELECT C, F WHERE D = """""" &amp; T9 &amp; """""""")"),"date")</f>
        <v>date</v>
      </c>
      <c r="U10" s="5" t="str">
        <f>IFERROR(__xludf.DUMMYFUNCTION("""COMPUTED_VALUE"""),"summary")</f>
        <v>summary</v>
      </c>
      <c r="W10" s="5" t="str">
        <f>IFERROR(__xludf.DUMMYFUNCTION("QUERY(INDIRECT($B$2&amp;""!$A$1:$F""), ""SELECT C, F WHERE D = """""" &amp; W9 &amp; """""""")"),"date")</f>
        <v>date</v>
      </c>
      <c r="X10" s="5" t="str">
        <f>IFERROR(__xludf.DUMMYFUNCTION("""COMPUTED_VALUE"""),"summary")</f>
        <v>summary</v>
      </c>
      <c r="Z10" s="5" t="str">
        <f>IFERROR(__xludf.DUMMYFUNCTION("QUERY(INDIRECT($B$2&amp;""!$A$1:$F""), ""SELECT C, F WHERE D = """""" &amp; Z9 &amp; """""""")"),"date")</f>
        <v>date</v>
      </c>
      <c r="AA10" s="5" t="str">
        <f>IFERROR(__xludf.DUMMYFUNCTION("""COMPUTED_VALUE"""),"summary")</f>
        <v>summary</v>
      </c>
      <c r="AC10" s="5" t="str">
        <f>IFERROR(__xludf.DUMMYFUNCTION("QUERY(INDIRECT($B$2&amp;""!$A$1:$F""), ""SELECT C, F WHERE D = """""" &amp; AC9 &amp; """""""")"),"date")</f>
        <v>date</v>
      </c>
      <c r="AD10" s="5" t="str">
        <f>IFERROR(__xludf.DUMMYFUNCTION("""COMPUTED_VALUE"""),"summary")</f>
        <v>summary</v>
      </c>
      <c r="AF10" s="5" t="str">
        <f>IFERROR(__xludf.DUMMYFUNCTION("QUERY(INDIRECT($B$2&amp;""!$A$1:$F""), ""SELECT C, F WHERE D = """""" &amp; AF9 &amp; """""""")"),"date")</f>
        <v>date</v>
      </c>
      <c r="AG10" s="5" t="str">
        <f>IFERROR(__xludf.DUMMYFUNCTION("""COMPUTED_VALUE"""),"summary")</f>
        <v>summary</v>
      </c>
      <c r="AI10" s="5" t="str">
        <f>IFERROR(__xludf.DUMMYFUNCTION("QUERY(INDIRECT($B$2&amp;""!$A$1:$F""), ""SELECT C, F WHERE D = """""" &amp; AI9 &amp; """""""")"),"date")</f>
        <v>date</v>
      </c>
      <c r="AJ10" s="5" t="str">
        <f>IFERROR(__xludf.DUMMYFUNCTION("""COMPUTED_VALUE"""),"summary")</f>
        <v>summary</v>
      </c>
      <c r="AL10" s="5" t="str">
        <f>IFERROR(__xludf.DUMMYFUNCTION("QUERY(INDIRECT($B$2&amp;""!$A$1:$F""), ""SELECT C, F WHERE D = """""" &amp; AL9 &amp; """""""")"),"date")</f>
        <v>date</v>
      </c>
      <c r="AM10" s="5" t="str">
        <f>IFERROR(__xludf.DUMMYFUNCTION("""COMPUTED_VALUE"""),"summary")</f>
        <v>summary</v>
      </c>
      <c r="AO10" s="5" t="str">
        <f>IFERROR(__xludf.DUMMYFUNCTION("QUERY(INDIRECT($B$2&amp;""!$A$1:$F""), ""SELECT C, F WHERE D = """""" &amp; AO9 &amp; """""""")"),"date")</f>
        <v>date</v>
      </c>
      <c r="AP10" s="5" t="str">
        <f>IFERROR(__xludf.DUMMYFUNCTION("""COMPUTED_VALUE"""),"summary")</f>
        <v>summary</v>
      </c>
      <c r="AR10" s="5" t="str">
        <f>IFERROR(__xludf.DUMMYFUNCTION("QUERY(INDIRECT($B$2&amp;""!$A$1:$F""), ""SELECT C, F WHERE D = """""" &amp; AR9 &amp; """""""")"),"date")</f>
        <v>date</v>
      </c>
      <c r="AS10" s="5" t="str">
        <f>IFERROR(__xludf.DUMMYFUNCTION("""COMPUTED_VALUE"""),"summary")</f>
        <v>summary</v>
      </c>
      <c r="AU10" s="5" t="str">
        <f>IFERROR(__xludf.DUMMYFUNCTION("QUERY(INDIRECT($B$2&amp;""!$A$1:$F""), ""SELECT C, F WHERE D = """""" &amp; AU9 &amp; """""""")"),"date")</f>
        <v>date</v>
      </c>
      <c r="AV10" s="5" t="str">
        <f>IFERROR(__xludf.DUMMYFUNCTION("""COMPUTED_VALUE"""),"summary")</f>
        <v>summary</v>
      </c>
      <c r="AX10" s="5" t="str">
        <f>IFERROR(__xludf.DUMMYFUNCTION("QUERY(INDIRECT($B$2&amp;""!$A$1:$F""), ""SELECT C, F WHERE D = """""" &amp; AX9 &amp; """""""")"),"date")</f>
        <v>date</v>
      </c>
      <c r="AY10" s="5" t="str">
        <f>IFERROR(__xludf.DUMMYFUNCTION("""COMPUTED_VALUE"""),"summary")</f>
        <v>summary</v>
      </c>
      <c r="BA10" s="5" t="str">
        <f>IFERROR(__xludf.DUMMYFUNCTION("QUERY(INDIRECT($B$2&amp;""!$A$1:$F""), ""SELECT C, F WHERE D = """""" &amp; BA9 &amp; """""""")"),"date")</f>
        <v>date</v>
      </c>
      <c r="BB10" s="5" t="str">
        <f>IFERROR(__xludf.DUMMYFUNCTION("""COMPUTED_VALUE"""),"summary")</f>
        <v>summary</v>
      </c>
      <c r="BD10" s="5" t="str">
        <f>IFERROR(__xludf.DUMMYFUNCTION("QUERY(INDIRECT($B$2&amp;""!$A$1:$F""), ""SELECT C, F WHERE D = """""" &amp; BD9 &amp; """""""")"),"date")</f>
        <v>date</v>
      </c>
      <c r="BE10" s="5" t="str">
        <f>IFERROR(__xludf.DUMMYFUNCTION("""COMPUTED_VALUE"""),"summary")</f>
        <v>summary</v>
      </c>
      <c r="BG10" s="5" t="str">
        <f>IFERROR(__xludf.DUMMYFUNCTION("QUERY(INDIRECT($B$2&amp;""!$A$1:$F""), ""SELECT C, F WHERE D = """""" &amp; BG9 &amp; """""""")"),"date")</f>
        <v>date</v>
      </c>
      <c r="BH10" s="5" t="str">
        <f>IFERROR(__xludf.DUMMYFUNCTION("""COMPUTED_VALUE"""),"summary")</f>
        <v>summary</v>
      </c>
      <c r="BJ10" s="5" t="str">
        <f>IFERROR(__xludf.DUMMYFUNCTION("QUERY(INDIRECT($B$2&amp;""!$A$1:$F""), ""SELECT C, F WHERE D = """""" &amp; BJ9 &amp; """""""")"),"date")</f>
        <v>date</v>
      </c>
      <c r="BK10" s="5" t="str">
        <f>IFERROR(__xludf.DUMMYFUNCTION("""COMPUTED_VALUE"""),"summary")</f>
        <v>summary</v>
      </c>
      <c r="BM10" s="5" t="str">
        <f>IFERROR(__xludf.DUMMYFUNCTION("QUERY(INDIRECT($B$2&amp;""!$A$1:$F""), ""SELECT C, F WHERE D = """""" &amp; BM9 &amp; """""""")"),"date")</f>
        <v>date</v>
      </c>
      <c r="BN10" s="5" t="str">
        <f>IFERROR(__xludf.DUMMYFUNCTION("""COMPUTED_VALUE"""),"summary")</f>
        <v>summary</v>
      </c>
      <c r="BP10" s="5" t="str">
        <f>IFERROR(__xludf.DUMMYFUNCTION("QUERY(INDIRECT($B$2&amp;""!$A$1:$F""), ""SELECT C, F WHERE D = """""" &amp; BP9 &amp; """""""")"),"date")</f>
        <v>date</v>
      </c>
      <c r="BQ10" s="5" t="str">
        <f>IFERROR(__xludf.DUMMYFUNCTION("""COMPUTED_VALUE"""),"summary")</f>
        <v>summary</v>
      </c>
      <c r="BS10" s="5" t="str">
        <f>IFERROR(__xludf.DUMMYFUNCTION("QUERY(INDIRECT($B$2&amp;""!$A$1:$F""), ""SELECT C, F WHERE D = """""" &amp; BS9 &amp; """""""")"),"date")</f>
        <v>date</v>
      </c>
      <c r="BT10" s="5" t="str">
        <f>IFERROR(__xludf.DUMMYFUNCTION("""COMPUTED_VALUE"""),"summary")</f>
        <v>summary</v>
      </c>
      <c r="BV10" s="5" t="str">
        <f>IFERROR(__xludf.DUMMYFUNCTION("QUERY(INDIRECT($B$2&amp;""!$A$1:$F""), ""SELECT C, F WHERE D = """""" &amp; BV9 &amp; """""""")"),"date")</f>
        <v>date</v>
      </c>
      <c r="BW10" s="5" t="str">
        <f>IFERROR(__xludf.DUMMYFUNCTION("""COMPUTED_VALUE"""),"summary")</f>
        <v>summary</v>
      </c>
      <c r="BY10" s="5" t="str">
        <f>IFERROR(__xludf.DUMMYFUNCTION("QUERY(INDIRECT($B$2&amp;""!$A$1:$F""), ""SELECT C, F WHERE D = """""" &amp; BY9 &amp; """""""")"),"date")</f>
        <v>date</v>
      </c>
      <c r="BZ10" s="5" t="str">
        <f>IFERROR(__xludf.DUMMYFUNCTION("""COMPUTED_VALUE"""),"summary")</f>
        <v>summary</v>
      </c>
      <c r="CB10" s="5" t="str">
        <f>IFERROR(__xludf.DUMMYFUNCTION("QUERY(INDIRECT($B$2&amp;""!$A$1:$F""), ""SELECT C, F WHERE D = """""" &amp; CB9 &amp; """""""")"),"date")</f>
        <v>date</v>
      </c>
      <c r="CC10" s="5" t="str">
        <f>IFERROR(__xludf.DUMMYFUNCTION("""COMPUTED_VALUE"""),"summary")</f>
        <v>summary</v>
      </c>
      <c r="CE10" s="5" t="str">
        <f>IFERROR(__xludf.DUMMYFUNCTION("QUERY(INDIRECT($B$2&amp;""!$A$1:$F""), ""SELECT C, F WHERE D = """""" &amp; CE9 &amp; """""""")"),"date")</f>
        <v>date</v>
      </c>
      <c r="CF10" s="5" t="str">
        <f>IFERROR(__xludf.DUMMYFUNCTION("""COMPUTED_VALUE"""),"summary")</f>
        <v>summary</v>
      </c>
      <c r="CH10" s="5" t="str">
        <f>IFERROR(__xludf.DUMMYFUNCTION("QUERY(INDIRECT($B$2&amp;""!$A$1:$F""), ""SELECT C, F WHERE D = """""" &amp; CH9 &amp; """""""")"),"date")</f>
        <v>date</v>
      </c>
      <c r="CI10" s="5" t="str">
        <f>IFERROR(__xludf.DUMMYFUNCTION("""COMPUTED_VALUE"""),"summary")</f>
        <v>summary</v>
      </c>
      <c r="CK10" s="5" t="str">
        <f>IFERROR(__xludf.DUMMYFUNCTION("QUERY(INDIRECT($B$2&amp;""!$A$1:$F""), ""SELECT C, F WHERE D = """""" &amp; CK9 &amp; """""""")"),"date")</f>
        <v>date</v>
      </c>
      <c r="CL10" s="5" t="str">
        <f>IFERROR(__xludf.DUMMYFUNCTION("""COMPUTED_VALUE"""),"summary")</f>
        <v>summary</v>
      </c>
      <c r="CN10" s="5" t="str">
        <f>IFERROR(__xludf.DUMMYFUNCTION("QUERY(INDIRECT($B$2&amp;""!$A$1:$F""), ""SELECT C, F WHERE D = """""" &amp; CN9 &amp; """""""")"),"date")</f>
        <v>date</v>
      </c>
      <c r="CO10" s="5" t="str">
        <f>IFERROR(__xludf.DUMMYFUNCTION("""COMPUTED_VALUE"""),"summary")</f>
        <v>summary</v>
      </c>
      <c r="CQ10" s="5" t="str">
        <f>IFERROR(__xludf.DUMMYFUNCTION("QUERY(INDIRECT($B$2&amp;""!$A$1:$F""), ""SELECT C, F WHERE D = """""" &amp; CQ9 &amp; """""""")"),"date")</f>
        <v>date</v>
      </c>
      <c r="CR10" s="5" t="str">
        <f>IFERROR(__xludf.DUMMYFUNCTION("""COMPUTED_VALUE"""),"summary")</f>
        <v>summary</v>
      </c>
    </row>
    <row r="11">
      <c r="A11" s="19" t="s">
        <v>15</v>
      </c>
      <c r="B11" s="19" t="s">
        <v>37</v>
      </c>
      <c r="C11" s="30">
        <f>IFERROR(__xludf.DUMMYFUNCTION("SUM(FILTER($E4:DF4, (COLUMN($E4:DF4)) / 3 = ROUND((COLUMN($E4:DF4)) / 3), NOT(ISERROR($E4:DF4))))"),6.0)</f>
        <v>6</v>
      </c>
      <c r="D11" s="26">
        <f t="shared" si="63"/>
        <v>0.09375</v>
      </c>
      <c r="E11" s="40">
        <f>IFERROR(__xludf.DUMMYFUNCTION("""COMPUTED_VALUE"""),44007.71449074074)</f>
        <v>44007.71449</v>
      </c>
      <c r="F11" s="5" t="str">
        <f>IFERROR(__xludf.DUMMYFUNCTION("""COMPUTED_VALUE"""),"That ball from Xhaka was 👌 shame it was offside. That would have been a beauty if Saka wasn’t offside- damn #SOUARS. Offside but what a pass from Xhaka tho ffsss. Saka to Nketiah goal but it was offside my heart is on fire 😭😭😭😭😭.")</f>
        <v>That ball from Xhaka was 👌 shame it was offside. That would have been a beauty if Saka wasn’t offside- damn #SOUARS. Offside but what a pass from Xhaka tho ffsss. Saka to Nketiah goal but it was offside my heart is on fire 😭😭😭😭😭.</v>
      </c>
      <c r="G11" s="39" t="s">
        <v>17</v>
      </c>
      <c r="H11" s="40">
        <f>IFERROR(__xludf.DUMMYFUNCTION("""COMPUTED_VALUE"""),44007.71452546296)</f>
        <v>44007.71453</v>
      </c>
      <c r="I11" s="5" t="str">
        <f>IFERROR(__xludf.DUMMYFUNCTION("""COMPUTED_VALUE"""),"What a pass from Xhaka man. Missed him so much. Offside but that's what Granit Xhaka is in the side for. What a ball. What a pass from Xhaka to Saka 👏👏too bad ended up with a disallowed goal. See that pass from Xhaka there? that’s why he starts.")</f>
        <v>What a pass from Xhaka man. Missed him so much. Offside but that's what Granit Xhaka is in the side for. What a ball. What a pass from Xhaka to Saka 👏👏too bad ended up with a disallowed goal. See that pass from Xhaka there? that’s why he starts.</v>
      </c>
      <c r="J11" s="39" t="s">
        <v>17</v>
      </c>
      <c r="K11" s="40">
        <f>IFERROR(__xludf.DUMMYFUNCTION("""COMPUTED_VALUE"""),44007.716678240744)</f>
        <v>44007.71668</v>
      </c>
      <c r="L11" s="5" t="str">
        <f>IFERROR(__xludf.DUMMYFUNCTION("""COMPUTED_VALUE"""),"Mustafi booked! 👏. But instant booking for Arsenal, ducking ridiculous. So mustafi gets booked for that but hjoberg didnt get book for stopping pepe in full flow. Refs love booking an Arsenal player. Booking? First foul of the game by an Arsenal player. "&amp;"Absolutely.")</f>
        <v>Mustafi booked! 👏. But instant booking for Arsenal, ducking ridiculous. So mustafi gets booked for that but hjoberg didnt get book for stopping pepe in full flow. Refs love booking an Arsenal player. Booking? First foul of the game by an Arsenal player. Absolutely.</v>
      </c>
      <c r="M11" s="39" t="s">
        <v>17</v>
      </c>
      <c r="N11" s="40">
        <f>IFERROR(__xludf.DUMMYFUNCTION("""COMPUTED_VALUE"""),44007.71674768519)</f>
        <v>44007.71675</v>
      </c>
      <c r="O11" s="5" t="str">
        <f>IFERROR(__xludf.DUMMYFUNCTION("""COMPUTED_VALUE"""),"Hahaha fuck off mustafi booked first tackle, what about hojberg... ah can’t stand it already. What a joke, Mustafi gets the yellow card !!! Fcuk off Premier League you corrupt bunch of c^*ts with the PGMOL. How is that a yellow for Mustafi but not Hojeber"&amp;"g?")</f>
        <v>Hahaha fuck off mustafi booked first tackle, what about hojberg... ah can’t stand it already. What a joke, Mustafi gets the yellow card !!! Fcuk off Premier League you corrupt bunch of c^*ts with the PGMOL. How is that a yellow for Mustafi but not Hojeberg?</v>
      </c>
      <c r="P11" s="39" t="s">
        <v>17</v>
      </c>
      <c r="Q11" s="40">
        <f>IFERROR(__xludf.DUMMYFUNCTION("""COMPUTED_VALUE"""),44007.716828703706)</f>
        <v>44007.71683</v>
      </c>
      <c r="R11" s="5" t="str">
        <f>IFERROR(__xludf.DUMMYFUNCTION("""COMPUTED_VALUE"""),"Booking? First foul of the game by an Arsenal player. Absolutely. Refs love booking an Arsenal player. Booking? Deliberate Foul on an Arsenal player stopping a break. Ah ok. No, then. Refs are banter. How has mustafi got booked but not their player 🤨.")</f>
        <v>Booking? First foul of the game by an Arsenal player. Absolutely. Refs love booking an Arsenal player. Booking? Deliberate Foul on an Arsenal player stopping a break. Ah ok. No, then. Refs are banter. How has mustafi got booked but not their player 🤨.</v>
      </c>
      <c r="S11" s="39" t="s">
        <v>17</v>
      </c>
      <c r="T11" s="40">
        <f>IFERROR(__xludf.DUMMYFUNCTION("""COMPUTED_VALUE"""),44007.71712962963)</f>
        <v>44007.71713</v>
      </c>
      <c r="U11" s="5" t="str">
        <f>IFERROR(__xludf.DUMMYFUNCTION("""COMPUTED_VALUE"""),"Mustafi is still the worst defender in the league I see. Southampton win is imminent. You can see it. People are finally seeing what Xhaka offers 🤐. Liverpool want Chelsea to win. Manchester Utd want Chelsea to lose and. Arsenal dont even know what they "&amp;"want...")</f>
        <v>Mustafi is still the worst defender in the league I see. Southampton win is imminent. You can see it. People are finally seeing what Xhaka offers 🤐. Liverpool want Chelsea to win. Manchester Utd want Chelsea to lose and. Arsenal dont even know what they want...</v>
      </c>
      <c r="V11" s="39" t="s">
        <v>16</v>
      </c>
      <c r="W11" s="40">
        <f>IFERROR(__xludf.DUMMYFUNCTION("""COMPUTED_VALUE"""),44007.72278935185)</f>
        <v>44007.72279</v>
      </c>
      <c r="X11" s="5" t="str">
        <f>IFERROR(__xludf.DUMMYFUNCTION("""COMPUTED_VALUE"""),"Arsenal lead. Arsenal takes the lead. Eddie Nketia. Southampton GL error leading to a goal from Arsenal striker. Giroud memories are coming back. Nketiah capitalised on Southampton goalkeeper's error to give Arsenal the lead. Nketiah 1-0. Horror for McCar"&amp;"thy. #AFC lead.")</f>
        <v>Arsenal lead. Arsenal takes the lead. Eddie Nketia. Southampton GL error leading to a goal from Arsenal striker. Giroud memories are coming back. Nketiah capitalised on Southampton goalkeeper's error to give Arsenal the lead. Nketiah 1-0. Horror for McCarthy. #AFC lead.</v>
      </c>
      <c r="Y11" s="39" t="s">
        <v>17</v>
      </c>
      <c r="Z11" s="40">
        <f>IFERROR(__xludf.DUMMYFUNCTION("""COMPUTED_VALUE"""),44007.72288194444)</f>
        <v>44007.72288</v>
      </c>
      <c r="AA11" s="5" t="str">
        <f>IFERROR(__xludf.DUMMYFUNCTION("""COMPUTED_VALUE"""),"Southampton got a curse with these keepers. Wow, what a stupid goal keeper man 1-0 arsenal. What was the keeper doing? Deffo an arsenal fan! Thats a giveaway from the Soton keeper 😂😂 #SOUARS. If that was Lacazette, the keeper would of caught him up.")</f>
        <v>Southampton got a curse with these keepers. Wow, what a stupid goal keeper man 1-0 arsenal. What was the keeper doing? Deffo an arsenal fan! Thats a giveaway from the Soton keeper 😂😂 #SOUARS. If that was Lacazette, the keeper would of caught him up.</v>
      </c>
      <c r="AB11" s="39" t="s">
        <v>17</v>
      </c>
      <c r="AC11" s="40">
        <f>IFERROR(__xludf.DUMMYFUNCTION("""COMPUTED_VALUE"""),44007.72293981482)</f>
        <v>44007.72294</v>
      </c>
      <c r="AD11" s="5" t="str">
        <f>IFERROR(__xludf.DUMMYFUNCTION("""COMPUTED_VALUE"""),"20'/1º - GOOOOOOOOOOOOOOOOOOOOOOOOOOOOL DO ARSENAL! Edward Nketiah. Southampton 0x1 Arsenal. OH esse gol do arsenal KKKK. O gol do arsenal ??????? WTF MCCARTHY. Gol do Arsenal. GOAL! Southampton 0-1 Arsenal (Nketiah, '20) Watch live on Sky Sports Main Eve"&amp;"nt now or follow below!")</f>
        <v>20'/1º - GOOOOOOOOOOOOOOOOOOOOOOOOOOOOL DO ARSENAL! Edward Nketiah. Southampton 0x1 Arsenal. OH esse gol do arsenal KKKK. O gol do arsenal ??????? WTF MCCARTHY. Gol do Arsenal. GOAL! Southampton 0-1 Arsenal (Nketiah, '20) Watch live on Sky Sports Main Event now or follow below!</v>
      </c>
      <c r="AE11" s="39" t="s">
        <v>17</v>
      </c>
      <c r="AF11" s="40">
        <f>IFERROR(__xludf.DUMMYFUNCTION("""COMPUTED_VALUE"""),44007.723449074074)</f>
        <v>44007.72345</v>
      </c>
      <c r="AG11" s="5" t="str">
        <f>IFERROR(__xludf.DUMMYFUNCTION("""COMPUTED_VALUE"""),"McCarthy’s been asking for that since kick off. #Arsenal go up 1-0! Nketiah takes it off Alex McCarthy's foot and walks it into the empty net. McCarthy gets caught on the ball, Nketiah blocks his clearance and taps into an empty net. 1-0 to the Arsenal.")</f>
        <v>McCarthy’s been asking for that since kick off. #Arsenal go up 1-0! Nketiah takes it off Alex McCarthy's foot and walks it into the empty net. McCarthy gets caught on the ball, Nketiah blocks his clearance and taps into an empty net. 1-0 to the Arsenal.</v>
      </c>
      <c r="AH11" s="39" t="s">
        <v>17</v>
      </c>
      <c r="AI11" s="40">
        <f>IFERROR(__xludf.DUMMYFUNCTION("""COMPUTED_VALUE"""),44007.723599537036)</f>
        <v>44007.7236</v>
      </c>
      <c r="AJ11" s="5" t="str">
        <f>IFERROR(__xludf.DUMMYFUNCTION("""COMPUTED_VALUE"""),"Nketiah is the best striker in the prem. Very good strikers play from Nketiah. Arsenal have deserved that. If there was a match between Arsenal and super strikers would Arsenal win oba🤔. Nketiah is the best 3rd striker in #FPL. Arsenal striker scored but"&amp;" it wasn’t Aubameyang???.")</f>
        <v>Nketiah is the best striker in the prem. Very good strikers play from Nketiah. Arsenal have deserved that. If there was a match between Arsenal and super strikers would Arsenal win oba🤔. Nketiah is the best 3rd striker in #FPL. Arsenal striker scored but it wasn’t Aubameyang???.</v>
      </c>
      <c r="AK11" s="39" t="s">
        <v>16</v>
      </c>
      <c r="AL11" s="40"/>
      <c r="AM11" s="5"/>
      <c r="AN11" s="5"/>
      <c r="AO11" s="40"/>
      <c r="AP11" s="5"/>
      <c r="AQ11" s="5"/>
      <c r="AR11" s="40"/>
      <c r="AS11" s="5"/>
      <c r="AT11" s="5"/>
      <c r="AU11" s="40"/>
      <c r="AV11" s="5"/>
      <c r="AW11" s="5"/>
      <c r="AX11" s="40"/>
      <c r="AY11" s="5"/>
      <c r="AZ11" s="5"/>
      <c r="BA11" s="40"/>
      <c r="BB11" s="5"/>
      <c r="BC11" s="5"/>
      <c r="BD11" s="40"/>
      <c r="BE11" s="5"/>
      <c r="BF11" s="5"/>
      <c r="BG11" s="40"/>
      <c r="BH11" s="5"/>
      <c r="BI11" s="5"/>
      <c r="BJ11" s="40"/>
      <c r="BK11" s="5"/>
      <c r="BL11" s="5"/>
      <c r="BM11" s="40"/>
      <c r="BN11" s="5"/>
      <c r="BO11" s="5"/>
      <c r="BP11" s="40"/>
      <c r="BQ11" s="5"/>
      <c r="BR11" s="5"/>
      <c r="BS11" s="40"/>
      <c r="BT11" s="5"/>
      <c r="BU11" s="5"/>
      <c r="BV11" s="40"/>
      <c r="BW11" s="5"/>
      <c r="BX11" s="5"/>
      <c r="BY11" s="40"/>
      <c r="BZ11" s="5"/>
      <c r="CA11" s="5"/>
      <c r="CB11" s="40"/>
      <c r="CC11" s="5"/>
      <c r="CD11" s="5"/>
      <c r="CE11" s="40"/>
      <c r="CF11" s="5"/>
      <c r="CG11" s="5"/>
      <c r="CH11" s="40"/>
      <c r="CI11" s="5"/>
      <c r="CJ11" s="5"/>
      <c r="CK11" s="40"/>
      <c r="CL11" s="5"/>
      <c r="CM11" s="5"/>
      <c r="CN11" s="40"/>
      <c r="CO11" s="5"/>
      <c r="CP11" s="5"/>
      <c r="CQ11" s="40"/>
      <c r="CR11" s="5"/>
      <c r="CS11" s="5"/>
      <c r="CT11" s="5"/>
      <c r="CU11" s="5"/>
      <c r="CV11" s="5"/>
      <c r="CW11" s="5"/>
      <c r="CX11" s="5"/>
      <c r="CY11" s="5"/>
      <c r="CZ11" s="5"/>
      <c r="DA11" s="5"/>
      <c r="DB11" s="5"/>
      <c r="DC11" s="5"/>
      <c r="DD11" s="5"/>
      <c r="DE11" s="5"/>
      <c r="DF11" s="5"/>
    </row>
    <row r="12">
      <c r="A12" s="19" t="s">
        <v>16</v>
      </c>
      <c r="B12" s="19" t="s">
        <v>38</v>
      </c>
      <c r="C12" s="30">
        <f>IFERROR(__xludf.DUMMYFUNCTION("SUM(FILTER($E5:DF5, (COLUMN($E5:DF5)) / 3 = ROUND((COLUMN($E5:DF5)) / 3), NOT(ISERROR($E5:DF5))))"),9.0)</f>
        <v>9</v>
      </c>
      <c r="D12" s="26">
        <f t="shared" si="63"/>
        <v>0.140625</v>
      </c>
      <c r="E12" s="40">
        <f>IFERROR(__xludf.DUMMYFUNCTION("""COMPUTED_VALUE"""),44007.716099537036)</f>
        <v>44007.7161</v>
      </c>
      <c r="F12" s="5" t="str">
        <f>IFERROR(__xludf.DUMMYFUNCTION("""COMPUTED_VALUE"""),"Nketiah scores but Saka had strayed just offside playing him in. Aubameyang should score that.. Will he get 50 before leaving? 😂. Arsenal need to behave, they want to score sha!😳😳. Missing you like Arsenal are missing the chances to score. Auba should "&amp;"have scored that #SOUARS.")</f>
        <v>Nketiah scores but Saka had strayed just offside playing him in. Aubameyang should score that.. Will he get 50 before leaving? 😂. Arsenal need to behave, they want to score sha!😳😳. Missing you like Arsenal are missing the chances to score. Auba should have scored that #SOUARS.</v>
      </c>
      <c r="G12" s="39" t="s">
        <v>18</v>
      </c>
      <c r="H12" s="40">
        <f>IFERROR(__xludf.DUMMYFUNCTION("""COMPUTED_VALUE"""),44007.715960648144)</f>
        <v>44007.71596</v>
      </c>
      <c r="I12" s="5" t="str">
        <f>IFERROR(__xludf.DUMMYFUNCTION("""COMPUTED_VALUE"""),"Aubz hits the bottom of the bar after a glorious ball from tierney fuck me. That was a great ball from Tierney. Super pass from Tierney but Aubameyang hit the cross bar with his shot. He was quite unlucky! Tierney what a pass 👏🏾 Auba should of finished "&amp;"that.")</f>
        <v>Aubz hits the bottom of the bar after a glorious ball from tierney fuck me. That was a great ball from Tierney. Super pass from Tierney but Aubameyang hit the cross bar with his shot. He was quite unlucky! Tierney what a pass 👏🏾 Auba should of finished that.</v>
      </c>
      <c r="J12" s="39" t="s">
        <v>18</v>
      </c>
      <c r="K12" s="40">
        <f>IFERROR(__xludf.DUMMYFUNCTION("""COMPUTED_VALUE"""),44007.781122685185)</f>
        <v>44007.78112</v>
      </c>
      <c r="L12" s="5" t="str">
        <f>IFERROR(__xludf.DUMMYFUNCTION("""COMPUTED_VALUE"""),"A RED CARD FOR THE OPPOSITION? VERSUS ARSENAL!? Miracles can happen in the refereeing game. VAR didn’t change that red card.. Stephens got the ball sha. Red card!. Southampton are down to 10 men after Stephens is sent off for fouling Aubameyang P-E. #SOUA"&amp;"RS 🔴⚪️ 0-1 🟡🟡 (85)")</f>
        <v>A RED CARD FOR THE OPPOSITION? VERSUS ARSENAL!? Miracles can happen in the refereeing game. VAR didn’t change that red card.. Stephens got the ball sha. Red card!. Southampton are down to 10 men after Stephens is sent off for fouling Aubameyang P-E. #SOUARS 🔴⚪️ 0-1 🟡🟡 (85)</v>
      </c>
      <c r="M12" s="39" t="s">
        <v>17</v>
      </c>
      <c r="N12" s="40">
        <f>IFERROR(__xludf.DUMMYFUNCTION("""COMPUTED_VALUE"""),44007.755023148144)</f>
        <v>44007.75502</v>
      </c>
      <c r="O12" s="5" t="str">
        <f>IFERROR(__xludf.DUMMYFUNCTION("""COMPUTED_VALUE"""),"Wtf injuring our player. That's a clear red for Saka. Saka sees yellow. Hopefully VAR leaves that be. That could be a red for the #Arsenal man. Should that be a red card for saka? wow. goes after the spurs player. Saka lucky not to get away with a red the"&amp;"re 😳.")</f>
        <v>Wtf injuring our player. That's a clear red for Saka. Saka sees yellow. Hopefully VAR leaves that be. That could be a red for the #Arsenal man. Should that be a red card for saka? wow. goes after the spurs player. Saka lucky not to get away with a red there 😳.</v>
      </c>
      <c r="P12" s="39" t="s">
        <v>17</v>
      </c>
      <c r="Q12" s="40">
        <f>IFERROR(__xludf.DUMMYFUNCTION("""COMPUTED_VALUE"""),44007.71909722222)</f>
        <v>44007.7191</v>
      </c>
      <c r="R12" s="5" t="str">
        <f>IFERROR(__xludf.DUMMYFUNCTION("""COMPUTED_VALUE"""),"Saka done his knee I’m fucking done. Southampton I’m on my knees. Physio has mask on while talking to injured Saka whereas on the touchline Arteta speaking to players without mask 😂. Another Arsenal player injured?. Better be taking the piss if Saka goes"&amp;" off injured.")</f>
        <v>Saka done his knee I’m fucking done. Southampton I’m on my knees. Physio has mask on while talking to injured Saka whereas on the touchline Arteta speaking to players without mask 😂. Another Arsenal player injured?. Better be taking the piss if Saka goes off injured.</v>
      </c>
      <c r="S12" s="39" t="s">
        <v>18</v>
      </c>
      <c r="T12" s="40">
        <f>IFERROR(__xludf.DUMMYFUNCTION("""COMPUTED_VALUE"""),44007.719247685185)</f>
        <v>44007.71925</v>
      </c>
      <c r="U12" s="5" t="str">
        <f>IFERROR(__xludf.DUMMYFUNCTION("""COMPUTED_VALUE"""),"I swear to jesus if saka is injured i may actually finally give up. If saka gets injured I’m finished with football. If Saka is injured here I'm never watching football again. Saka down. Stop the league!")</f>
        <v>I swear to jesus if saka is injured i may actually finally give up. If saka gets injured I’m finished with football. If Saka is injured here I'm never watching football again. Saka down. Stop the league!</v>
      </c>
      <c r="V12" s="39" t="s">
        <v>18</v>
      </c>
      <c r="W12" s="40">
        <f>IFERROR(__xludf.DUMMYFUNCTION("""COMPUTED_VALUE"""),44007.725543981476)</f>
        <v>44007.72554</v>
      </c>
      <c r="X12" s="5" t="str">
        <f>IFERROR(__xludf.DUMMYFUNCTION("""COMPUTED_VALUE"""),"Football is Bellerin’s second option lmao I’ll keep saying this. Man is a fashionista at heart. AMN needs to grow up take this Bellerin guys place. Bellerin needs to do better 🙄. Bellerin is half the player he was pre-injury. And a full time woke activis"&amp;"t. Shame.")</f>
        <v>Football is Bellerin’s second option lmao I’ll keep saying this. Man is a fashionista at heart. AMN needs to grow up take this Bellerin guys place. Bellerin needs to do better 🙄. Bellerin is half the player he was pre-injury. And a full time woke activist. Shame.</v>
      </c>
      <c r="Y12" s="39" t="s">
        <v>16</v>
      </c>
      <c r="Z12" s="40">
        <f>IFERROR(__xludf.DUMMYFUNCTION("""COMPUTED_VALUE"""),44007.77554398148)</f>
        <v>44007.77554</v>
      </c>
      <c r="AA12" s="5" t="str">
        <f>IFERROR(__xludf.DUMMYFUNCTION("""COMPUTED_VALUE"""),"North London are saved #SOUARS. Mesut Ozil is trying his best to keep cool down on the south coast! ☀☂. Good save #SOUARS 1-0. Brilliant save from Martinez to deny Long. Arsenal living dangerously now. 15 minutes to go. Cracking save by Martinez #AFC #SOU"&amp;"ARS. Great save Arsenal.")</f>
        <v>North London are saved #SOUARS. Mesut Ozil is trying his best to keep cool down on the south coast! ☀☂. Good save #SOUARS 1-0. Brilliant save from Martinez to deny Long. Arsenal living dangerously now. 15 minutes to go. Cracking save by Martinez #AFC #SOUARS. Great save Arsenal.</v>
      </c>
      <c r="AB12" s="39" t="s">
        <v>18</v>
      </c>
      <c r="AC12" s="40">
        <f>IFERROR(__xludf.DUMMYFUNCTION("""COMPUTED_VALUE"""),44007.75331018519)</f>
        <v>44007.75331</v>
      </c>
      <c r="AD12" s="5" t="str">
        <f>IFERROR(__xludf.DUMMYFUNCTION("""COMPUTED_VALUE"""),"We need to see that Long and Ings link up now #saintsfc. Ffs shane long hattrick incoming. Shane long ffs. Bellerin and ceballos have been arse, they need to improve massively. Shane long has entered ffs. I hate it already😭. FFS. Shane Long is gonna fini"&amp;"sh us.")</f>
        <v>We need to see that Long and Ings link up now #saintsfc. Ffs shane long hattrick incoming. Shane long ffs. Bellerin and ceballos have been arse, they need to improve massively. Shane long has entered ffs. I hate it already😭. FFS. Shane Long is gonna finish us.</v>
      </c>
      <c r="AE12" s="39" t="s">
        <v>17</v>
      </c>
      <c r="AF12" s="40">
        <f>IFERROR(__xludf.DUMMYFUNCTION("""COMPUTED_VALUE"""),44007.742430555554)</f>
        <v>44007.74243</v>
      </c>
      <c r="AG12" s="5" t="str">
        <f>IFERROR(__xludf.DUMMYFUNCTION("""COMPUTED_VALUE"""),"Half-time in the 6pm kick-offs: - Southampton 0-1 Arsenal. - Burnley 0-0 Watford. How's everyones bets looking at the break? 🤔. 🤔 The thinking behind our #SOUARS selection? Mikel Arteta gives an insight ahead of kick-off 👇. Ahead at the break. Let's ki"&amp;"ck on. 💪. #SOUARS.")</f>
        <v>Half-time in the 6pm kick-offs: - Southampton 0-1 Arsenal. - Burnley 0-0 Watford. How's everyones bets looking at the break? 🤔. 🤔 The thinking behind our #SOUARS selection? Mikel Arteta gives an insight ahead of kick-off 👇. Ahead at the break. Let's kick on. 💪. #SOUARS.</v>
      </c>
      <c r="AH12" s="39" t="s">
        <v>17</v>
      </c>
      <c r="AK12" s="5"/>
      <c r="AL12" s="40"/>
      <c r="AM12" s="5"/>
      <c r="AN12" s="5"/>
      <c r="AO12" s="40"/>
      <c r="AP12" s="5"/>
      <c r="AQ12" s="5"/>
      <c r="AR12" s="40"/>
      <c r="AS12" s="5"/>
      <c r="AT12" s="5"/>
      <c r="AU12" s="40"/>
      <c r="AV12" s="5"/>
      <c r="AW12" s="5"/>
      <c r="AX12" s="40"/>
      <c r="AY12" s="5"/>
      <c r="AZ12" s="5"/>
      <c r="BA12" s="40"/>
      <c r="BB12" s="5"/>
      <c r="BC12" s="5"/>
      <c r="BD12" s="40"/>
      <c r="BE12" s="5"/>
      <c r="BF12" s="5"/>
      <c r="BG12" s="40"/>
      <c r="BH12" s="5"/>
      <c r="BI12" s="5"/>
      <c r="BJ12" s="40"/>
      <c r="BK12" s="5"/>
      <c r="BL12" s="5"/>
      <c r="BM12" s="40"/>
      <c r="BN12" s="5"/>
      <c r="BO12" s="5"/>
      <c r="BP12" s="40"/>
      <c r="BQ12" s="5"/>
      <c r="BR12" s="5"/>
      <c r="BS12" s="40"/>
      <c r="BT12" s="5"/>
      <c r="BU12" s="5"/>
      <c r="BV12" s="40"/>
      <c r="BW12" s="5"/>
      <c r="BX12" s="5"/>
      <c r="BY12" s="40"/>
      <c r="BZ12" s="5"/>
      <c r="CA12" s="5"/>
      <c r="CB12" s="40"/>
      <c r="CC12" s="5"/>
      <c r="CD12" s="5"/>
      <c r="CE12" s="40"/>
      <c r="CF12" s="5"/>
      <c r="CG12" s="5"/>
      <c r="CH12" s="40"/>
      <c r="CI12" s="5"/>
      <c r="CJ12" s="5"/>
      <c r="CK12" s="40"/>
      <c r="CL12" s="5"/>
      <c r="CM12" s="5"/>
      <c r="CN12" s="40"/>
      <c r="CO12" s="5"/>
      <c r="CP12" s="5"/>
      <c r="CQ12" s="40"/>
      <c r="CR12" s="5"/>
      <c r="CS12" s="5"/>
      <c r="CT12" s="5"/>
      <c r="CU12" s="5"/>
      <c r="CV12" s="5"/>
      <c r="CW12" s="5"/>
      <c r="CX12" s="5"/>
      <c r="CY12" s="5"/>
      <c r="CZ12" s="5"/>
      <c r="DA12" s="5"/>
      <c r="DB12" s="5"/>
      <c r="DC12" s="5"/>
      <c r="DD12" s="5"/>
      <c r="DE12" s="5"/>
      <c r="DF12" s="5"/>
    </row>
    <row r="13">
      <c r="A13" s="19" t="s">
        <v>17</v>
      </c>
      <c r="B13" s="19" t="s">
        <v>39</v>
      </c>
      <c r="C13" s="30">
        <f>IFERROR(__xludf.DUMMYFUNCTION("SUM(FILTER($E6:DF6, (COLUMN($E6:DF6)) / 3 = ROUND((COLUMN($E6:DF6)) / 3), NOT(ISERROR($E6:DF6))))"),28.0)</f>
        <v>28</v>
      </c>
      <c r="D13" s="26">
        <f t="shared" si="63"/>
        <v>0.4375</v>
      </c>
      <c r="E13" s="40">
        <f>IFERROR(__xludf.DUMMYFUNCTION("""COMPUTED_VALUE"""),44007.77018518519)</f>
        <v>44007.77019</v>
      </c>
      <c r="F13" s="5" t="str">
        <f>IFERROR(__xludf.DUMMYFUNCTION("""COMPUTED_VALUE"""),"All Southampton at the moment looks like a matter time before they equalise #COYG. A lil bit surprised as how Southampton are yet to get an equaliser in this game. Southampton equaliser please! 🥺🤞🏼 #SOUARS.")</f>
        <v>All Southampton at the moment looks like a matter time before they equalise #COYG. A lil bit surprised as how Southampton are yet to get an equaliser in this game. Southampton equaliser please! 🥺🤞🏼 #SOUARS.</v>
      </c>
      <c r="G13" s="39" t="s">
        <v>16</v>
      </c>
      <c r="H13" s="40">
        <f>IFERROR(__xludf.DUMMYFUNCTION("""COMPUTED_VALUE"""),44007.72172453704)</f>
        <v>44007.72172</v>
      </c>
      <c r="I13" s="5" t="str">
        <f>IFERROR(__xludf.DUMMYFUNCTION("""COMPUTED_VALUE"""),"Our midfield has been fluent in its passes and we actually do pass forward. Xhaka is back. Can in just say that Tierney pass earlier was amazing. Can you do the arsenal battle pass thing in vip servers. Has ceballos ever played a pass like xhaka did to Sa"&amp;"ka in his life?")</f>
        <v>Our midfield has been fluent in its passes and we actually do pass forward. Xhaka is back. Can in just say that Tierney pass earlier was amazing. Can you do the arsenal battle pass thing in vip servers. Has ceballos ever played a pass like xhaka did to Saka in his life?</v>
      </c>
      <c r="J13" s="39" t="s">
        <v>18</v>
      </c>
      <c r="M13" s="5"/>
      <c r="N13" s="40">
        <f>IFERROR(__xludf.DUMMYFUNCTION("""COMPUTED_VALUE"""),44007.780590277776)</f>
        <v>44007.78059</v>
      </c>
      <c r="O13" s="5" t="str">
        <f>IFERROR(__xludf.DUMMYFUNCTION("""COMPUTED_VALUE"""),"Arsenal 9/2 for a 2-0 win before the the card, lovely stuff. Evryone is Arsenal is getting a red card, even their fans, why wouldn't I? It had to be a red card for Stephens. Arsenal made an opponent get a Red Card! Maaaaaaad! 😂 😂 😂. Finally we get a br"&amp;"eak. Red card to Southampton.")</f>
        <v>Arsenal 9/2 for a 2-0 win before the the card, lovely stuff. Evryone is Arsenal is getting a red card, even their fans, why wouldn't I? It had to be a red card for Stephens. Arsenal made an opponent get a Red Card! Maaaaaaad! 😂 😂 😂. Finally we get a break. Red card to Southampton.</v>
      </c>
      <c r="P13" s="39" t="s">
        <v>17</v>
      </c>
      <c r="Q13" s="40">
        <f>IFERROR(__xludf.DUMMYFUNCTION("""COMPUTED_VALUE"""),44007.72146990741)</f>
        <v>44007.72147</v>
      </c>
      <c r="R13" s="5" t="str">
        <f>IFERROR(__xludf.DUMMYFUNCTION("""COMPUTED_VALUE"""),"Take note Tottenham Arsenal #CFC. Only one team in London to win the European Cup 🏆🔵. Always the same you take Aubameyang out he looks sharp! #FPL. Why isn’t Pepe taking it. Ceballos takes too long to think. My goodness.")</f>
        <v>Take note Tottenham Arsenal #CFC. Only one team in London to win the European Cup 🏆🔵. Always the same you take Aubameyang out he looks sharp! #FPL. Why isn’t Pepe taking it. Ceballos takes too long to think. My goodness.</v>
      </c>
      <c r="S13" s="39" t="s">
        <v>15</v>
      </c>
      <c r="T13" s="40">
        <f>IFERROR(__xludf.DUMMYFUNCTION("""COMPUTED_VALUE"""),44007.72271990741)</f>
        <v>44007.72272</v>
      </c>
      <c r="U13" s="5" t="str">
        <f>IFERROR(__xludf.DUMMYFUNCTION("""COMPUTED_VALUE"""),"Hope saka doesn’t pull off some cr7 euro final vibes throughout this match. He looks in a lot of pain whoever he runs 😢. God let Southampton win make arsenal slander sweet tonight.. I’ve finally made the bench for Arsenal. Always knew I’d make it one day"&amp;".. Finally arsenal 💪🏽😅.")</f>
        <v>Hope saka doesn’t pull off some cr7 euro final vibes throughout this match. He looks in a lot of pain whoever he runs 😢. God let Southampton win make arsenal slander sweet tonight.. I’ve finally made the bench for Arsenal. Always knew I’d make it one day.. Finally arsenal 💪🏽😅.</v>
      </c>
      <c r="V13" s="39" t="s">
        <v>15</v>
      </c>
      <c r="W13" s="40">
        <f>IFERROR(__xludf.DUMMYFUNCTION("""COMPUTED_VALUE"""),44007.732719907406)</f>
        <v>44007.73272</v>
      </c>
      <c r="X13" s="5" t="str">
        <f>IFERROR(__xludf.DUMMYFUNCTION("""COMPUTED_VALUE"""),"Bellerin need fi guh model a lef man club Kmt. How many times has Bellerin lost the ball this half ffs. Bellerin has been awful this half I must say! Eddie Nketiah scored away against Burnley. Went on loan for half a season and came back and scored an awa"&amp;"y goal before Lacazette.")</f>
        <v>Bellerin need fi guh model a lef man club Kmt. How many times has Bellerin lost the ball this half ffs. Bellerin has been awful this half I must say! Eddie Nketiah scored away against Burnley. Went on loan for half a season and came back and scored an away goal before Lacazette.</v>
      </c>
      <c r="Y13" s="39" t="s">
        <v>18</v>
      </c>
      <c r="Z13" s="40">
        <f>IFERROR(__xludf.DUMMYFUNCTION("""COMPUTED_VALUE"""),44007.78388888889)</f>
        <v>44007.78389</v>
      </c>
      <c r="AA13" s="5" t="str">
        <f>IFERROR(__xludf.DUMMYFUNCTION("""COMPUTED_VALUE"""),"Willock saving me from ending it all! Mc Arthur is out there saving arsenal fan lives. Black Excellence saving Arsenal once again. Finally bellerin can save the planet 😂. 3000 trees. Arsenal saving the earth. Bellerin time to save the world. God save Ars"&amp;"enal.")</f>
        <v>Willock saving me from ending it all! Mc Arthur is out there saving arsenal fan lives. Black Excellence saving Arsenal once again. Finally bellerin can save the planet 😂. 3000 trees. Arsenal saving the earth. Bellerin time to save the world. God save Arsenal.</v>
      </c>
      <c r="AB13" s="39" t="s">
        <v>15</v>
      </c>
      <c r="AC13" s="40">
        <f>IFERROR(__xludf.DUMMYFUNCTION("""COMPUTED_VALUE"""),44007.766076388885)</f>
        <v>44007.76608</v>
      </c>
      <c r="AD13" s="5" t="str">
        <f>IFERROR(__xludf.DUMMYFUNCTION("""COMPUTED_VALUE"""),"Willock ffssssss. Willock ffs we're asking to lose. Joe Willock? Ffs. Ffs Mikel why Willock. What will willock do in this match ffs. Why is Willock coming on ffs. Pepe for willock this arteta dude is frauding a living. Oh ffs why is Willock playing so muc"&amp;"h. Willock on again ffs.")</f>
        <v>Willock ffssssss. Willock ffs we're asking to lose. Joe Willock? Ffs. Ffs Mikel why Willock. What will willock do in this match ffs. Why is Willock coming on ffs. Pepe for willock this arteta dude is frauding a living. Oh ffs why is Willock playing so much. Willock on again ffs.</v>
      </c>
      <c r="AE13" s="39" t="s">
        <v>17</v>
      </c>
      <c r="AF13" s="40">
        <f>IFERROR(__xludf.DUMMYFUNCTION("""COMPUTED_VALUE"""),44007.78238425926)</f>
        <v>44007.78238</v>
      </c>
      <c r="AG13" s="5" t="str">
        <f>IFERROR(__xludf.DUMMYFUNCTION("""COMPUTED_VALUE"""),"Very good shot from Lacazette to get that rebound for Willock. WILLOCK YOU LOVELY MANNNN. that laca shot. 🤤. Willock dey net where Auba dey ffs. Willock! 2-0!. Willock gets a goal as he tends to do at times.. Reacted well to Lacazette’s shot to secure th"&amp;"e deal.")</f>
        <v>Very good shot from Lacazette to get that rebound for Willock. WILLOCK YOU LOVELY MANNNN. that laca shot. 🤤. Willock dey net where Auba dey ffs. Willock! 2-0!. Willock gets a goal as he tends to do at times.. Reacted well to Lacazette’s shot to secure the deal.</v>
      </c>
      <c r="AH13" s="39" t="s">
        <v>17</v>
      </c>
      <c r="AK13" s="5"/>
      <c r="AL13" s="40"/>
      <c r="AM13" s="5"/>
      <c r="AN13" s="5"/>
      <c r="AO13" s="40"/>
      <c r="AP13" s="5"/>
      <c r="AQ13" s="5"/>
      <c r="AR13" s="40"/>
      <c r="AS13" s="5"/>
      <c r="AT13" s="5"/>
      <c r="AU13" s="40"/>
      <c r="AV13" s="5"/>
      <c r="AW13" s="5"/>
      <c r="AX13" s="40"/>
      <c r="AY13" s="5"/>
      <c r="AZ13" s="5"/>
      <c r="BA13" s="40"/>
      <c r="BB13" s="5"/>
      <c r="BC13" s="5"/>
      <c r="BD13" s="40"/>
      <c r="BE13" s="5"/>
      <c r="BF13" s="5"/>
      <c r="BG13" s="40"/>
      <c r="BH13" s="5"/>
      <c r="BI13" s="5"/>
      <c r="BJ13" s="40"/>
      <c r="BK13" s="5"/>
      <c r="BL13" s="5"/>
      <c r="BM13" s="40"/>
      <c r="BN13" s="5"/>
      <c r="BO13" s="5"/>
      <c r="BP13" s="40"/>
      <c r="BQ13" s="5"/>
      <c r="BR13" s="5"/>
      <c r="BS13" s="40"/>
      <c r="BT13" s="5"/>
      <c r="BU13" s="5"/>
      <c r="BV13" s="40"/>
      <c r="BW13" s="5"/>
      <c r="BX13" s="5"/>
      <c r="BY13" s="40"/>
      <c r="BZ13" s="5"/>
      <c r="CA13" s="5"/>
      <c r="CB13" s="40"/>
      <c r="CC13" s="5"/>
      <c r="CD13" s="5"/>
      <c r="CE13" s="40"/>
      <c r="CF13" s="5"/>
      <c r="CG13" s="5"/>
      <c r="CH13" s="40"/>
      <c r="CI13" s="5"/>
      <c r="CJ13" s="5"/>
      <c r="CK13" s="40"/>
      <c r="CL13" s="5"/>
      <c r="CM13" s="5"/>
      <c r="CN13" s="40"/>
      <c r="CO13" s="5"/>
      <c r="CP13" s="5"/>
      <c r="CQ13" s="40"/>
      <c r="CR13" s="5"/>
      <c r="CS13" s="5"/>
      <c r="CT13" s="5"/>
      <c r="CU13" s="5"/>
      <c r="CV13" s="5"/>
      <c r="CW13" s="5"/>
      <c r="CX13" s="5"/>
      <c r="CY13" s="5"/>
      <c r="CZ13" s="5"/>
      <c r="DA13" s="5"/>
      <c r="DB13" s="5"/>
      <c r="DC13" s="5"/>
      <c r="DD13" s="5"/>
      <c r="DE13" s="5"/>
      <c r="DF13" s="5"/>
    </row>
    <row r="14">
      <c r="A14" s="19" t="s">
        <v>18</v>
      </c>
      <c r="B14" s="19" t="s">
        <v>40</v>
      </c>
      <c r="C14" s="30">
        <f>IFERROR(__xludf.DUMMYFUNCTION("SUM(FILTER($E7:DF7, (COLUMN($E7:DF7)) / 3 = ROUND((COLUMN($E7:DF7)) / 3), NOT(ISERROR($E7:DF7))))"),20.0)</f>
        <v>20</v>
      </c>
      <c r="D14" s="26">
        <f t="shared" si="63"/>
        <v>0.3125</v>
      </c>
      <c r="E14" s="40">
        <f>IFERROR(__xludf.DUMMYFUNCTION("""COMPUTED_VALUE"""),44007.77701388889)</f>
        <v>44007.77701</v>
      </c>
      <c r="F14" s="5" t="str">
        <f>IFERROR(__xludf.DUMMYFUNCTION("""COMPUTED_VALUE"""),"We're waiting to concede before we make subs or have we subbed? Apart from Tierney? Won't be Arsenal if we were to concede then concede the way we scored. How hasn’t arsenal conceded ? 😶. Tierney goes off, Arsenal nearly concede. That is the goal Southam"&amp;"pton conceded? My goodness.")</f>
        <v>We're waiting to concede before we make subs or have we subbed? Apart from Tierney? Won't be Arsenal if we were to concede then concede the way we scored. How hasn’t arsenal conceded ? 😶. Tierney goes off, Arsenal nearly concede. That is the goal Southampton conceded? My goodness.</v>
      </c>
      <c r="G14" s="39" t="s">
        <v>17</v>
      </c>
      <c r="H14" s="40">
        <f>IFERROR(__xludf.DUMMYFUNCTION("""COMPUTED_VALUE"""),44007.72311342593)</f>
        <v>44007.72311</v>
      </c>
      <c r="I14" s="5" t="str">
        <f>IFERROR(__xludf.DUMMYFUNCTION("""COMPUTED_VALUE"""),"Lmaooo where was McCarthy passing to. McCarthy gets caught on the ball, Nketiah blocks his clearance and taps into an empty net. 1-0 to the Arsenal. Alex McCarthy appreciation tweet! 👏. The most vital of touches from Alex McCarthy to deny Aubameyang!.")</f>
        <v>Lmaooo where was McCarthy passing to. McCarthy gets caught on the ball, Nketiah blocks his clearance and taps into an empty net. 1-0 to the Arsenal. Alex McCarthy appreciation tweet! 👏. The most vital of touches from Alex McCarthy to deny Aubameyang!.</v>
      </c>
      <c r="J14" s="39" t="s">
        <v>17</v>
      </c>
      <c r="M14" s="5"/>
      <c r="P14" s="5"/>
      <c r="Q14" s="40">
        <f>IFERROR(__xludf.DUMMYFUNCTION("""COMPUTED_VALUE"""),44007.725810185184)</f>
        <v>44007.72581</v>
      </c>
      <c r="R14" s="5" t="str">
        <f>IFERROR(__xludf.DUMMYFUNCTION("""COMPUTED_VALUE"""),"AMN needs to grow up take this Bellerin guys place. Bellerin is half the player he was pre-injury. And a full time woke activist. Shame. Bellerin is one finished player. When there’s a defensive howler in the Arsenal game but it isn’t made by an Arsenal p"&amp;"layer.")</f>
        <v>AMN needs to grow up take this Bellerin guys place. Bellerin is half the player he was pre-injury. And a full time woke activist. Shame. Bellerin is one finished player. When there’s a defensive howler in the Arsenal game but it isn’t made by an Arsenal player.</v>
      </c>
      <c r="S14" s="39" t="s">
        <v>16</v>
      </c>
      <c r="T14" s="40">
        <f>IFERROR(__xludf.DUMMYFUNCTION("""COMPUTED_VALUE"""),44007.72578703704)</f>
        <v>44007.72579</v>
      </c>
      <c r="U14" s="5" t="str">
        <f>IFERROR(__xludf.DUMMYFUNCTION("""COMPUTED_VALUE"""),"Ole looking for Arsenal in the Premier League. Arsenal is leading.... Possibly winning this. 😎😎😎. Bellerin is an atrocious footballer. Bellerin is the worst right back in the league. Let’s call a spade a spade guys, since football restarted, Bellerin h"&amp;"as been straight trash.")</f>
        <v>Ole looking for Arsenal in the Premier League. Arsenal is leading.... Possibly winning this. 😎😎😎. Bellerin is an atrocious footballer. Bellerin is the worst right back in the league. Let’s call a spade a spade guys, since football restarted, Bellerin has been straight trash.</v>
      </c>
      <c r="V14" s="39" t="s">
        <v>18</v>
      </c>
      <c r="W14" s="40">
        <f>IFERROR(__xludf.DUMMYFUNCTION("""COMPUTED_VALUE"""),44007.73983796296)</f>
        <v>44007.73984</v>
      </c>
      <c r="X14" s="5" t="str">
        <f>IFERROR(__xludf.DUMMYFUNCTION("""COMPUTED_VALUE"""),"Saka has pocketed Valery this whole half. What a player! Would love to see Ozil on to start the second half. Its half time already, and Arsenal lead by 1 goal to nil. Arsenal need a midfielder who can get on the ball in the opposition half and make things"&amp;" happen.")</f>
        <v>Saka has pocketed Valery this whole half. What a player! Would love to see Ozil on to start the second half. Its half time already, and Arsenal lead by 1 goal to nil. Arsenal need a midfielder who can get on the ball in the opposition half and make things happen.</v>
      </c>
      <c r="Y14" s="39" t="s">
        <v>17</v>
      </c>
      <c r="AB14" s="5"/>
      <c r="AC14" s="40">
        <f>IFERROR(__xludf.DUMMYFUNCTION("""COMPUTED_VALUE"""),44007.77657407407)</f>
        <v>44007.77657</v>
      </c>
      <c r="AD14" s="5" t="str">
        <f>IFERROR(__xludf.DUMMYFUNCTION("""COMPUTED_VALUE"""),"Brilliant save from Martinez to deny Long. Arsenal living dangerously now. 15 minutes to go.")</f>
        <v>Brilliant save from Martinez to deny Long. Arsenal living dangerously now. 15 minutes to go.</v>
      </c>
      <c r="AE14" s="39" t="s">
        <v>18</v>
      </c>
      <c r="AH14" s="5"/>
      <c r="AK14" s="5"/>
      <c r="AL14" s="40"/>
      <c r="AM14" s="5"/>
      <c r="AN14" s="5"/>
      <c r="AO14" s="40"/>
      <c r="AP14" s="5"/>
      <c r="AQ14" s="5"/>
      <c r="AR14" s="40"/>
      <c r="AS14" s="5"/>
      <c r="AT14" s="5"/>
      <c r="AU14" s="40"/>
      <c r="AV14" s="5"/>
      <c r="AW14" s="5"/>
      <c r="AX14" s="40"/>
      <c r="AY14" s="5"/>
      <c r="AZ14" s="5"/>
      <c r="BA14" s="40"/>
      <c r="BB14" s="5"/>
      <c r="BC14" s="5"/>
      <c r="BD14" s="40"/>
      <c r="BE14" s="5"/>
      <c r="BF14" s="5"/>
      <c r="BG14" s="40"/>
      <c r="BH14" s="5"/>
      <c r="BI14" s="5"/>
      <c r="BJ14" s="40"/>
      <c r="BK14" s="5"/>
      <c r="BL14" s="5"/>
      <c r="BM14" s="40"/>
      <c r="BN14" s="5"/>
      <c r="BO14" s="5"/>
      <c r="BP14" s="40"/>
      <c r="BQ14" s="5"/>
      <c r="BR14" s="5"/>
      <c r="BS14" s="40"/>
      <c r="BT14" s="5"/>
      <c r="BU14" s="5"/>
      <c r="BV14" s="40"/>
      <c r="BW14" s="5"/>
      <c r="BX14" s="5"/>
      <c r="BY14" s="40"/>
      <c r="BZ14" s="5"/>
      <c r="CA14" s="5"/>
      <c r="CB14" s="40"/>
      <c r="CC14" s="5"/>
      <c r="CD14" s="5"/>
      <c r="CE14" s="40"/>
      <c r="CF14" s="5"/>
      <c r="CG14" s="5"/>
      <c r="CH14" s="40"/>
      <c r="CI14" s="5"/>
      <c r="CJ14" s="5"/>
      <c r="CK14" s="40"/>
      <c r="CL14" s="5"/>
      <c r="CM14" s="5"/>
      <c r="CN14" s="40"/>
      <c r="CO14" s="5"/>
      <c r="CP14" s="5"/>
      <c r="CQ14" s="40"/>
      <c r="CR14" s="5"/>
      <c r="CS14" s="5"/>
      <c r="CT14" s="5"/>
      <c r="CU14" s="5"/>
      <c r="CV14" s="5"/>
      <c r="CW14" s="5"/>
      <c r="CX14" s="5"/>
      <c r="CY14" s="5"/>
      <c r="CZ14" s="5"/>
      <c r="DA14" s="5"/>
      <c r="DB14" s="5"/>
      <c r="DC14" s="5"/>
      <c r="DD14" s="5"/>
      <c r="DE14" s="5"/>
      <c r="DF14" s="5"/>
    </row>
    <row r="15">
      <c r="A15" s="19"/>
      <c r="B15" s="14" t="s">
        <v>41</v>
      </c>
      <c r="C15" s="31">
        <f t="shared" ref="C15:D15" si="64">SUM(C10:C14)</f>
        <v>64</v>
      </c>
      <c r="D15" s="26">
        <f t="shared" si="64"/>
        <v>1</v>
      </c>
      <c r="E15" s="40">
        <f>IFERROR(__xludf.DUMMYFUNCTION("""COMPUTED_VALUE"""),44007.781793981485)</f>
        <v>44007.78179</v>
      </c>
      <c r="F15" s="5" t="str">
        <f>IFERROR(__xludf.DUMMYFUNCTION("""COMPUTED_VALUE"""),"I was gonna say willock has been shit.... he really was until he scored. Eddie Willock as our goal scorers 🤟👏 love it 💪. Willock! 2-0!. Willock gets a goal as he tends to do at times.. Reacted well to Lacazette’s shot to secure the deal.")</f>
        <v>I was gonna say willock has been shit.... he really was until he scored. Eddie Willock as our goal scorers 🤟👏 love it 💪. Willock! 2-0!. Willock gets a goal as he tends to do at times.. Reacted well to Lacazette’s shot to secure the deal.</v>
      </c>
      <c r="G15" s="39" t="s">
        <v>17</v>
      </c>
      <c r="H15" s="40">
        <f>IFERROR(__xludf.DUMMYFUNCTION("""COMPUTED_VALUE"""),44007.72599537037)</f>
        <v>44007.726</v>
      </c>
      <c r="I15" s="5" t="str">
        <f>IFERROR(__xludf.DUMMYFUNCTION("""COMPUTED_VALUE"""),"Bellerin can’t seem to kick a ball these days. Bellerin has been so wasteful on the ball so far. Dear God ! The fuck has happened to Bellerin ?! Need to take him off. Not even 25 mins, already given the ball away 50 times. Does Bellerin know he can pass i"&amp;"t to Pepe if he wants?")</f>
        <v>Bellerin can’t seem to kick a ball these days. Bellerin has been so wasteful on the ball so far. Dear God ! The fuck has happened to Bellerin ?! Need to take him off. Not even 25 mins, already given the ball away 50 times. Does Bellerin know he can pass it to Pepe if he wants?</v>
      </c>
      <c r="J15" s="39" t="s">
        <v>18</v>
      </c>
      <c r="M15" s="5"/>
      <c r="P15" s="5"/>
      <c r="Q15" s="40">
        <f>IFERROR(__xludf.DUMMYFUNCTION("""COMPUTED_VALUE"""),44007.74408564815)</f>
        <v>44007.74409</v>
      </c>
      <c r="R15" s="5" t="str">
        <f>IFERROR(__xludf.DUMMYFUNCTION("""COMPUTED_VALUE"""),"I know Bellerin is taking the stick for his passes or rather the lack of them but he's been solid defensively. Take obafemi off. Take falery off. Djenepo and kwp on please. Or kiss this game goodbye. Southampton keeper on the take? Seems as such.")</f>
        <v>I know Bellerin is taking the stick for his passes or rather the lack of them but he's been solid defensively. Take obafemi off. Take falery off. Djenepo and kwp on please. Or kiss this game goodbye. Southampton keeper on the take? Seems as such.</v>
      </c>
      <c r="S15" s="39" t="s">
        <v>16</v>
      </c>
      <c r="T15" s="40">
        <f>IFERROR(__xludf.DUMMYFUNCTION("""COMPUTED_VALUE"""),44007.7268287037)</f>
        <v>44007.72683</v>
      </c>
      <c r="U15" s="5" t="str">
        <f>IFERROR(__xludf.DUMMYFUNCTION("""COMPUTED_VALUE"""),"Arsenal need to win this.., their fans have suffered enough! Eddie Nketiah with more away Premier League goals this evening than Lacazette has this season. Only Martin Dúbravka (5) has committed more errors leading to goals in the Premier League this seas"&amp;"on than Alex McCarthy (3).")</f>
        <v>Arsenal need to win this.., their fans have suffered enough! Eddie Nketiah with more away Premier League goals this evening than Lacazette has this season. Only Martin Dúbravka (5) has committed more errors leading to goals in the Premier League this season than Alex McCarthy (3).</v>
      </c>
      <c r="V15" s="39" t="s">
        <v>18</v>
      </c>
      <c r="W15" s="40">
        <f>IFERROR(__xludf.DUMMYFUNCTION("""COMPUTED_VALUE"""),44007.74177083334)</f>
        <v>44007.74177</v>
      </c>
      <c r="X15" s="5" t="str">
        <f>IFERROR(__xludf.DUMMYFUNCTION("""COMPUTED_VALUE"""),"Nketiah big chance! A second goal and I will be confident. Nketiah needs to explain himself. The fuck was that? This Nketiah boy needs Vaseline. Poor miss there, Nketiah you need to do better than that. Eddie Nketiah has justified his starting shirt this "&amp;"first half.")</f>
        <v>Nketiah big chance! A second goal and I will be confident. Nketiah needs to explain himself. The fuck was that? This Nketiah boy needs Vaseline. Poor miss there, Nketiah you need to do better than that. Eddie Nketiah has justified his starting shirt this first half.</v>
      </c>
      <c r="Y15" s="39" t="s">
        <v>14</v>
      </c>
      <c r="AB15" s="5"/>
      <c r="AC15" s="40">
        <f>IFERROR(__xludf.DUMMYFUNCTION("""COMPUTED_VALUE"""),44007.782071759255)</f>
        <v>44007.78207</v>
      </c>
      <c r="AD15" s="5" t="str">
        <f>IFERROR(__xludf.DUMMYFUNCTION("""COMPUTED_VALUE"""),"GOOOOOOOOOOLLLLLLLLLL! Southampton 0-2 Arsenal. (Willock 87’) #SOUARS. COME ON YOU GUNNERS 🟡🟡. Willock dey net where Auba dey ffs. Yesssss Willock. Shite free kick by Laca but he had a stinger off a rebound shot and Willock finishes it off. Or will he.."&amp;". offside?😅👀.")</f>
        <v>GOOOOOOOOOOLLLLLLLLLL! Southampton 0-2 Arsenal. (Willock 87’) #SOUARS. COME ON YOU GUNNERS 🟡🟡. Willock dey net where Auba dey ffs. Yesssss Willock. Shite free kick by Laca but he had a stinger off a rebound shot and Willock finishes it off. Or will he... offside?😅👀.</v>
      </c>
      <c r="AE15" s="39" t="s">
        <v>17</v>
      </c>
      <c r="AH15" s="5"/>
      <c r="AK15" s="5"/>
      <c r="AL15" s="40"/>
      <c r="AM15" s="5"/>
      <c r="AN15" s="5"/>
      <c r="AO15" s="40"/>
      <c r="AP15" s="5"/>
      <c r="AQ15" s="5"/>
      <c r="AR15" s="40"/>
      <c r="AS15" s="5"/>
      <c r="AT15" s="5"/>
      <c r="AU15" s="40"/>
      <c r="AV15" s="5"/>
      <c r="AW15" s="5"/>
      <c r="AX15" s="40"/>
      <c r="AY15" s="5"/>
      <c r="AZ15" s="5"/>
      <c r="BA15" s="40"/>
      <c r="BB15" s="5"/>
      <c r="BC15" s="5"/>
      <c r="BD15" s="40"/>
      <c r="BE15" s="5"/>
      <c r="BF15" s="5"/>
      <c r="BG15" s="40"/>
      <c r="BH15" s="5"/>
      <c r="BI15" s="5"/>
      <c r="BJ15" s="40"/>
      <c r="BK15" s="5"/>
      <c r="BL15" s="5"/>
      <c r="BM15" s="40"/>
      <c r="BN15" s="5"/>
      <c r="BO15" s="5"/>
      <c r="BP15" s="40"/>
      <c r="BQ15" s="5"/>
      <c r="BR15" s="5"/>
      <c r="BS15" s="40"/>
      <c r="BT15" s="5"/>
      <c r="BU15" s="5"/>
      <c r="BV15" s="40"/>
      <c r="BW15" s="5"/>
      <c r="BX15" s="5"/>
      <c r="BY15" s="40"/>
      <c r="BZ15" s="5"/>
      <c r="CA15" s="5"/>
      <c r="CB15" s="40"/>
      <c r="CC15" s="5"/>
      <c r="CD15" s="5"/>
      <c r="CE15" s="40"/>
      <c r="CF15" s="5"/>
      <c r="CG15" s="5"/>
      <c r="CH15" s="40"/>
      <c r="CI15" s="5"/>
      <c r="CJ15" s="5"/>
      <c r="CK15" s="40"/>
      <c r="CL15" s="5"/>
      <c r="CM15" s="5"/>
      <c r="CN15" s="40"/>
      <c r="CO15" s="5"/>
      <c r="CP15" s="5"/>
      <c r="CQ15" s="40"/>
      <c r="CR15" s="5"/>
      <c r="CS15" s="5"/>
      <c r="CT15" s="5"/>
      <c r="CU15" s="5"/>
      <c r="CV15" s="5"/>
      <c r="CW15" s="5"/>
      <c r="CX15" s="5"/>
      <c r="CY15" s="5"/>
      <c r="CZ15" s="5"/>
      <c r="DA15" s="5"/>
      <c r="DB15" s="5"/>
      <c r="DC15" s="5"/>
      <c r="DD15" s="5"/>
      <c r="DE15" s="5"/>
      <c r="DF15" s="5"/>
    </row>
    <row r="16">
      <c r="A16" s="19"/>
      <c r="B16" s="32" t="s">
        <v>42</v>
      </c>
      <c r="D16" s="26">
        <f>IFERROR(__xludf.DUMMYFUNCTION("AVERAGE(FILTER($E8:DF8, (COLUMN($E8:DF8) - 1) / 3 = ROUND((COLUMN($E8:DF8) - 1) / 3), NOT(ISERROR($E8:DF8))))"),0.7428147609965792)</f>
        <v>0.742814761</v>
      </c>
      <c r="G16" s="5"/>
      <c r="H16" s="40">
        <f>IFERROR(__xludf.DUMMYFUNCTION("""COMPUTED_VALUE"""),44007.72790509259)</f>
        <v>44007.72791</v>
      </c>
      <c r="I16" s="5" t="str">
        <f>IFERROR(__xludf.DUMMYFUNCTION("""COMPUTED_VALUE"""),"Calm down Xhaka fan boys, he’s touched the ball twice. Has Pepe touched the ball yet? Err ings that touch was dirty. Has Pepe had a single touch? Alex McCarthy appreciation tweet! 👏. The most vital of touches from Alex McCarthy to deny Aubameyang!. That "&amp;"touch from Ings 😍.")</f>
        <v>Calm down Xhaka fan boys, he’s touched the ball twice. Has Pepe touched the ball yet? Err ings that touch was dirty. Has Pepe had a single touch? Alex McCarthy appreciation tweet! 👏. The most vital of touches from Alex McCarthy to deny Aubameyang!. That touch from Ings 😍.</v>
      </c>
      <c r="J16" s="39" t="s">
        <v>18</v>
      </c>
      <c r="M16" s="5"/>
      <c r="P16" s="5"/>
      <c r="Q16" s="40">
        <f>IFERROR(__xludf.DUMMYFUNCTION("""COMPUTED_VALUE"""),44007.7725)</f>
        <v>44007.7725</v>
      </c>
      <c r="R16" s="5" t="str">
        <f>IFERROR(__xludf.DUMMYFUNCTION("""COMPUTED_VALUE"""),"Really disappointed in Southampton here, this has been awful against an Arsenal team absolutely there for the taking. How this Willock take become a top flight footballer? Ozil is taking the piss out of Arsenal, my guy is just enjoying the weather 😂😂😂"&amp;".")</f>
        <v>Really disappointed in Southampton here, this has been awful against an Arsenal team absolutely there for the taking. How this Willock take become a top flight footballer? Ozil is taking the piss out of Arsenal, my guy is just enjoying the weather 😂😂😂😂.</v>
      </c>
      <c r="S16" s="39" t="s">
        <v>18</v>
      </c>
      <c r="T16" s="40">
        <f>IFERROR(__xludf.DUMMYFUNCTION("""COMPUTED_VALUE"""),44007.729722222226)</f>
        <v>44007.72972</v>
      </c>
      <c r="U16" s="5" t="str">
        <f>IFERROR(__xludf.DUMMYFUNCTION("""COMPUTED_VALUE"""),"Arsenal are winning and DT is still so fucking angry😭. Arsenal win? DT angry. Arsenal draw? DT angry. Arsenal lose? DT angry. Hotel? Trivago. Xhaka will finally get a proper midfield partner. Tears on his eyes!.")</f>
        <v>Arsenal are winning and DT is still so fucking angry😭. Arsenal win? DT angry. Arsenal draw? DT angry. Arsenal lose? DT angry. Hotel? Trivago. Xhaka will finally get a proper midfield partner. Tears on his eyes!.</v>
      </c>
      <c r="V16" s="39" t="s">
        <v>15</v>
      </c>
      <c r="W16" s="40">
        <f>IFERROR(__xludf.DUMMYFUNCTION("""COMPUTED_VALUE"""),44007.746087962965)</f>
        <v>44007.74609</v>
      </c>
      <c r="X16" s="5" t="str">
        <f>IFERROR(__xludf.DUMMYFUNCTION("""COMPUTED_VALUE"""),"We need a better RB to get more out of Pepe. Arteta needs to do something about Ballerin, both in this match and the long term. Bellerin turns like tractor guy is finished AMN needs to be 1st choice RB. Eddie Nketiah gives Arsenal a 1-0 lead going in to t"&amp;"he break 🔴.")</f>
        <v>We need a better RB to get more out of Pepe. Arteta needs to do something about Ballerin, both in this match and the long term. Bellerin turns like tractor guy is finished AMN needs to be 1st choice RB. Eddie Nketiah gives Arsenal a 1-0 lead going in to the break 🔴.</v>
      </c>
      <c r="Y16" s="39" t="s">
        <v>16</v>
      </c>
      <c r="AB16" s="5"/>
      <c r="AE16" s="5"/>
      <c r="AH16" s="5"/>
      <c r="AK16" s="5"/>
      <c r="AL16" s="40"/>
      <c r="AM16" s="5"/>
      <c r="AN16" s="5"/>
      <c r="AO16" s="40"/>
      <c r="AP16" s="5"/>
      <c r="AQ16" s="5"/>
      <c r="AR16" s="40"/>
      <c r="AS16" s="5"/>
      <c r="AT16" s="5"/>
      <c r="AU16" s="40"/>
      <c r="AV16" s="5"/>
      <c r="AW16" s="5"/>
      <c r="AX16" s="40"/>
      <c r="AY16" s="5"/>
      <c r="AZ16" s="5"/>
      <c r="BA16" s="40"/>
      <c r="BB16" s="5"/>
      <c r="BC16" s="5"/>
      <c r="BD16" s="40"/>
      <c r="BE16" s="5"/>
      <c r="BF16" s="5"/>
      <c r="BG16" s="40"/>
      <c r="BH16" s="5"/>
      <c r="BI16" s="5"/>
      <c r="BJ16" s="40"/>
      <c r="BK16" s="5"/>
      <c r="BL16" s="5"/>
      <c r="BM16" s="40"/>
      <c r="BN16" s="5"/>
      <c r="BO16" s="5"/>
      <c r="BP16" s="40"/>
      <c r="BQ16" s="5"/>
      <c r="BR16" s="5"/>
      <c r="BS16" s="40"/>
      <c r="BT16" s="5"/>
      <c r="BU16" s="5"/>
      <c r="BV16" s="40"/>
      <c r="BW16" s="5"/>
      <c r="BX16" s="5"/>
      <c r="BY16" s="40"/>
      <c r="BZ16" s="5"/>
      <c r="CA16" s="5"/>
      <c r="CB16" s="40"/>
      <c r="CC16" s="5"/>
      <c r="CD16" s="5"/>
      <c r="CE16" s="40"/>
      <c r="CF16" s="5"/>
      <c r="CG16" s="5"/>
      <c r="CH16" s="40"/>
      <c r="CI16" s="5"/>
      <c r="CJ16" s="5"/>
      <c r="CK16" s="40"/>
      <c r="CL16" s="5"/>
      <c r="CM16" s="5"/>
      <c r="CN16" s="40"/>
      <c r="CO16" s="5"/>
      <c r="CP16" s="5"/>
      <c r="CQ16" s="40"/>
      <c r="CR16" s="5"/>
      <c r="CS16" s="5"/>
      <c r="CT16" s="5"/>
      <c r="CU16" s="5"/>
      <c r="CV16" s="5"/>
      <c r="CW16" s="5"/>
      <c r="CX16" s="5"/>
      <c r="CY16" s="5"/>
      <c r="CZ16" s="5"/>
      <c r="DA16" s="5"/>
      <c r="DB16" s="5"/>
      <c r="DC16" s="5"/>
      <c r="DD16" s="5"/>
      <c r="DE16" s="5"/>
      <c r="DF16" s="5"/>
    </row>
    <row r="17">
      <c r="B17" s="1" t="s">
        <v>43</v>
      </c>
      <c r="D17" s="6">
        <f>SUM(D13:D14)</f>
        <v>0.75</v>
      </c>
      <c r="G17" s="5"/>
      <c r="H17" s="40">
        <f>IFERROR(__xludf.DUMMYFUNCTION("""COMPUTED_VALUE"""),44007.74474537037)</f>
        <v>44007.74475</v>
      </c>
      <c r="I17" s="5" t="str">
        <f>IFERROR(__xludf.DUMMYFUNCTION("""COMPUTED_VALUE"""),"We look much more cohesive with Xhaka in the midfield showing for the ball and popping it around. Important player despite his flaws.")</f>
        <v>We look much more cohesive with Xhaka in the midfield showing for the ball and popping it around. Important player despite his flaws.</v>
      </c>
      <c r="J17" s="39" t="s">
        <v>18</v>
      </c>
      <c r="M17" s="5"/>
      <c r="P17" s="5"/>
      <c r="Q17" s="40">
        <f>IFERROR(__xludf.DUMMYFUNCTION("""COMPUTED_VALUE"""),44007.78155092592)</f>
        <v>44007.78155</v>
      </c>
      <c r="R17" s="5" t="str">
        <f>IFERROR(__xludf.DUMMYFUNCTION("""COMPUTED_VALUE"""),"RED CARD! Jack Stephens has been sent off for being the last man and taking down Aubameyang. #SOUARS. Red One more player for Arsenal. A red card and it’s not a Arsenal player 😍. People that can still score this Arsenal team even if they have two player "&amp;"sent off 🙄.")</f>
        <v>RED CARD! Jack Stephens has been sent off for being the last man and taking down Aubameyang. #SOUARS. Red One more player for Arsenal. A red card and it’s not a Arsenal player 😍. People that can still score this Arsenal team even if they have two player sent off 🙄.</v>
      </c>
      <c r="S17" s="39" t="s">
        <v>17</v>
      </c>
      <c r="T17" s="40">
        <f>IFERROR(__xludf.DUMMYFUNCTION("""COMPUTED_VALUE"""),44007.73641203703)</f>
        <v>44007.73641</v>
      </c>
      <c r="U17" s="5" t="str">
        <f>IFERROR(__xludf.DUMMYFUNCTION("""COMPUTED_VALUE"""),"This is potentially the worst half of football I’ve ever seen bellerin play 💩. No wonder that Southampton have the worst home record in the league. Something about seeing arsenal win doesn’t seem right. Is Hector Bellerin the worst Right back in the Prem"&amp;"ier League ? #SOUARS.")</f>
        <v>This is potentially the worst half of football I’ve ever seen bellerin play 💩. No wonder that Southampton have the worst home record in the league. Something about seeing arsenal win doesn’t seem right. Is Hector Bellerin the worst Right back in the Premier League ? #SOUARS.</v>
      </c>
      <c r="V17" s="39" t="s">
        <v>16</v>
      </c>
      <c r="W17" s="40">
        <f>IFERROR(__xludf.DUMMYFUNCTION("""COMPUTED_VALUE"""),44007.753900462965)</f>
        <v>44007.7539</v>
      </c>
      <c r="X17" s="5" t="str">
        <f>IFERROR(__xludf.DUMMYFUNCTION("""COMPUTED_VALUE"""),"Sol Campbell “a second goal for Arsenal kills the game as a contest”. Shane Long coming on second half. Second half here we gooo #SOUARS. Second half underway. #Arsenal 1 - #Southampton 0. The Gunners need to see this one out. They need the points.")</f>
        <v>Sol Campbell “a second goal for Arsenal kills the game as a contest”. Shane Long coming on second half. Second half here we gooo #SOUARS. Second half underway. #Arsenal 1 - #Southampton 0. The Gunners need to see this one out. They need the points.</v>
      </c>
      <c r="Y17" s="39" t="s">
        <v>17</v>
      </c>
      <c r="AB17" s="5"/>
      <c r="AE17" s="5"/>
      <c r="AH17" s="5"/>
      <c r="AK17" s="5"/>
      <c r="AL17" s="40"/>
      <c r="AM17" s="5"/>
      <c r="AN17" s="5"/>
      <c r="AO17" s="40"/>
      <c r="AP17" s="5"/>
      <c r="AQ17" s="5"/>
      <c r="AR17" s="40"/>
      <c r="AS17" s="5"/>
      <c r="AT17" s="5"/>
      <c r="AU17" s="40"/>
      <c r="AV17" s="5"/>
      <c r="AW17" s="5"/>
      <c r="AX17" s="40"/>
      <c r="AY17" s="5"/>
      <c r="AZ17" s="5"/>
      <c r="BA17" s="40"/>
      <c r="BB17" s="5"/>
      <c r="BC17" s="5"/>
      <c r="BD17" s="40"/>
      <c r="BE17" s="5"/>
      <c r="BF17" s="5"/>
      <c r="BG17" s="40"/>
      <c r="BH17" s="5"/>
      <c r="BI17" s="5"/>
      <c r="BJ17" s="40"/>
      <c r="BK17" s="5"/>
      <c r="BL17" s="5"/>
      <c r="BM17" s="40"/>
      <c r="BN17" s="5"/>
      <c r="BO17" s="5"/>
      <c r="BP17" s="40"/>
      <c r="BQ17" s="5"/>
      <c r="BR17" s="5"/>
      <c r="BS17" s="40"/>
      <c r="BT17" s="5"/>
      <c r="BU17" s="5"/>
      <c r="BV17" s="40"/>
      <c r="BW17" s="5"/>
      <c r="BX17" s="5"/>
      <c r="BY17" s="40"/>
      <c r="BZ17" s="5"/>
      <c r="CA17" s="5"/>
      <c r="CB17" s="40"/>
      <c r="CC17" s="5"/>
      <c r="CD17" s="5"/>
      <c r="CE17" s="40"/>
      <c r="CF17" s="5"/>
      <c r="CG17" s="5"/>
      <c r="CH17" s="40"/>
      <c r="CI17" s="5"/>
      <c r="CJ17" s="5"/>
      <c r="CK17" s="40"/>
      <c r="CL17" s="5"/>
      <c r="CM17" s="5"/>
      <c r="CN17" s="40"/>
      <c r="CO17" s="5"/>
      <c r="CP17" s="5"/>
      <c r="CQ17" s="40"/>
      <c r="CR17" s="5"/>
      <c r="CS17" s="5"/>
      <c r="CT17" s="5"/>
      <c r="CU17" s="5"/>
      <c r="CV17" s="5"/>
      <c r="CW17" s="5"/>
      <c r="CX17" s="5"/>
      <c r="CY17" s="5"/>
      <c r="CZ17" s="5"/>
      <c r="DA17" s="5"/>
      <c r="DB17" s="5"/>
      <c r="DC17" s="5"/>
      <c r="DD17" s="5"/>
      <c r="DE17" s="5"/>
      <c r="DF17" s="5"/>
    </row>
    <row r="18">
      <c r="A18" s="14" t="s">
        <v>44</v>
      </c>
      <c r="B18" s="41" t="s">
        <v>675</v>
      </c>
      <c r="C18" s="33"/>
      <c r="D18" s="33"/>
      <c r="G18" s="5"/>
      <c r="H18" s="40">
        <f>IFERROR(__xludf.DUMMYFUNCTION("""COMPUTED_VALUE"""),44007.75976851852)</f>
        <v>44007.75977</v>
      </c>
      <c r="I18" s="5" t="str">
        <f>IFERROR(__xludf.DUMMYFUNCTION("""COMPUTED_VALUE"""),"Why is Aubameyang passing that. Insane touch from Aubameyang but that pass has to find a way 🤷‍♂️🤷‍♂️🤷‍♂️. What a touch that was from aubameyang. What a pass by Martinez and what a first touch by Auba. Shame that didn't end up at Nketiah's feet. What a"&amp;" ball by Martinez #SOUARS.")</f>
        <v>Why is Aubameyang passing that. Insane touch from Aubameyang but that pass has to find a way 🤷‍♂️🤷‍♂️🤷‍♂️. What a touch that was from aubameyang. What a pass by Martinez and what a first touch by Auba. Shame that didn't end up at Nketiah's feet. What a ball by Martinez #SOUARS.</v>
      </c>
      <c r="J18" s="39" t="s">
        <v>18</v>
      </c>
      <c r="M18" s="5"/>
      <c r="P18" s="5"/>
      <c r="S18" s="5"/>
      <c r="T18" s="40">
        <f>IFERROR(__xludf.DUMMYFUNCTION("""COMPUTED_VALUE"""),44007.74275462963)</f>
        <v>44007.74275</v>
      </c>
      <c r="U18" s="5" t="str">
        <f>IFERROR(__xludf.DUMMYFUNCTION("""COMPUTED_VALUE"""),"Half-time at St Marys Stadium Premier League Southampton FC 0-1 Arsenal. If Leeds started Nketiah and kept him for the season they would have won the league by now. Bamford is half the player. Dogshit half of football but we are ahead and I guess that is "&amp;"what matters. #SOUARS.")</f>
        <v>Half-time at St Marys Stadium Premier League Southampton FC 0-1 Arsenal. If Leeds started Nketiah and kept him for the season they would have won the league by now. Bamford is half the player. Dogshit half of football but we are ahead and I guess that is what matters. #SOUARS.</v>
      </c>
      <c r="V18" s="39" t="s">
        <v>17</v>
      </c>
      <c r="W18" s="40">
        <f>IFERROR(__xludf.DUMMYFUNCTION("""COMPUTED_VALUE"""),44007.7652662037)</f>
        <v>44007.76527</v>
      </c>
      <c r="X18" s="5" t="str">
        <f>IFERROR(__xludf.DUMMYFUNCTION("""COMPUTED_VALUE"""),"Arsenal are leading Southampton 🙆‍♂️. #SOUARS willock is the worst sub to come on now. Why’s he bringing on Willock when we need a fucking goal. Willock isn’t a bad sub tbh. But for who. Willock not Ozil? Omg man, Arteta needs to let go of that ego kmt.")</f>
        <v>Arsenal are leading Southampton 🙆‍♂️. #SOUARS willock is the worst sub to come on now. Why’s he bringing on Willock when we need a fucking goal. Willock isn’t a bad sub tbh. But for who. Willock not Ozil? Omg man, Arteta needs to let go of that ego kmt.</v>
      </c>
      <c r="Y18" s="39" t="s">
        <v>17</v>
      </c>
      <c r="AB18" s="5"/>
      <c r="AE18" s="5"/>
      <c r="AH18" s="5"/>
      <c r="AK18" s="5"/>
      <c r="AL18" s="40"/>
      <c r="AM18" s="5"/>
      <c r="AN18" s="5"/>
      <c r="AO18" s="40"/>
      <c r="AP18" s="5"/>
      <c r="AQ18" s="5"/>
      <c r="AR18" s="40"/>
      <c r="AS18" s="5"/>
      <c r="AT18" s="5"/>
      <c r="AU18" s="40"/>
      <c r="AV18" s="5"/>
      <c r="AW18" s="5"/>
      <c r="AX18" s="40"/>
      <c r="AY18" s="5"/>
      <c r="AZ18" s="5"/>
      <c r="BA18" s="40"/>
      <c r="BB18" s="5"/>
      <c r="BC18" s="5"/>
      <c r="BD18" s="40"/>
      <c r="BE18" s="5"/>
      <c r="BF18" s="5"/>
      <c r="BG18" s="40"/>
      <c r="BH18" s="5"/>
      <c r="BI18" s="5"/>
      <c r="BJ18" s="40"/>
      <c r="BK18" s="5"/>
      <c r="BL18" s="5"/>
      <c r="BM18" s="40"/>
      <c r="BN18" s="5"/>
      <c r="BO18" s="5"/>
      <c r="BP18" s="40"/>
      <c r="BQ18" s="5"/>
      <c r="BR18" s="5"/>
      <c r="BS18" s="40"/>
      <c r="BT18" s="5"/>
      <c r="BU18" s="5"/>
      <c r="BV18" s="40"/>
      <c r="BW18" s="5"/>
      <c r="BX18" s="5"/>
      <c r="BY18" s="40"/>
      <c r="BZ18" s="5"/>
      <c r="CA18" s="5"/>
      <c r="CB18" s="40"/>
      <c r="CC18" s="5"/>
      <c r="CD18" s="5"/>
      <c r="CE18" s="40"/>
      <c r="CF18" s="5"/>
      <c r="CG18" s="5"/>
      <c r="CH18" s="40"/>
      <c r="CI18" s="5"/>
      <c r="CJ18" s="5"/>
      <c r="CK18" s="40"/>
      <c r="CL18" s="5"/>
      <c r="CM18" s="5"/>
      <c r="CN18" s="40"/>
      <c r="CO18" s="5"/>
      <c r="CP18" s="5"/>
      <c r="CQ18" s="40"/>
      <c r="CR18" s="5"/>
      <c r="CS18" s="5"/>
      <c r="CT18" s="5"/>
      <c r="CU18" s="5"/>
      <c r="CV18" s="5"/>
      <c r="CW18" s="5"/>
      <c r="CX18" s="5"/>
      <c r="CY18" s="5"/>
      <c r="CZ18" s="5"/>
      <c r="DA18" s="5"/>
      <c r="DB18" s="5"/>
      <c r="DC18" s="5"/>
      <c r="DD18" s="5"/>
      <c r="DE18" s="5"/>
      <c r="DF18" s="5"/>
    </row>
    <row r="19">
      <c r="A19" s="14" t="s">
        <v>46</v>
      </c>
      <c r="C19" s="14" t="s">
        <v>34</v>
      </c>
      <c r="D19" s="14" t="s">
        <v>35</v>
      </c>
      <c r="G19" s="5"/>
      <c r="H19" s="40">
        <f>IFERROR(__xludf.DUMMYFUNCTION("""COMPUTED_VALUE"""),44007.762291666666)</f>
        <v>44007.76229</v>
      </c>
      <c r="I19" s="5" t="str">
        <f>IFERROR(__xludf.DUMMYFUNCTION("""COMPUTED_VALUE"""),"Alan Smith on Emi Martinez’s pass to Aubameyang: “Ederson at Man City would’ve been pleased with that.” [Sky] #afc.")</f>
        <v>Alan Smith on Emi Martinez’s pass to Aubameyang: “Ederson at Man City would’ve been pleased with that.” [Sky] #afc.</v>
      </c>
      <c r="J19" s="39" t="s">
        <v>18</v>
      </c>
      <c r="M19" s="5"/>
      <c r="P19" s="5"/>
      <c r="S19" s="5"/>
      <c r="T19" s="40">
        <f>IFERROR(__xludf.DUMMYFUNCTION("""COMPUTED_VALUE"""),44007.77084490741)</f>
        <v>44007.77084</v>
      </c>
      <c r="U19" s="5" t="str">
        <f>IFERROR(__xludf.DUMMYFUNCTION("""COMPUTED_VALUE"""),"Tierney gets hurt more than my feelings. #SOUARS Premier League. Liverpool want Chelsea to win or draw. Man u want Chelsea to lose.. Arsenal are just confuse. Come on Chelsea 💙💙. Watching Arsenal play football is 2020 summed up. If Tierney is injured ag"&amp;"ain, I’m done with football.")</f>
        <v>Tierney gets hurt more than my feelings. #SOUARS Premier League. Liverpool want Chelsea to win or draw. Man u want Chelsea to lose.. Arsenal are just confuse. Come on Chelsea 💙💙. Watching Arsenal play football is 2020 summed up. If Tierney is injured again, I’m done with football.</v>
      </c>
      <c r="V19" s="39" t="s">
        <v>15</v>
      </c>
      <c r="W19" s="40">
        <f>IFERROR(__xludf.DUMMYFUNCTION("""COMPUTED_VALUE"""),44007.771875)</f>
        <v>44007.77188</v>
      </c>
      <c r="X19" s="5" t="str">
        <f>IFERROR(__xludf.DUMMYFUNCTION("""COMPUTED_VALUE"""),"A second sub now as KT leaves the pitch... ↩️ Kieran Tierney. 🔛 Sead Kolašinac. #SOUARS 🔴⚪️ 0-1 🟡🟡 (70).")</f>
        <v>A second sub now as KT leaves the pitch... ↩️ Kieran Tierney. 🔛 Sead Kolašinac. #SOUARS 🔴⚪️ 0-1 🟡🟡 (70).</v>
      </c>
      <c r="Y19" s="39" t="s">
        <v>17</v>
      </c>
      <c r="AB19" s="5"/>
      <c r="AE19" s="5"/>
      <c r="AH19" s="5"/>
      <c r="AK19" s="5"/>
      <c r="AL19" s="40"/>
      <c r="AM19" s="5"/>
      <c r="AN19" s="5"/>
      <c r="AO19" s="40"/>
      <c r="AP19" s="5"/>
      <c r="AQ19" s="5"/>
      <c r="AR19" s="40"/>
      <c r="AS19" s="5"/>
      <c r="AT19" s="5"/>
      <c r="AU19" s="40"/>
      <c r="AV19" s="5"/>
      <c r="AW19" s="5"/>
      <c r="AX19" s="40"/>
      <c r="AY19" s="5"/>
      <c r="AZ19" s="5"/>
      <c r="BA19" s="40"/>
      <c r="BB19" s="5"/>
      <c r="BC19" s="5"/>
      <c r="BD19" s="40"/>
      <c r="BE19" s="5"/>
      <c r="BF19" s="5"/>
      <c r="BG19" s="40"/>
      <c r="BH19" s="5"/>
      <c r="BI19" s="5"/>
      <c r="BJ19" s="40"/>
      <c r="BK19" s="5"/>
      <c r="BL19" s="5"/>
      <c r="BM19" s="40"/>
      <c r="BN19" s="5"/>
      <c r="BO19" s="5"/>
      <c r="BP19" s="40"/>
      <c r="BQ19" s="5"/>
      <c r="BR19" s="5"/>
      <c r="BS19" s="40"/>
      <c r="BT19" s="5"/>
      <c r="BU19" s="5"/>
      <c r="BV19" s="40"/>
      <c r="BW19" s="5"/>
      <c r="BX19" s="5"/>
      <c r="BY19" s="40"/>
      <c r="BZ19" s="5"/>
      <c r="CA19" s="5"/>
      <c r="CB19" s="40"/>
      <c r="CC19" s="5"/>
      <c r="CD19" s="5"/>
      <c r="CE19" s="40"/>
      <c r="CF19" s="5"/>
      <c r="CG19" s="5"/>
      <c r="CH19" s="40"/>
      <c r="CI19" s="5"/>
      <c r="CJ19" s="5"/>
      <c r="CK19" s="40"/>
      <c r="CL19" s="5"/>
      <c r="CM19" s="5"/>
      <c r="CN19" s="40"/>
      <c r="CO19" s="5"/>
      <c r="CP19" s="5"/>
      <c r="CQ19" s="40"/>
      <c r="CR19" s="5"/>
      <c r="CS19" s="5"/>
      <c r="CT19" s="5"/>
      <c r="CU19" s="5"/>
      <c r="CV19" s="5"/>
      <c r="CW19" s="5"/>
      <c r="CX19" s="5"/>
      <c r="CY19" s="5"/>
      <c r="CZ19" s="5"/>
      <c r="DA19" s="5"/>
      <c r="DB19" s="5"/>
      <c r="DC19" s="5"/>
      <c r="DD19" s="5"/>
      <c r="DE19" s="5"/>
      <c r="DF19" s="5"/>
    </row>
    <row r="20">
      <c r="A20" s="19" t="s">
        <v>47</v>
      </c>
      <c r="B20" s="19" t="s">
        <v>48</v>
      </c>
      <c r="C20" s="21">
        <f t="shared" ref="C20:C23" si="65">COUNTIF($A$26:$A1007, A20)</f>
        <v>3</v>
      </c>
      <c r="D20" s="26">
        <f>IFERROR(__xludf.DUMMYFUNCTION("IF(C20, COUNTIF(FILTER($D$26:$D1007, $A$26:$A1007=A20), TRUE)/C20, 0)"),1.0)</f>
        <v>1</v>
      </c>
      <c r="G20" s="5"/>
      <c r="H20" s="40">
        <f>IFERROR(__xludf.DUMMYFUNCTION("""COMPUTED_VALUE"""),44007.77927083333)</f>
        <v>44007.77927</v>
      </c>
      <c r="I20" s="5" t="str">
        <f>IFERROR(__xludf.DUMMYFUNCTION("""COMPUTED_VALUE"""),"What a pass by xhaka😷. Alan Smith on Martinez’s brilliant pass to Aubameyang: “Ederson at Man City would’ve been pleased with that.” #afc. Just when I was thinking Xhaka had changed our midfield he makes a horrific pass that kills our attack. Sums him up"&amp;" really.")</f>
        <v>What a pass by xhaka😷. Alan Smith on Martinez’s brilliant pass to Aubameyang: “Ederson at Man City would’ve been pleased with that.” #afc. Just when I was thinking Xhaka had changed our midfield he makes a horrific pass that kills our attack. Sums him up really.</v>
      </c>
      <c r="J20" s="39" t="s">
        <v>18</v>
      </c>
      <c r="M20" s="5"/>
      <c r="P20" s="5"/>
      <c r="S20" s="5"/>
      <c r="T20" s="40">
        <f>IFERROR(__xludf.DUMMYFUNCTION("""COMPUTED_VALUE"""),44007.77267361111)</f>
        <v>44007.77267</v>
      </c>
      <c r="U20" s="5" t="str">
        <f>IFERROR(__xludf.DUMMYFUNCTION("""COMPUTED_VALUE"""),"Is this willock a footballer at all ? 🥴🥴🥴🥴. How this Willock take become a top flight footballer? I get sad when I see Mezut Ozil, even if he is not at a football game. Happy to see arsenal winning cl. Come home to see arsenal winning??? Miracles do h"&amp;"appen.")</f>
        <v>Is this willock a footballer at all ? 🥴🥴🥴🥴. How this Willock take become a top flight footballer? I get sad when I see Mezut Ozil, even if he is not at a football game. Happy to see arsenal winning cl. Come home to see arsenal winning??? Miracles do happen.</v>
      </c>
      <c r="V20" s="39" t="s">
        <v>16</v>
      </c>
      <c r="W20" s="40">
        <f>IFERROR(__xludf.DUMMYFUNCTION("""COMPUTED_VALUE"""),44007.77346064815)</f>
        <v>44007.77346</v>
      </c>
      <c r="X20" s="5" t="str">
        <f>IFERROR(__xludf.DUMMYFUNCTION("""COMPUTED_VALUE"""),"Oyo Redmond wanted to score right from the first half naye waaaa.😂. Southampton with six shots to Arsenal's one in the second half. Arsenal better find that second goal... This 1-0 lead odikwa risky. Arsenal are leading 0-1. at the end of this game the s"&amp;"core will be 1-1.")</f>
        <v>Oyo Redmond wanted to score right from the first half naye waaaa.😂. Southampton with six shots to Arsenal's one in the second half. Arsenal better find that second goal... This 1-0 lead odikwa risky. Arsenal are leading 0-1. at the end of this game the score will be 1-1.</v>
      </c>
      <c r="Y20" s="39" t="s">
        <v>18</v>
      </c>
      <c r="AB20" s="5"/>
      <c r="AE20" s="5"/>
      <c r="AH20" s="5"/>
      <c r="AK20" s="5"/>
      <c r="AL20" s="40"/>
      <c r="AM20" s="5"/>
      <c r="AN20" s="5"/>
      <c r="AO20" s="40"/>
      <c r="AP20" s="5"/>
      <c r="AQ20" s="5"/>
      <c r="AR20" s="40"/>
      <c r="AS20" s="5"/>
      <c r="AT20" s="5"/>
      <c r="AU20" s="40"/>
      <c r="AV20" s="5"/>
      <c r="AW20" s="5"/>
      <c r="AX20" s="40"/>
      <c r="AY20" s="5"/>
      <c r="AZ20" s="5"/>
      <c r="BA20" s="40"/>
      <c r="BB20" s="5"/>
      <c r="BC20" s="5"/>
      <c r="BD20" s="40"/>
      <c r="BE20" s="5"/>
      <c r="BF20" s="5"/>
      <c r="BG20" s="40"/>
      <c r="BH20" s="5"/>
      <c r="BI20" s="5"/>
      <c r="BJ20" s="40"/>
      <c r="BK20" s="5"/>
      <c r="BL20" s="5"/>
      <c r="BM20" s="40"/>
      <c r="BN20" s="5"/>
      <c r="BO20" s="5"/>
      <c r="BP20" s="40"/>
      <c r="BQ20" s="5"/>
      <c r="BR20" s="5"/>
      <c r="BS20" s="40"/>
      <c r="BT20" s="5"/>
      <c r="BU20" s="5"/>
      <c r="BV20" s="40"/>
      <c r="BW20" s="5"/>
      <c r="BX20" s="5"/>
      <c r="BY20" s="40"/>
      <c r="BZ20" s="5"/>
      <c r="CA20" s="5"/>
      <c r="CB20" s="40"/>
      <c r="CC20" s="5"/>
      <c r="CD20" s="5"/>
      <c r="CE20" s="40"/>
      <c r="CF20" s="5"/>
      <c r="CG20" s="5"/>
      <c r="CH20" s="40"/>
      <c r="CI20" s="5"/>
      <c r="CJ20" s="5"/>
      <c r="CK20" s="40"/>
      <c r="CL20" s="5"/>
      <c r="CM20" s="5"/>
      <c r="CN20" s="40"/>
      <c r="CO20" s="5"/>
      <c r="CP20" s="5"/>
      <c r="CQ20" s="40"/>
      <c r="CR20" s="5"/>
      <c r="CS20" s="5"/>
      <c r="CT20" s="5"/>
      <c r="CU20" s="5"/>
      <c r="CV20" s="5"/>
      <c r="CW20" s="5"/>
      <c r="CX20" s="5"/>
      <c r="CY20" s="5"/>
      <c r="CZ20" s="5"/>
      <c r="DA20" s="5"/>
      <c r="DB20" s="5"/>
      <c r="DC20" s="5"/>
      <c r="DD20" s="5"/>
      <c r="DE20" s="5"/>
      <c r="DF20" s="5"/>
    </row>
    <row r="21">
      <c r="A21" s="19" t="s">
        <v>49</v>
      </c>
      <c r="B21" s="19" t="s">
        <v>50</v>
      </c>
      <c r="C21" s="21">
        <f t="shared" si="65"/>
        <v>3</v>
      </c>
      <c r="D21" s="26">
        <f>IFERROR(__xludf.DUMMYFUNCTION("IF(C21, COUNTIF(FILTER($D$26:$D1007, $A$26:$A1007=A21), TRUE)/C21, 0)"),1.0)</f>
        <v>1</v>
      </c>
      <c r="G21" s="5"/>
      <c r="H21" s="40">
        <f>IFERROR(__xludf.DUMMYFUNCTION("""COMPUTED_VALUE"""),44007.78868055556)</f>
        <v>44007.78868</v>
      </c>
      <c r="I21" s="5" t="str">
        <f>IFERROR(__xludf.DUMMYFUNCTION("""COMPUTED_VALUE"""),"I swear to god Saka has aim it for crosses. 94: Saka's cross deflected for another Arsenal corner. 😇0-2🍌. #SOUARS. Saka’s crosses are soooo good. Rob Holding had a good with those crosses and over the top balls really well. Unreal cross from saka ffs, n"&amp;"eed him at the bridge.")</f>
        <v>I swear to god Saka has aim it for crosses. 94: Saka's cross deflected for another Arsenal corner. 😇0-2🍌. #SOUARS. Saka’s crosses are soooo good. Rob Holding had a good with those crosses and over the top balls really well. Unreal cross from saka ffs, need him at the bridge.</v>
      </c>
      <c r="J21" s="39" t="s">
        <v>18</v>
      </c>
      <c r="M21" s="5"/>
      <c r="P21" s="5"/>
      <c r="S21" s="5"/>
      <c r="T21" s="40">
        <f>IFERROR(__xludf.DUMMYFUNCTION("""COMPUTED_VALUE"""),44007.77784722223)</f>
        <v>44007.77785</v>
      </c>
      <c r="U21" s="5" t="str">
        <f>IFERROR(__xludf.DUMMYFUNCTION("""COMPUTED_VALUE"""),"Arsenal finally making moves post the hiatus 🙏🏼. Liverpool want Chelsea to win,Man United want man city to there is Arsenal 😂😂😂 #SOUARS. Bellerin finally getting to plant some trees. No way,we lose this now finally arsenal ffs. Willock fucking finall"&amp;"y man I can breathe easy.")</f>
        <v>Arsenal finally making moves post the hiatus 🙏🏼. Liverpool want Chelsea to win,Man United want man city to there is Arsenal 😂😂😂 #SOUARS. Bellerin finally getting to plant some trees. No way,we lose this now finally arsenal ffs. Willock fucking finally man I can breathe easy.</v>
      </c>
      <c r="V21" s="39" t="s">
        <v>15</v>
      </c>
      <c r="W21" s="40">
        <f>IFERROR(__xludf.DUMMYFUNCTION("""COMPUTED_VALUE"""),44007.7796875)</f>
        <v>44007.77969</v>
      </c>
      <c r="X21" s="5" t="str">
        <f>IFERROR(__xludf.DUMMYFUNCTION("""COMPUTED_VALUE"""),"Arsenal never hold ball since 2nd half... mini pep is doing wonders. Penalty fc fans wondering how arsenal is taking the lead.")</f>
        <v>Arsenal never hold ball since 2nd half... mini pep is doing wonders. Penalty fc fans wondering how arsenal is taking the lead.</v>
      </c>
      <c r="Y21" s="39" t="s">
        <v>18</v>
      </c>
      <c r="AB21" s="5"/>
      <c r="AE21" s="5"/>
      <c r="AH21" s="5"/>
      <c r="AK21" s="5"/>
      <c r="AL21" s="40"/>
      <c r="AM21" s="5"/>
      <c r="AN21" s="5"/>
      <c r="AO21" s="40"/>
      <c r="AP21" s="5"/>
      <c r="AQ21" s="5"/>
      <c r="AR21" s="40"/>
      <c r="AS21" s="5"/>
      <c r="AT21" s="5"/>
      <c r="AU21" s="40"/>
      <c r="AV21" s="5"/>
      <c r="AW21" s="5"/>
      <c r="AX21" s="40"/>
      <c r="AY21" s="5"/>
      <c r="AZ21" s="5"/>
      <c r="BA21" s="40"/>
      <c r="BB21" s="5"/>
      <c r="BC21" s="5"/>
      <c r="BD21" s="40"/>
      <c r="BE21" s="5"/>
      <c r="BF21" s="5"/>
      <c r="BG21" s="40"/>
      <c r="BH21" s="5"/>
      <c r="BI21" s="5"/>
      <c r="BJ21" s="40"/>
      <c r="BK21" s="5"/>
      <c r="BL21" s="5"/>
      <c r="BM21" s="40"/>
      <c r="BN21" s="5"/>
      <c r="BO21" s="5"/>
      <c r="BP21" s="40"/>
      <c r="BQ21" s="5"/>
      <c r="BR21" s="5"/>
      <c r="BS21" s="40"/>
      <c r="BT21" s="5"/>
      <c r="BU21" s="5"/>
      <c r="BV21" s="40"/>
      <c r="BW21" s="5"/>
      <c r="BX21" s="5"/>
      <c r="BY21" s="40"/>
      <c r="BZ21" s="5"/>
      <c r="CA21" s="5"/>
      <c r="CB21" s="40"/>
      <c r="CC21" s="5"/>
      <c r="CD21" s="5"/>
      <c r="CE21" s="40"/>
      <c r="CF21" s="5"/>
      <c r="CG21" s="5"/>
      <c r="CH21" s="40"/>
      <c r="CI21" s="5"/>
      <c r="CJ21" s="5"/>
      <c r="CK21" s="40"/>
      <c r="CL21" s="5"/>
      <c r="CM21" s="5"/>
      <c r="CN21" s="40"/>
      <c r="CO21" s="5"/>
      <c r="CP21" s="5"/>
      <c r="CQ21" s="40"/>
      <c r="CR21" s="5"/>
      <c r="CS21" s="5"/>
      <c r="CT21" s="5"/>
      <c r="CU21" s="5"/>
      <c r="CV21" s="5"/>
      <c r="CW21" s="5"/>
      <c r="CX21" s="5"/>
      <c r="CY21" s="5"/>
      <c r="CZ21" s="5"/>
      <c r="DA21" s="5"/>
      <c r="DB21" s="5"/>
      <c r="DC21" s="5"/>
      <c r="DD21" s="5"/>
      <c r="DE21" s="5"/>
      <c r="DF21" s="5"/>
    </row>
    <row r="22">
      <c r="A22" s="19" t="s">
        <v>51</v>
      </c>
      <c r="B22" s="19" t="s">
        <v>52</v>
      </c>
      <c r="C22" s="21">
        <f t="shared" si="65"/>
        <v>4</v>
      </c>
      <c r="D22" s="26">
        <f>IFERROR(__xludf.DUMMYFUNCTION("IF(C22, COUNTIF(FILTER($D$26:$D1007, $A$26:$A1007=A22), TRUE)/C22, 0)"),0.75)</f>
        <v>0.75</v>
      </c>
      <c r="G22" s="5"/>
      <c r="J22" s="5"/>
      <c r="M22" s="5"/>
      <c r="P22" s="5"/>
      <c r="S22" s="5"/>
      <c r="V22" s="5"/>
      <c r="W22" s="40">
        <f>IFERROR(__xludf.DUMMYFUNCTION("""COMPUTED_VALUE"""),44007.782326388886)</f>
        <v>44007.78233</v>
      </c>
      <c r="X22" s="5" t="str">
        <f>IFERROR(__xludf.DUMMYFUNCTION("""COMPUTED_VALUE"""),"Arsenal have a 2 goal lead. I repeat Arsenal have a 2 goal lead. Enjoyed the build-up to this Arsenal's 2nd goal! 🔥. Willock on for Pepe is a bad sub 🥴🥴🥴🥴. GOAL! Joe Willock gives Arsenal a two-goal cushion, and surely three much-needed points.")</f>
        <v>Arsenal have a 2 goal lead. I repeat Arsenal have a 2 goal lead. Enjoyed the build-up to this Arsenal's 2nd goal! 🔥. Willock on for Pepe is a bad sub 🥴🥴🥴🥴. GOAL! Joe Willock gives Arsenal a two-goal cushion, and surely three much-needed points.</v>
      </c>
      <c r="Y22" s="39" t="s">
        <v>17</v>
      </c>
      <c r="AB22" s="5"/>
      <c r="AE22" s="5"/>
      <c r="AH22" s="5"/>
      <c r="AK22" s="5"/>
      <c r="AL22" s="40"/>
      <c r="AM22" s="5"/>
      <c r="AN22" s="5"/>
      <c r="AO22" s="40"/>
      <c r="AP22" s="5"/>
      <c r="AQ22" s="5"/>
      <c r="AR22" s="40"/>
      <c r="AS22" s="5"/>
      <c r="AT22" s="5"/>
      <c r="AU22" s="40"/>
      <c r="AV22" s="5"/>
      <c r="AW22" s="5"/>
      <c r="AX22" s="40"/>
      <c r="AY22" s="5"/>
      <c r="AZ22" s="5"/>
      <c r="BA22" s="40"/>
      <c r="BB22" s="5"/>
      <c r="BC22" s="5"/>
      <c r="BD22" s="40"/>
      <c r="BE22" s="5"/>
      <c r="BF22" s="5"/>
      <c r="BG22" s="40"/>
      <c r="BH22" s="5"/>
      <c r="BI22" s="5"/>
      <c r="BJ22" s="40"/>
      <c r="BK22" s="5"/>
      <c r="BL22" s="5"/>
      <c r="BM22" s="40"/>
      <c r="BN22" s="5"/>
      <c r="BO22" s="5"/>
      <c r="BP22" s="40"/>
      <c r="BQ22" s="5"/>
      <c r="BR22" s="5"/>
      <c r="BS22" s="40"/>
      <c r="BT22" s="5"/>
      <c r="BU22" s="5"/>
      <c r="BV22" s="40"/>
      <c r="BW22" s="5"/>
      <c r="BX22" s="5"/>
      <c r="BY22" s="40"/>
      <c r="BZ22" s="5"/>
      <c r="CA22" s="5"/>
      <c r="CB22" s="40"/>
      <c r="CC22" s="5"/>
      <c r="CD22" s="5"/>
      <c r="CE22" s="40"/>
      <c r="CF22" s="5"/>
      <c r="CG22" s="5"/>
      <c r="CH22" s="40"/>
      <c r="CI22" s="5"/>
      <c r="CJ22" s="5"/>
      <c r="CK22" s="40"/>
      <c r="CL22" s="5"/>
      <c r="CM22" s="5"/>
      <c r="CN22" s="40"/>
      <c r="CO22" s="5"/>
      <c r="CP22" s="5"/>
      <c r="CQ22" s="40"/>
      <c r="CR22" s="5"/>
      <c r="CS22" s="5"/>
      <c r="CT22" s="5"/>
      <c r="CU22" s="5"/>
      <c r="CV22" s="5"/>
      <c r="CW22" s="5"/>
      <c r="CX22" s="5"/>
      <c r="CY22" s="5"/>
      <c r="CZ22" s="5"/>
      <c r="DA22" s="5"/>
      <c r="DB22" s="5"/>
      <c r="DC22" s="5"/>
      <c r="DD22" s="5"/>
      <c r="DE22" s="5"/>
      <c r="DF22" s="5"/>
    </row>
    <row r="23">
      <c r="A23" s="19" t="s">
        <v>53</v>
      </c>
      <c r="B23" s="19" t="s">
        <v>54</v>
      </c>
      <c r="C23" s="21">
        <f t="shared" si="65"/>
        <v>8</v>
      </c>
      <c r="D23" s="26">
        <f>IFERROR(__xludf.DUMMYFUNCTION("IF(C23, COUNTIF(FILTER($D$26:$D1007, $A$26:$A1007=A23), TRUE)/C23, 0)"),0.375)</f>
        <v>0.375</v>
      </c>
      <c r="G23" s="5"/>
      <c r="J23" s="5"/>
      <c r="M23" s="5"/>
      <c r="P23" s="5"/>
      <c r="S23" s="5"/>
      <c r="V23" s="5"/>
      <c r="W23" s="40">
        <f>IFERROR(__xludf.DUMMYFUNCTION("""COMPUTED_VALUE"""),44007.78983796296)</f>
        <v>44007.78984</v>
      </c>
      <c r="X23" s="5" t="str">
        <f>IFERROR(__xludf.DUMMYFUNCTION("""COMPUTED_VALUE"""),"FT: Southampton 0-2 Arsenal. xG:. TOP HALF!!!. Arsenal back into the top half? Eddie Nketiah scored away against Burnley. Went on loan for half a season and came back and scored an away goal before Lacazette. Points collected but poor show in 2nd half Ars"&amp;"enal Mikel Arteta.")</f>
        <v>FT: Southampton 0-2 Arsenal. xG:. TOP HALF!!!. Arsenal back into the top half? Eddie Nketiah scored away against Burnley. Went on loan for half a season and came back and scored an away goal before Lacazette. Points collected but poor show in 2nd half Arsenal Mikel Arteta.</v>
      </c>
      <c r="Y23" s="39" t="s">
        <v>17</v>
      </c>
      <c r="AB23" s="5"/>
      <c r="AE23" s="5"/>
      <c r="AH23" s="5"/>
      <c r="AK23" s="5"/>
      <c r="AL23" s="40"/>
      <c r="AM23" s="5"/>
      <c r="AN23" s="5"/>
      <c r="AO23" s="40"/>
      <c r="AP23" s="5"/>
      <c r="AQ23" s="5"/>
      <c r="AR23" s="40"/>
      <c r="AS23" s="5"/>
      <c r="AT23" s="5"/>
      <c r="AU23" s="40"/>
      <c r="AV23" s="5"/>
      <c r="AW23" s="5"/>
      <c r="AX23" s="40"/>
      <c r="AY23" s="5"/>
      <c r="AZ23" s="5"/>
      <c r="BA23" s="40"/>
      <c r="BB23" s="5"/>
      <c r="BC23" s="5"/>
      <c r="BD23" s="40"/>
      <c r="BE23" s="5"/>
      <c r="BF23" s="5"/>
      <c r="BG23" s="40"/>
      <c r="BH23" s="5"/>
      <c r="BI23" s="5"/>
      <c r="BJ23" s="40"/>
      <c r="BK23" s="5"/>
      <c r="BL23" s="5"/>
      <c r="BM23" s="40"/>
      <c r="BN23" s="5"/>
      <c r="BO23" s="5"/>
      <c r="BP23" s="40"/>
      <c r="BQ23" s="5"/>
      <c r="BR23" s="5"/>
      <c r="BS23" s="40"/>
      <c r="BT23" s="5"/>
      <c r="BU23" s="5"/>
      <c r="BV23" s="40"/>
      <c r="BW23" s="5"/>
      <c r="BX23" s="5"/>
      <c r="BY23" s="40"/>
      <c r="BZ23" s="5"/>
      <c r="CA23" s="5"/>
      <c r="CB23" s="40"/>
      <c r="CC23" s="5"/>
      <c r="CD23" s="5"/>
      <c r="CE23" s="40"/>
      <c r="CF23" s="5"/>
      <c r="CG23" s="5"/>
      <c r="CH23" s="40"/>
      <c r="CI23" s="5"/>
      <c r="CJ23" s="5"/>
      <c r="CK23" s="40"/>
      <c r="CL23" s="5"/>
      <c r="CM23" s="5"/>
      <c r="CN23" s="40"/>
      <c r="CO23" s="5"/>
      <c r="CP23" s="5"/>
      <c r="CQ23" s="40"/>
      <c r="CR23" s="5"/>
      <c r="CS23" s="5"/>
      <c r="CT23" s="5"/>
      <c r="CU23" s="5"/>
      <c r="CV23" s="5"/>
      <c r="CW23" s="5"/>
      <c r="CX23" s="5"/>
      <c r="CY23" s="5"/>
      <c r="CZ23" s="5"/>
      <c r="DA23" s="5"/>
      <c r="DB23" s="5"/>
      <c r="DC23" s="5"/>
      <c r="DD23" s="5"/>
      <c r="DE23" s="5"/>
      <c r="DF23" s="5"/>
    </row>
    <row r="24">
      <c r="A24" s="19"/>
      <c r="B24" s="14" t="s">
        <v>55</v>
      </c>
      <c r="C24" s="34">
        <f>SUM(C20:C23)</f>
        <v>18</v>
      </c>
      <c r="D24" s="26">
        <f>COUNTIF($D$26:$D1007, TRUE)/C24</f>
        <v>0.6666666667</v>
      </c>
      <c r="G24" s="5"/>
      <c r="J24" s="5"/>
      <c r="M24" s="5"/>
      <c r="P24" s="5"/>
      <c r="S24" s="5"/>
      <c r="V24" s="5"/>
      <c r="Y24" s="5"/>
      <c r="AB24" s="5"/>
      <c r="AE24" s="5"/>
      <c r="AH24" s="5"/>
      <c r="AK24" s="5"/>
      <c r="AL24" s="40"/>
      <c r="AM24" s="5"/>
      <c r="AN24" s="5"/>
      <c r="AO24" s="40"/>
      <c r="AP24" s="5"/>
      <c r="AQ24" s="5"/>
      <c r="AR24" s="40"/>
      <c r="AS24" s="5"/>
      <c r="AT24" s="5"/>
      <c r="AU24" s="40"/>
      <c r="AV24" s="5"/>
      <c r="AW24" s="5"/>
      <c r="AX24" s="40"/>
      <c r="AY24" s="5"/>
      <c r="AZ24" s="5"/>
      <c r="BA24" s="40"/>
      <c r="BB24" s="5"/>
      <c r="BC24" s="5"/>
      <c r="BD24" s="40"/>
      <c r="BE24" s="5"/>
      <c r="BF24" s="5"/>
      <c r="BG24" s="40"/>
      <c r="BH24" s="5"/>
      <c r="BI24" s="5"/>
      <c r="BJ24" s="40"/>
      <c r="BK24" s="5"/>
      <c r="BL24" s="5"/>
      <c r="BM24" s="40"/>
      <c r="BN24" s="5"/>
      <c r="BO24" s="5"/>
      <c r="BP24" s="40"/>
      <c r="BQ24" s="5"/>
      <c r="BR24" s="5"/>
      <c r="BS24" s="40"/>
      <c r="BT24" s="5"/>
      <c r="BU24" s="5"/>
      <c r="BV24" s="40"/>
      <c r="BW24" s="5"/>
      <c r="BX24" s="5"/>
      <c r="BY24" s="40"/>
      <c r="BZ24" s="5"/>
      <c r="CA24" s="5"/>
      <c r="CB24" s="40"/>
      <c r="CC24" s="5"/>
      <c r="CD24" s="5"/>
      <c r="CE24" s="40"/>
      <c r="CF24" s="5"/>
      <c r="CG24" s="5"/>
      <c r="CH24" s="40"/>
      <c r="CI24" s="5"/>
      <c r="CJ24" s="5"/>
      <c r="CK24" s="40"/>
      <c r="CL24" s="5"/>
      <c r="CM24" s="5"/>
      <c r="CN24" s="40"/>
      <c r="CO24" s="5"/>
      <c r="CP24" s="5"/>
      <c r="CQ24" s="40"/>
      <c r="CR24" s="5"/>
      <c r="CS24" s="5"/>
      <c r="CT24" s="5"/>
      <c r="CU24" s="5"/>
      <c r="CV24" s="5"/>
      <c r="CW24" s="5"/>
      <c r="CX24" s="5"/>
      <c r="CY24" s="5"/>
      <c r="CZ24" s="5"/>
      <c r="DA24" s="5"/>
      <c r="DB24" s="5"/>
      <c r="DC24" s="5"/>
      <c r="DD24" s="5"/>
      <c r="DE24" s="5"/>
      <c r="DF24" s="5"/>
    </row>
    <row r="25">
      <c r="A25" s="14" t="s">
        <v>56</v>
      </c>
      <c r="B25" s="14" t="s">
        <v>57</v>
      </c>
      <c r="C25" s="14" t="s">
        <v>58</v>
      </c>
      <c r="D25" s="32" t="s">
        <v>59</v>
      </c>
      <c r="G25" s="5"/>
      <c r="J25" s="5"/>
      <c r="M25" s="5"/>
      <c r="P25" s="5"/>
      <c r="S25" s="5"/>
      <c r="V25" s="5"/>
      <c r="Y25" s="5"/>
      <c r="AB25" s="5"/>
      <c r="AE25" s="5"/>
      <c r="AH25" s="5"/>
      <c r="AK25" s="5"/>
      <c r="AL25" s="40"/>
      <c r="AM25" s="5"/>
      <c r="AN25" s="5"/>
      <c r="AO25" s="40"/>
      <c r="AP25" s="5"/>
      <c r="AQ25" s="5"/>
      <c r="AR25" s="40"/>
      <c r="AS25" s="5"/>
      <c r="AT25" s="5"/>
      <c r="AU25" s="40"/>
      <c r="AV25" s="5"/>
      <c r="AW25" s="5"/>
      <c r="AX25" s="40"/>
      <c r="AY25" s="5"/>
      <c r="AZ25" s="5"/>
      <c r="BA25" s="40"/>
      <c r="BB25" s="5"/>
      <c r="BC25" s="5"/>
      <c r="BD25" s="40"/>
      <c r="BE25" s="5"/>
      <c r="BF25" s="5"/>
      <c r="BG25" s="40"/>
      <c r="BH25" s="5"/>
      <c r="BI25" s="5"/>
      <c r="BJ25" s="40"/>
      <c r="BK25" s="5"/>
      <c r="BL25" s="5"/>
      <c r="BM25" s="40"/>
      <c r="BN25" s="5"/>
      <c r="BO25" s="5"/>
      <c r="BP25" s="40"/>
      <c r="BQ25" s="5"/>
      <c r="BR25" s="5"/>
      <c r="BS25" s="40"/>
      <c r="BT25" s="5"/>
      <c r="BU25" s="5"/>
      <c r="BV25" s="40"/>
      <c r="BW25" s="5"/>
      <c r="BX25" s="5"/>
      <c r="BY25" s="40"/>
      <c r="BZ25" s="5"/>
      <c r="CA25" s="5"/>
      <c r="CB25" s="40"/>
      <c r="CC25" s="5"/>
      <c r="CD25" s="5"/>
      <c r="CE25" s="40"/>
      <c r="CF25" s="5"/>
      <c r="CG25" s="5"/>
      <c r="CH25" s="40"/>
      <c r="CI25" s="5"/>
      <c r="CJ25" s="5"/>
      <c r="CK25" s="40"/>
      <c r="CL25" s="5"/>
      <c r="CM25" s="5"/>
      <c r="CN25" s="40"/>
      <c r="CO25" s="5"/>
      <c r="CP25" s="5"/>
      <c r="CQ25" s="40"/>
      <c r="CR25" s="5"/>
      <c r="CS25" s="5"/>
      <c r="CT25" s="5"/>
      <c r="CU25" s="5"/>
      <c r="CV25" s="5"/>
      <c r="CW25" s="5"/>
      <c r="CX25" s="5"/>
      <c r="CY25" s="5"/>
      <c r="CZ25" s="5"/>
      <c r="DA25" s="5"/>
      <c r="DB25" s="5"/>
      <c r="DC25" s="5"/>
      <c r="DD25" s="5"/>
      <c r="DE25" s="5"/>
      <c r="DF25" s="5"/>
    </row>
    <row r="26">
      <c r="A26" s="19" t="s">
        <v>51</v>
      </c>
      <c r="B26" s="19" t="s">
        <v>60</v>
      </c>
      <c r="C26" s="21">
        <v>1.0</v>
      </c>
      <c r="D26" s="35" t="b">
        <v>0</v>
      </c>
      <c r="G26" s="5"/>
      <c r="J26" s="5"/>
      <c r="M26" s="5"/>
      <c r="P26" s="5"/>
      <c r="S26" s="5"/>
      <c r="V26" s="5"/>
      <c r="Y26" s="5"/>
      <c r="AB26" s="5"/>
      <c r="AE26" s="5"/>
      <c r="AH26" s="5"/>
      <c r="AK26" s="5"/>
      <c r="AL26" s="40"/>
      <c r="AM26" s="5"/>
      <c r="AN26" s="5"/>
      <c r="AO26" s="40"/>
      <c r="AP26" s="5"/>
      <c r="AQ26" s="5"/>
      <c r="AR26" s="40"/>
      <c r="AS26" s="5"/>
      <c r="AT26" s="5"/>
      <c r="AU26" s="40"/>
      <c r="AV26" s="5"/>
      <c r="AW26" s="5"/>
      <c r="AX26" s="40"/>
      <c r="AY26" s="5"/>
      <c r="AZ26" s="5"/>
      <c r="BA26" s="40"/>
      <c r="BB26" s="5"/>
      <c r="BC26" s="5"/>
      <c r="BD26" s="40"/>
      <c r="BE26" s="5"/>
      <c r="BF26" s="5"/>
      <c r="BG26" s="40"/>
      <c r="BH26" s="5"/>
      <c r="BI26" s="5"/>
      <c r="BJ26" s="40"/>
      <c r="BK26" s="5"/>
      <c r="BL26" s="5"/>
      <c r="BM26" s="40"/>
      <c r="BN26" s="5"/>
      <c r="BO26" s="5"/>
      <c r="BP26" s="40"/>
      <c r="BQ26" s="5"/>
      <c r="BR26" s="5"/>
      <c r="BS26" s="40"/>
      <c r="BT26" s="5"/>
      <c r="BU26" s="5"/>
      <c r="BV26" s="40"/>
      <c r="BW26" s="5"/>
      <c r="BX26" s="5"/>
      <c r="BY26" s="40"/>
      <c r="BZ26" s="5"/>
      <c r="CA26" s="5"/>
      <c r="CB26" s="40"/>
      <c r="CC26" s="5"/>
      <c r="CD26" s="5"/>
      <c r="CE26" s="40"/>
      <c r="CF26" s="5"/>
      <c r="CG26" s="5"/>
      <c r="CH26" s="40"/>
      <c r="CI26" s="5"/>
      <c r="CJ26" s="5"/>
      <c r="CK26" s="40"/>
      <c r="CL26" s="5"/>
      <c r="CM26" s="5"/>
      <c r="CN26" s="40"/>
      <c r="CO26" s="5"/>
      <c r="CP26" s="5"/>
      <c r="CQ26" s="40"/>
      <c r="CR26" s="5"/>
      <c r="CS26" s="5"/>
      <c r="CT26" s="5"/>
      <c r="CU26" s="5"/>
      <c r="CV26" s="5"/>
      <c r="CW26" s="5"/>
      <c r="CX26" s="5"/>
      <c r="CY26" s="5"/>
      <c r="CZ26" s="5"/>
      <c r="DA26" s="5"/>
      <c r="DB26" s="5"/>
      <c r="DC26" s="5"/>
      <c r="DD26" s="5"/>
      <c r="DE26" s="5"/>
      <c r="DF26" s="5"/>
    </row>
    <row r="27">
      <c r="A27" s="19" t="s">
        <v>47</v>
      </c>
      <c r="B27" s="19" t="s">
        <v>676</v>
      </c>
      <c r="C27" s="21">
        <v>8.0</v>
      </c>
      <c r="D27" s="35" t="b">
        <v>1</v>
      </c>
      <c r="G27" s="5"/>
      <c r="J27" s="5"/>
      <c r="M27" s="5"/>
      <c r="P27" s="5"/>
      <c r="S27" s="5"/>
      <c r="V27" s="5"/>
      <c r="Y27" s="5"/>
      <c r="AB27" s="5"/>
      <c r="AE27" s="5"/>
      <c r="AH27" s="5"/>
      <c r="AK27" s="5"/>
      <c r="AL27" s="40"/>
      <c r="AM27" s="5"/>
      <c r="AN27" s="5"/>
      <c r="AO27" s="40"/>
      <c r="AP27" s="5"/>
      <c r="AQ27" s="5"/>
      <c r="AR27" s="40"/>
      <c r="AS27" s="5"/>
      <c r="AT27" s="5"/>
      <c r="AU27" s="40"/>
      <c r="AV27" s="5"/>
      <c r="AW27" s="5"/>
      <c r="AX27" s="40"/>
      <c r="AY27" s="5"/>
      <c r="AZ27" s="5"/>
      <c r="BA27" s="40"/>
      <c r="BB27" s="5"/>
      <c r="BC27" s="5"/>
      <c r="BD27" s="40"/>
      <c r="BE27" s="5"/>
      <c r="BF27" s="5"/>
      <c r="BG27" s="40"/>
      <c r="BH27" s="5"/>
      <c r="BI27" s="5"/>
      <c r="BJ27" s="40"/>
      <c r="BK27" s="5"/>
      <c r="BL27" s="5"/>
      <c r="BM27" s="40"/>
      <c r="BN27" s="5"/>
      <c r="BO27" s="5"/>
      <c r="BP27" s="40"/>
      <c r="BQ27" s="5"/>
      <c r="BR27" s="5"/>
      <c r="BS27" s="40"/>
      <c r="BT27" s="5"/>
      <c r="BU27" s="5"/>
      <c r="BV27" s="40"/>
      <c r="BW27" s="5"/>
      <c r="BX27" s="5"/>
      <c r="BY27" s="40"/>
      <c r="BZ27" s="5"/>
      <c r="CA27" s="5"/>
      <c r="CB27" s="40"/>
      <c r="CC27" s="5"/>
      <c r="CD27" s="5"/>
      <c r="CE27" s="40"/>
      <c r="CF27" s="5"/>
      <c r="CG27" s="5"/>
      <c r="CH27" s="40"/>
      <c r="CI27" s="5"/>
      <c r="CJ27" s="5"/>
      <c r="CK27" s="40"/>
      <c r="CL27" s="5"/>
      <c r="CM27" s="5"/>
      <c r="CN27" s="40"/>
      <c r="CO27" s="5"/>
      <c r="CP27" s="5"/>
      <c r="CQ27" s="40"/>
      <c r="CR27" s="5"/>
      <c r="CS27" s="5"/>
      <c r="CT27" s="5"/>
      <c r="CU27" s="5"/>
      <c r="CV27" s="5"/>
      <c r="CW27" s="5"/>
      <c r="CX27" s="5"/>
      <c r="CY27" s="5"/>
      <c r="CZ27" s="5"/>
      <c r="DA27" s="5"/>
      <c r="DB27" s="5"/>
      <c r="DC27" s="5"/>
      <c r="DD27" s="5"/>
      <c r="DE27" s="5"/>
      <c r="DF27" s="5"/>
    </row>
    <row r="28">
      <c r="A28" s="19" t="s">
        <v>49</v>
      </c>
      <c r="B28" s="19" t="s">
        <v>677</v>
      </c>
      <c r="C28" s="21">
        <v>11.0</v>
      </c>
      <c r="D28" s="35" t="b">
        <v>1</v>
      </c>
      <c r="G28" s="5"/>
      <c r="J28" s="5"/>
      <c r="M28" s="5"/>
      <c r="P28" s="5"/>
      <c r="S28" s="5"/>
      <c r="V28" s="5"/>
      <c r="Y28" s="5"/>
      <c r="AB28" s="5"/>
      <c r="AE28" s="5"/>
      <c r="AH28" s="5"/>
      <c r="AK28" s="5"/>
      <c r="AL28" s="40"/>
      <c r="AM28" s="5"/>
      <c r="AN28" s="5"/>
      <c r="AO28" s="40"/>
      <c r="AP28" s="5"/>
      <c r="AQ28" s="5"/>
      <c r="AR28" s="40"/>
      <c r="AS28" s="5"/>
      <c r="AT28" s="5"/>
      <c r="AU28" s="40"/>
      <c r="AV28" s="5"/>
      <c r="AW28" s="5"/>
      <c r="AX28" s="40"/>
      <c r="AY28" s="5"/>
      <c r="AZ28" s="5"/>
      <c r="BA28" s="40"/>
      <c r="BB28" s="5"/>
      <c r="BC28" s="5"/>
      <c r="BD28" s="40"/>
      <c r="BE28" s="5"/>
      <c r="BF28" s="5"/>
      <c r="BG28" s="40"/>
      <c r="BH28" s="5"/>
      <c r="BI28" s="5"/>
      <c r="BJ28" s="40"/>
      <c r="BK28" s="5"/>
      <c r="BL28" s="5"/>
      <c r="BM28" s="40"/>
      <c r="BN28" s="5"/>
      <c r="BO28" s="5"/>
      <c r="BP28" s="40"/>
      <c r="BQ28" s="5"/>
      <c r="BR28" s="5"/>
      <c r="BS28" s="40"/>
      <c r="BT28" s="5"/>
      <c r="BU28" s="5"/>
      <c r="BV28" s="40"/>
      <c r="BW28" s="5"/>
      <c r="BX28" s="5"/>
      <c r="BY28" s="40"/>
      <c r="BZ28" s="5"/>
      <c r="CA28" s="5"/>
      <c r="CB28" s="40"/>
      <c r="CC28" s="5"/>
      <c r="CD28" s="5"/>
      <c r="CE28" s="40"/>
      <c r="CF28" s="5"/>
      <c r="CG28" s="5"/>
      <c r="CH28" s="40"/>
      <c r="CI28" s="5"/>
      <c r="CJ28" s="5"/>
      <c r="CK28" s="40"/>
      <c r="CL28" s="5"/>
      <c r="CM28" s="5"/>
      <c r="CN28" s="40"/>
      <c r="CO28" s="5"/>
      <c r="CP28" s="5"/>
      <c r="CQ28" s="40"/>
      <c r="CR28" s="5"/>
      <c r="CS28" s="5"/>
      <c r="CT28" s="5"/>
      <c r="CU28" s="5"/>
      <c r="CV28" s="5"/>
      <c r="CW28" s="5"/>
      <c r="CX28" s="5"/>
      <c r="CY28" s="5"/>
      <c r="CZ28" s="5"/>
      <c r="DA28" s="5"/>
      <c r="DB28" s="5"/>
      <c r="DC28" s="5"/>
      <c r="DD28" s="5"/>
      <c r="DE28" s="5"/>
      <c r="DF28" s="5"/>
    </row>
    <row r="29">
      <c r="A29" s="19" t="s">
        <v>47</v>
      </c>
      <c r="B29" s="19" t="s">
        <v>678</v>
      </c>
      <c r="C29" s="21">
        <v>20.0</v>
      </c>
      <c r="D29" s="35" t="b">
        <v>1</v>
      </c>
      <c r="G29" s="5"/>
      <c r="J29" s="5"/>
      <c r="M29" s="5"/>
      <c r="P29" s="5"/>
      <c r="S29" s="5"/>
      <c r="V29" s="5"/>
      <c r="Y29" s="5"/>
      <c r="AB29" s="5"/>
      <c r="AE29" s="5"/>
      <c r="AH29" s="5"/>
      <c r="AK29" s="5"/>
      <c r="AL29" s="40"/>
      <c r="AM29" s="5"/>
      <c r="AN29" s="5"/>
      <c r="AO29" s="40"/>
      <c r="AP29" s="5"/>
      <c r="AQ29" s="5"/>
      <c r="AR29" s="40"/>
      <c r="AS29" s="5"/>
      <c r="AT29" s="5"/>
      <c r="AU29" s="40"/>
      <c r="AV29" s="5"/>
      <c r="AW29" s="5"/>
      <c r="AX29" s="40"/>
      <c r="AY29" s="5"/>
      <c r="AZ29" s="5"/>
      <c r="BA29" s="40"/>
      <c r="BB29" s="5"/>
      <c r="BC29" s="5"/>
      <c r="BD29" s="40"/>
      <c r="BE29" s="5"/>
      <c r="BF29" s="5"/>
      <c r="BG29" s="40"/>
      <c r="BH29" s="5"/>
      <c r="BI29" s="5"/>
      <c r="BJ29" s="40"/>
      <c r="BK29" s="5"/>
      <c r="BL29" s="5"/>
      <c r="BM29" s="40"/>
      <c r="BN29" s="5"/>
      <c r="BO29" s="5"/>
      <c r="BP29" s="40"/>
      <c r="BQ29" s="5"/>
      <c r="BR29" s="5"/>
      <c r="BS29" s="40"/>
      <c r="BT29" s="5"/>
      <c r="BU29" s="5"/>
      <c r="BV29" s="40"/>
      <c r="BW29" s="5"/>
      <c r="BX29" s="5"/>
      <c r="BY29" s="40"/>
      <c r="BZ29" s="5"/>
      <c r="CA29" s="5"/>
      <c r="CB29" s="40"/>
      <c r="CC29" s="5"/>
      <c r="CD29" s="5"/>
      <c r="CE29" s="40"/>
      <c r="CF29" s="5"/>
      <c r="CG29" s="5"/>
      <c r="CH29" s="40"/>
      <c r="CI29" s="5"/>
      <c r="CJ29" s="5"/>
      <c r="CK29" s="40"/>
      <c r="CL29" s="5"/>
      <c r="CM29" s="5"/>
      <c r="CN29" s="40"/>
      <c r="CO29" s="5"/>
      <c r="CP29" s="5"/>
      <c r="CQ29" s="40"/>
      <c r="CR29" s="5"/>
      <c r="CS29" s="5"/>
      <c r="CT29" s="5"/>
      <c r="CU29" s="5"/>
      <c r="CV29" s="5"/>
      <c r="CW29" s="5"/>
      <c r="CX29" s="5"/>
      <c r="CY29" s="5"/>
      <c r="CZ29" s="5"/>
      <c r="DA29" s="5"/>
      <c r="DB29" s="5"/>
      <c r="DC29" s="5"/>
      <c r="DD29" s="5"/>
      <c r="DE29" s="5"/>
      <c r="DF29" s="5"/>
    </row>
    <row r="30">
      <c r="A30" s="19" t="s">
        <v>51</v>
      </c>
      <c r="B30" s="19" t="s">
        <v>64</v>
      </c>
      <c r="C30" s="21">
        <v>45.0</v>
      </c>
      <c r="D30" s="35" t="b">
        <v>1</v>
      </c>
      <c r="G30" s="5"/>
      <c r="J30" s="5"/>
      <c r="M30" s="5"/>
      <c r="P30" s="5"/>
      <c r="S30" s="5"/>
      <c r="V30" s="5"/>
      <c r="Y30" s="5"/>
      <c r="AB30" s="5"/>
      <c r="AE30" s="5"/>
      <c r="AH30" s="5"/>
      <c r="AK30" s="5"/>
      <c r="AL30" s="40"/>
      <c r="AM30" s="5"/>
      <c r="AN30" s="5"/>
      <c r="AO30" s="40"/>
      <c r="AP30" s="5"/>
      <c r="AQ30" s="5"/>
      <c r="AR30" s="40"/>
      <c r="AS30" s="5"/>
      <c r="AT30" s="5"/>
      <c r="AU30" s="40"/>
      <c r="AV30" s="5"/>
      <c r="AW30" s="5"/>
      <c r="AX30" s="40"/>
      <c r="AY30" s="5"/>
      <c r="AZ30" s="5"/>
      <c r="BA30" s="40"/>
      <c r="BB30" s="5"/>
      <c r="BC30" s="5"/>
      <c r="BD30" s="40"/>
      <c r="BE30" s="5"/>
      <c r="BF30" s="5"/>
      <c r="BG30" s="40"/>
      <c r="BH30" s="5"/>
      <c r="BI30" s="5"/>
      <c r="BJ30" s="40"/>
      <c r="BK30" s="5"/>
      <c r="BL30" s="5"/>
      <c r="BM30" s="40"/>
      <c r="BN30" s="5"/>
      <c r="BO30" s="5"/>
      <c r="BP30" s="40"/>
      <c r="BQ30" s="5"/>
      <c r="BR30" s="5"/>
      <c r="BS30" s="40"/>
      <c r="BT30" s="5"/>
      <c r="BU30" s="5"/>
      <c r="BV30" s="40"/>
      <c r="BW30" s="5"/>
      <c r="BX30" s="5"/>
      <c r="BY30" s="40"/>
      <c r="BZ30" s="5"/>
      <c r="CA30" s="5"/>
      <c r="CB30" s="40"/>
      <c r="CC30" s="5"/>
      <c r="CD30" s="5"/>
      <c r="CE30" s="40"/>
      <c r="CF30" s="5"/>
      <c r="CG30" s="5"/>
      <c r="CH30" s="40"/>
      <c r="CI30" s="5"/>
      <c r="CJ30" s="5"/>
      <c r="CK30" s="40"/>
      <c r="CL30" s="5"/>
      <c r="CM30" s="5"/>
      <c r="CN30" s="40"/>
      <c r="CO30" s="5"/>
      <c r="CP30" s="5"/>
      <c r="CQ30" s="40"/>
      <c r="CR30" s="5"/>
      <c r="CS30" s="5"/>
      <c r="CT30" s="5"/>
      <c r="CU30" s="5"/>
      <c r="CV30" s="5"/>
      <c r="CW30" s="5"/>
      <c r="CX30" s="5"/>
      <c r="CY30" s="5"/>
      <c r="CZ30" s="5"/>
      <c r="DA30" s="5"/>
      <c r="DB30" s="5"/>
      <c r="DC30" s="5"/>
      <c r="DD30" s="5"/>
      <c r="DE30" s="5"/>
      <c r="DF30" s="5"/>
    </row>
    <row r="31">
      <c r="A31" s="19" t="s">
        <v>51</v>
      </c>
      <c r="B31" s="19" t="s">
        <v>65</v>
      </c>
      <c r="C31" s="21">
        <v>45.0</v>
      </c>
      <c r="D31" s="35" t="b">
        <v>1</v>
      </c>
      <c r="G31" s="5"/>
      <c r="J31" s="5"/>
      <c r="M31" s="5"/>
      <c r="P31" s="5"/>
      <c r="S31" s="5"/>
      <c r="V31" s="5"/>
      <c r="Y31" s="5"/>
      <c r="AB31" s="5"/>
      <c r="AE31" s="5"/>
      <c r="AH31" s="5"/>
      <c r="AK31" s="5"/>
      <c r="AL31" s="40"/>
      <c r="AM31" s="5"/>
      <c r="AN31" s="5"/>
      <c r="AO31" s="40"/>
      <c r="AP31" s="5"/>
      <c r="AQ31" s="5"/>
      <c r="AR31" s="40"/>
      <c r="AS31" s="5"/>
      <c r="AT31" s="5"/>
      <c r="AU31" s="40"/>
      <c r="AV31" s="5"/>
      <c r="AW31" s="5"/>
      <c r="AX31" s="40"/>
      <c r="AY31" s="5"/>
      <c r="AZ31" s="5"/>
      <c r="BA31" s="40"/>
      <c r="BB31" s="5"/>
      <c r="BC31" s="5"/>
      <c r="BD31" s="40"/>
      <c r="BE31" s="5"/>
      <c r="BF31" s="5"/>
      <c r="BG31" s="40"/>
      <c r="BH31" s="5"/>
      <c r="BI31" s="5"/>
      <c r="BJ31" s="40"/>
      <c r="BK31" s="5"/>
      <c r="BL31" s="5"/>
      <c r="BM31" s="40"/>
      <c r="BN31" s="5"/>
      <c r="BO31" s="5"/>
      <c r="BP31" s="40"/>
      <c r="BQ31" s="5"/>
      <c r="BR31" s="5"/>
      <c r="BS31" s="40"/>
      <c r="BT31" s="5"/>
      <c r="BU31" s="5"/>
      <c r="BV31" s="40"/>
      <c r="BW31" s="5"/>
      <c r="BX31" s="5"/>
      <c r="BY31" s="40"/>
      <c r="BZ31" s="5"/>
      <c r="CA31" s="5"/>
      <c r="CB31" s="40"/>
      <c r="CC31" s="5"/>
      <c r="CD31" s="5"/>
      <c r="CE31" s="40"/>
      <c r="CF31" s="5"/>
      <c r="CG31" s="5"/>
      <c r="CH31" s="40"/>
      <c r="CI31" s="5"/>
      <c r="CJ31" s="5"/>
      <c r="CK31" s="40"/>
      <c r="CL31" s="5"/>
      <c r="CM31" s="5"/>
      <c r="CN31" s="40"/>
      <c r="CO31" s="5"/>
      <c r="CP31" s="5"/>
      <c r="CQ31" s="40"/>
      <c r="CR31" s="5"/>
      <c r="CS31" s="5"/>
      <c r="CT31" s="5"/>
      <c r="CU31" s="5"/>
      <c r="CV31" s="5"/>
      <c r="CW31" s="5"/>
      <c r="CX31" s="5"/>
      <c r="CY31" s="5"/>
      <c r="CZ31" s="5"/>
      <c r="DA31" s="5"/>
      <c r="DB31" s="5"/>
      <c r="DC31" s="5"/>
      <c r="DD31" s="5"/>
      <c r="DE31" s="5"/>
      <c r="DF31" s="5"/>
    </row>
    <row r="32">
      <c r="A32" s="19" t="s">
        <v>53</v>
      </c>
      <c r="B32" s="42" t="s">
        <v>679</v>
      </c>
      <c r="C32" s="21">
        <v>46.0</v>
      </c>
      <c r="D32" s="35" t="b">
        <v>1</v>
      </c>
      <c r="G32" s="5"/>
      <c r="J32" s="5"/>
      <c r="M32" s="5"/>
      <c r="P32" s="5"/>
      <c r="S32" s="5"/>
      <c r="V32" s="5"/>
      <c r="Y32" s="5"/>
      <c r="AB32" s="5"/>
      <c r="AE32" s="5"/>
      <c r="AH32" s="5"/>
      <c r="AK32" s="5"/>
      <c r="AL32" s="40"/>
      <c r="AM32" s="5"/>
      <c r="AN32" s="5"/>
      <c r="AO32" s="40"/>
      <c r="AP32" s="5"/>
      <c r="AQ32" s="5"/>
      <c r="AR32" s="40"/>
      <c r="AS32" s="5"/>
      <c r="AT32" s="5"/>
      <c r="AU32" s="40"/>
      <c r="AV32" s="5"/>
      <c r="AW32" s="5"/>
      <c r="AX32" s="40"/>
      <c r="AY32" s="5"/>
      <c r="AZ32" s="5"/>
      <c r="BA32" s="40"/>
      <c r="BB32" s="5"/>
      <c r="BC32" s="5"/>
      <c r="BD32" s="40"/>
      <c r="BE32" s="5"/>
      <c r="BF32" s="5"/>
      <c r="BG32" s="40"/>
      <c r="BH32" s="5"/>
      <c r="BI32" s="5"/>
      <c r="BJ32" s="40"/>
      <c r="BK32" s="5"/>
      <c r="BL32" s="5"/>
      <c r="BM32" s="40"/>
      <c r="BN32" s="5"/>
      <c r="BO32" s="5"/>
      <c r="BP32" s="40"/>
      <c r="BQ32" s="5"/>
      <c r="BR32" s="5"/>
      <c r="BS32" s="40"/>
      <c r="BT32" s="5"/>
      <c r="BU32" s="5"/>
      <c r="BV32" s="40"/>
      <c r="BW32" s="5"/>
      <c r="BX32" s="5"/>
      <c r="BY32" s="40"/>
      <c r="BZ32" s="5"/>
      <c r="CA32" s="5"/>
      <c r="CB32" s="40"/>
      <c r="CC32" s="5"/>
      <c r="CD32" s="5"/>
      <c r="CE32" s="40"/>
      <c r="CF32" s="5"/>
      <c r="CG32" s="5"/>
      <c r="CH32" s="40"/>
      <c r="CI32" s="5"/>
      <c r="CJ32" s="5"/>
      <c r="CK32" s="40"/>
      <c r="CL32" s="5"/>
      <c r="CM32" s="5"/>
      <c r="CN32" s="40"/>
      <c r="CO32" s="5"/>
      <c r="CP32" s="5"/>
      <c r="CQ32" s="40"/>
      <c r="CR32" s="5"/>
      <c r="CS32" s="5"/>
      <c r="CT32" s="5"/>
      <c r="CU32" s="5"/>
      <c r="CV32" s="5"/>
      <c r="CW32" s="5"/>
      <c r="CX32" s="5"/>
      <c r="CY32" s="5"/>
      <c r="CZ32" s="5"/>
      <c r="DA32" s="5"/>
      <c r="DB32" s="5"/>
      <c r="DC32" s="5"/>
      <c r="DD32" s="5"/>
      <c r="DE32" s="5"/>
      <c r="DF32" s="5"/>
    </row>
    <row r="33">
      <c r="A33" s="19" t="s">
        <v>53</v>
      </c>
      <c r="B33" s="42" t="s">
        <v>680</v>
      </c>
      <c r="C33" s="21">
        <v>46.0</v>
      </c>
      <c r="D33" s="35" t="b">
        <v>0</v>
      </c>
      <c r="G33" s="5"/>
      <c r="J33" s="5"/>
      <c r="M33" s="5"/>
      <c r="P33" s="5"/>
      <c r="S33" s="5"/>
      <c r="V33" s="5"/>
      <c r="Y33" s="5"/>
      <c r="AB33" s="5"/>
      <c r="AE33" s="5"/>
      <c r="AH33" s="5"/>
      <c r="AK33" s="5"/>
      <c r="AL33" s="40"/>
      <c r="AM33" s="5"/>
      <c r="AN33" s="5"/>
      <c r="AO33" s="40"/>
      <c r="AP33" s="5"/>
      <c r="AQ33" s="5"/>
      <c r="AR33" s="40"/>
      <c r="AS33" s="5"/>
      <c r="AT33" s="5"/>
      <c r="AU33" s="40"/>
      <c r="AV33" s="5"/>
      <c r="AW33" s="5"/>
      <c r="AX33" s="40"/>
      <c r="AY33" s="5"/>
      <c r="AZ33" s="5"/>
      <c r="BA33" s="40"/>
      <c r="BB33" s="5"/>
      <c r="BC33" s="5"/>
      <c r="BD33" s="40"/>
      <c r="BE33" s="5"/>
      <c r="BF33" s="5"/>
      <c r="BG33" s="40"/>
      <c r="BH33" s="5"/>
      <c r="BI33" s="5"/>
      <c r="BJ33" s="40"/>
      <c r="BK33" s="5"/>
      <c r="BL33" s="5"/>
      <c r="BM33" s="40"/>
      <c r="BN33" s="5"/>
      <c r="BO33" s="5"/>
      <c r="BP33" s="40"/>
      <c r="BQ33" s="5"/>
      <c r="BR33" s="5"/>
      <c r="BS33" s="40"/>
      <c r="BT33" s="5"/>
      <c r="BU33" s="5"/>
      <c r="BV33" s="40"/>
      <c r="BW33" s="5"/>
      <c r="BX33" s="5"/>
      <c r="BY33" s="40"/>
      <c r="BZ33" s="5"/>
      <c r="CA33" s="5"/>
      <c r="CB33" s="40"/>
      <c r="CC33" s="5"/>
      <c r="CD33" s="5"/>
      <c r="CE33" s="40"/>
      <c r="CF33" s="5"/>
      <c r="CG33" s="5"/>
      <c r="CH33" s="40"/>
      <c r="CI33" s="5"/>
      <c r="CJ33" s="5"/>
      <c r="CK33" s="40"/>
      <c r="CL33" s="5"/>
      <c r="CM33" s="5"/>
      <c r="CN33" s="40"/>
      <c r="CO33" s="5"/>
      <c r="CP33" s="5"/>
      <c r="CQ33" s="40"/>
      <c r="CR33" s="5"/>
      <c r="CS33" s="5"/>
      <c r="CT33" s="5"/>
      <c r="CU33" s="5"/>
      <c r="CV33" s="5"/>
      <c r="CW33" s="5"/>
      <c r="CX33" s="5"/>
      <c r="CY33" s="5"/>
      <c r="CZ33" s="5"/>
      <c r="DA33" s="5"/>
      <c r="DB33" s="5"/>
      <c r="DC33" s="5"/>
      <c r="DD33" s="5"/>
      <c r="DE33" s="5"/>
      <c r="DF33" s="5"/>
    </row>
    <row r="34">
      <c r="A34" s="19" t="s">
        <v>49</v>
      </c>
      <c r="B34" s="42" t="s">
        <v>681</v>
      </c>
      <c r="C34" s="21">
        <v>47.0</v>
      </c>
      <c r="D34" s="35" t="b">
        <v>1</v>
      </c>
      <c r="G34" s="5"/>
      <c r="J34" s="5"/>
      <c r="M34" s="5"/>
      <c r="P34" s="5"/>
      <c r="S34" s="5"/>
      <c r="V34" s="5"/>
      <c r="Y34" s="5"/>
      <c r="AB34" s="5"/>
      <c r="AE34" s="5"/>
      <c r="AH34" s="5"/>
      <c r="AK34" s="5"/>
      <c r="AL34" s="40"/>
      <c r="AM34" s="5"/>
      <c r="AN34" s="5"/>
      <c r="AO34" s="40"/>
      <c r="AP34" s="5"/>
      <c r="AQ34" s="5"/>
      <c r="AR34" s="40"/>
      <c r="AS34" s="5"/>
      <c r="AT34" s="5"/>
      <c r="AU34" s="40"/>
      <c r="AV34" s="5"/>
      <c r="AW34" s="5"/>
      <c r="AX34" s="40"/>
      <c r="AY34" s="5"/>
      <c r="AZ34" s="5"/>
      <c r="BA34" s="40"/>
      <c r="BB34" s="5"/>
      <c r="BC34" s="5"/>
      <c r="BD34" s="40"/>
      <c r="BE34" s="5"/>
      <c r="BF34" s="5"/>
      <c r="BG34" s="40"/>
      <c r="BH34" s="5"/>
      <c r="BI34" s="5"/>
      <c r="BJ34" s="40"/>
      <c r="BK34" s="5"/>
      <c r="BL34" s="5"/>
      <c r="BM34" s="40"/>
      <c r="BN34" s="5"/>
      <c r="BO34" s="5"/>
      <c r="BP34" s="40"/>
      <c r="BQ34" s="5"/>
      <c r="BR34" s="5"/>
      <c r="BS34" s="40"/>
      <c r="BT34" s="5"/>
      <c r="BU34" s="5"/>
      <c r="BV34" s="40"/>
      <c r="BW34" s="5"/>
      <c r="BX34" s="5"/>
      <c r="BY34" s="40"/>
      <c r="BZ34" s="5"/>
      <c r="CA34" s="5"/>
      <c r="CB34" s="40"/>
      <c r="CC34" s="5"/>
      <c r="CD34" s="5"/>
      <c r="CE34" s="40"/>
      <c r="CF34" s="5"/>
      <c r="CG34" s="5"/>
      <c r="CH34" s="40"/>
      <c r="CI34" s="5"/>
      <c r="CJ34" s="5"/>
      <c r="CK34" s="40"/>
      <c r="CL34" s="5"/>
      <c r="CM34" s="5"/>
      <c r="CN34" s="40"/>
      <c r="CO34" s="5"/>
      <c r="CP34" s="5"/>
      <c r="CQ34" s="40"/>
      <c r="CR34" s="5"/>
      <c r="CS34" s="5"/>
      <c r="CT34" s="5"/>
      <c r="CU34" s="5"/>
      <c r="CV34" s="5"/>
      <c r="CW34" s="5"/>
      <c r="CX34" s="5"/>
      <c r="CY34" s="5"/>
      <c r="CZ34" s="5"/>
      <c r="DA34" s="5"/>
      <c r="DB34" s="5"/>
      <c r="DC34" s="5"/>
      <c r="DD34" s="5"/>
      <c r="DE34" s="5"/>
      <c r="DF34" s="5"/>
    </row>
    <row r="35">
      <c r="A35" s="19" t="s">
        <v>53</v>
      </c>
      <c r="B35" s="42" t="s">
        <v>682</v>
      </c>
      <c r="C35" s="21">
        <v>64.0</v>
      </c>
      <c r="D35" s="35" t="b">
        <v>1</v>
      </c>
      <c r="G35" s="5"/>
      <c r="J35" s="5"/>
      <c r="M35" s="5"/>
      <c r="P35" s="5"/>
      <c r="S35" s="5"/>
      <c r="V35" s="5"/>
      <c r="Y35" s="5"/>
      <c r="AB35" s="5"/>
      <c r="AE35" s="5"/>
      <c r="AH35" s="5"/>
      <c r="AK35" s="5"/>
      <c r="AL35" s="40"/>
      <c r="AM35" s="5"/>
      <c r="AN35" s="5"/>
      <c r="AO35" s="40"/>
      <c r="AP35" s="5"/>
      <c r="AQ35" s="5"/>
      <c r="AR35" s="40"/>
      <c r="AS35" s="5"/>
      <c r="AT35" s="5"/>
      <c r="AU35" s="40"/>
      <c r="AV35" s="5"/>
      <c r="AW35" s="5"/>
      <c r="AX35" s="40"/>
      <c r="AY35" s="5"/>
      <c r="AZ35" s="5"/>
      <c r="BA35" s="40"/>
      <c r="BB35" s="5"/>
      <c r="BC35" s="5"/>
      <c r="BD35" s="40"/>
      <c r="BE35" s="5"/>
      <c r="BF35" s="5"/>
      <c r="BG35" s="40"/>
      <c r="BH35" s="5"/>
      <c r="BI35" s="5"/>
      <c r="BJ35" s="40"/>
      <c r="BK35" s="5"/>
      <c r="BL35" s="5"/>
      <c r="BM35" s="40"/>
      <c r="BN35" s="5"/>
      <c r="BO35" s="5"/>
      <c r="BP35" s="40"/>
      <c r="BQ35" s="5"/>
      <c r="BR35" s="5"/>
      <c r="BS35" s="40"/>
      <c r="BT35" s="5"/>
      <c r="BU35" s="5"/>
      <c r="BV35" s="40"/>
      <c r="BW35" s="5"/>
      <c r="BX35" s="5"/>
      <c r="BY35" s="40"/>
      <c r="BZ35" s="5"/>
      <c r="CA35" s="5"/>
      <c r="CB35" s="40"/>
      <c r="CC35" s="5"/>
      <c r="CD35" s="5"/>
      <c r="CE35" s="40"/>
      <c r="CF35" s="5"/>
      <c r="CG35" s="5"/>
      <c r="CH35" s="40"/>
      <c r="CI35" s="5"/>
      <c r="CJ35" s="5"/>
      <c r="CK35" s="40"/>
      <c r="CL35" s="5"/>
      <c r="CM35" s="5"/>
      <c r="CN35" s="40"/>
      <c r="CO35" s="5"/>
      <c r="CP35" s="5"/>
      <c r="CQ35" s="40"/>
      <c r="CR35" s="5"/>
      <c r="CS35" s="5"/>
      <c r="CT35" s="5"/>
      <c r="CU35" s="5"/>
      <c r="CV35" s="5"/>
      <c r="CW35" s="5"/>
      <c r="CX35" s="5"/>
      <c r="CY35" s="5"/>
      <c r="CZ35" s="5"/>
      <c r="DA35" s="5"/>
      <c r="DB35" s="5"/>
      <c r="DC35" s="5"/>
      <c r="DD35" s="5"/>
      <c r="DE35" s="5"/>
      <c r="DF35" s="5"/>
    </row>
    <row r="36">
      <c r="A36" s="19" t="s">
        <v>53</v>
      </c>
      <c r="B36" s="42" t="s">
        <v>683</v>
      </c>
      <c r="C36" s="21">
        <v>70.0</v>
      </c>
      <c r="D36" s="35" t="b">
        <v>1</v>
      </c>
      <c r="G36" s="5"/>
      <c r="J36" s="5"/>
      <c r="M36" s="5"/>
      <c r="P36" s="5"/>
      <c r="S36" s="5"/>
      <c r="V36" s="5"/>
      <c r="Y36" s="5"/>
      <c r="AB36" s="5"/>
      <c r="AE36" s="5"/>
      <c r="AH36" s="5"/>
      <c r="AK36" s="5"/>
      <c r="AL36" s="40"/>
      <c r="AM36" s="5"/>
      <c r="AN36" s="5"/>
      <c r="AO36" s="40"/>
      <c r="AP36" s="5"/>
      <c r="AQ36" s="5"/>
      <c r="AR36" s="40"/>
      <c r="AS36" s="5"/>
      <c r="AT36" s="5"/>
      <c r="AU36" s="40"/>
      <c r="AV36" s="5"/>
      <c r="AW36" s="5"/>
      <c r="AX36" s="40"/>
      <c r="AY36" s="5"/>
      <c r="AZ36" s="5"/>
      <c r="BA36" s="40"/>
      <c r="BB36" s="5"/>
      <c r="BC36" s="5"/>
      <c r="BD36" s="40"/>
      <c r="BE36" s="5"/>
      <c r="BF36" s="5"/>
      <c r="BG36" s="40"/>
      <c r="BH36" s="5"/>
      <c r="BI36" s="5"/>
      <c r="BJ36" s="40"/>
      <c r="BK36" s="5"/>
      <c r="BL36" s="5"/>
      <c r="BM36" s="40"/>
      <c r="BN36" s="5"/>
      <c r="BO36" s="5"/>
      <c r="BP36" s="40"/>
      <c r="BQ36" s="5"/>
      <c r="BR36" s="5"/>
      <c r="BS36" s="40"/>
      <c r="BT36" s="5"/>
      <c r="BU36" s="5"/>
      <c r="BV36" s="40"/>
      <c r="BW36" s="5"/>
      <c r="BX36" s="5"/>
      <c r="BY36" s="40"/>
      <c r="BZ36" s="5"/>
      <c r="CA36" s="5"/>
      <c r="CB36" s="40"/>
      <c r="CC36" s="5"/>
      <c r="CD36" s="5"/>
      <c r="CE36" s="40"/>
      <c r="CF36" s="5"/>
      <c r="CG36" s="5"/>
      <c r="CH36" s="40"/>
      <c r="CI36" s="5"/>
      <c r="CJ36" s="5"/>
      <c r="CK36" s="40"/>
      <c r="CL36" s="5"/>
      <c r="CM36" s="5"/>
      <c r="CN36" s="40"/>
      <c r="CO36" s="5"/>
      <c r="CP36" s="5"/>
      <c r="CQ36" s="40"/>
      <c r="CR36" s="5"/>
      <c r="CS36" s="5"/>
      <c r="CT36" s="5"/>
      <c r="CU36" s="5"/>
      <c r="CV36" s="5"/>
      <c r="CW36" s="5"/>
      <c r="CX36" s="5"/>
      <c r="CY36" s="5"/>
      <c r="CZ36" s="5"/>
      <c r="DA36" s="5"/>
      <c r="DB36" s="5"/>
      <c r="DC36" s="5"/>
      <c r="DD36" s="5"/>
      <c r="DE36" s="5"/>
      <c r="DF36" s="5"/>
    </row>
    <row r="37">
      <c r="A37" s="19" t="s">
        <v>53</v>
      </c>
      <c r="B37" s="42" t="s">
        <v>684</v>
      </c>
      <c r="C37" s="21">
        <v>79.0</v>
      </c>
      <c r="D37" s="35" t="b">
        <v>0</v>
      </c>
      <c r="G37" s="5"/>
      <c r="J37" s="5"/>
      <c r="M37" s="5"/>
      <c r="P37" s="5"/>
      <c r="S37" s="5"/>
      <c r="V37" s="5"/>
      <c r="Y37" s="5"/>
      <c r="AB37" s="5"/>
      <c r="AE37" s="5"/>
      <c r="AH37" s="5"/>
      <c r="AK37" s="5"/>
      <c r="AL37" s="40"/>
      <c r="AM37" s="5"/>
      <c r="AN37" s="5"/>
      <c r="AO37" s="40"/>
      <c r="AP37" s="5"/>
      <c r="AQ37" s="5"/>
      <c r="AR37" s="40"/>
      <c r="AS37" s="5"/>
      <c r="AT37" s="5"/>
      <c r="AU37" s="40"/>
      <c r="AV37" s="5"/>
      <c r="AW37" s="5"/>
      <c r="AX37" s="40"/>
      <c r="AY37" s="5"/>
      <c r="AZ37" s="5"/>
      <c r="BA37" s="40"/>
      <c r="BB37" s="5"/>
      <c r="BC37" s="5"/>
      <c r="BD37" s="40"/>
      <c r="BE37" s="5"/>
      <c r="BF37" s="5"/>
      <c r="BG37" s="40"/>
      <c r="BH37" s="5"/>
      <c r="BI37" s="5"/>
      <c r="BJ37" s="40"/>
      <c r="BK37" s="5"/>
      <c r="BL37" s="5"/>
      <c r="BM37" s="40"/>
      <c r="BN37" s="5"/>
      <c r="BO37" s="5"/>
      <c r="BP37" s="40"/>
      <c r="BQ37" s="5"/>
      <c r="BR37" s="5"/>
      <c r="BS37" s="40"/>
      <c r="BT37" s="5"/>
      <c r="BU37" s="5"/>
      <c r="BV37" s="40"/>
      <c r="BW37" s="5"/>
      <c r="BX37" s="5"/>
      <c r="BY37" s="40"/>
      <c r="BZ37" s="5"/>
      <c r="CA37" s="5"/>
      <c r="CB37" s="40"/>
      <c r="CC37" s="5"/>
      <c r="CD37" s="5"/>
      <c r="CE37" s="40"/>
      <c r="CF37" s="5"/>
      <c r="CG37" s="5"/>
      <c r="CH37" s="40"/>
      <c r="CI37" s="5"/>
      <c r="CJ37" s="5"/>
      <c r="CK37" s="40"/>
      <c r="CL37" s="5"/>
      <c r="CM37" s="5"/>
      <c r="CN37" s="40"/>
      <c r="CO37" s="5"/>
      <c r="CP37" s="5"/>
      <c r="CQ37" s="40"/>
      <c r="CR37" s="5"/>
      <c r="CS37" s="5"/>
      <c r="CT37" s="5"/>
      <c r="CU37" s="5"/>
      <c r="CV37" s="5"/>
      <c r="CW37" s="5"/>
      <c r="CX37" s="5"/>
      <c r="CY37" s="5"/>
      <c r="CZ37" s="5"/>
      <c r="DA37" s="5"/>
      <c r="DB37" s="5"/>
      <c r="DC37" s="5"/>
      <c r="DD37" s="5"/>
      <c r="DE37" s="5"/>
      <c r="DF37" s="5"/>
    </row>
    <row r="38">
      <c r="A38" s="19" t="s">
        <v>53</v>
      </c>
      <c r="B38" s="42" t="s">
        <v>685</v>
      </c>
      <c r="C38" s="21">
        <v>80.0</v>
      </c>
      <c r="D38" s="35" t="b">
        <v>0</v>
      </c>
      <c r="G38" s="5"/>
      <c r="J38" s="5"/>
      <c r="M38" s="5"/>
      <c r="P38" s="5"/>
      <c r="S38" s="5"/>
      <c r="V38" s="5"/>
      <c r="Y38" s="5"/>
      <c r="AB38" s="5"/>
      <c r="AE38" s="5"/>
      <c r="AH38" s="5"/>
      <c r="AK38" s="5"/>
      <c r="AL38" s="40"/>
      <c r="AM38" s="5"/>
      <c r="AN38" s="5"/>
      <c r="AO38" s="40"/>
      <c r="AP38" s="5"/>
      <c r="AQ38" s="5"/>
      <c r="AR38" s="40"/>
      <c r="AS38" s="5"/>
      <c r="AT38" s="5"/>
      <c r="AU38" s="40"/>
      <c r="AV38" s="5"/>
      <c r="AW38" s="5"/>
      <c r="AX38" s="40"/>
      <c r="AY38" s="5"/>
      <c r="AZ38" s="5"/>
      <c r="BA38" s="40"/>
      <c r="BB38" s="5"/>
      <c r="BC38" s="5"/>
      <c r="BD38" s="40"/>
      <c r="BE38" s="5"/>
      <c r="BF38" s="5"/>
      <c r="BG38" s="40"/>
      <c r="BH38" s="5"/>
      <c r="BI38" s="5"/>
      <c r="BJ38" s="40"/>
      <c r="BK38" s="5"/>
      <c r="BL38" s="5"/>
      <c r="BM38" s="40"/>
      <c r="BN38" s="5"/>
      <c r="BO38" s="5"/>
      <c r="BP38" s="40"/>
      <c r="BQ38" s="5"/>
      <c r="BR38" s="5"/>
      <c r="BS38" s="40"/>
      <c r="BT38" s="5"/>
      <c r="BU38" s="5"/>
      <c r="BV38" s="40"/>
      <c r="BW38" s="5"/>
      <c r="BX38" s="5"/>
      <c r="BY38" s="40"/>
      <c r="BZ38" s="5"/>
      <c r="CA38" s="5"/>
      <c r="CB38" s="40"/>
      <c r="CC38" s="5"/>
      <c r="CD38" s="5"/>
      <c r="CE38" s="40"/>
      <c r="CF38" s="5"/>
      <c r="CG38" s="5"/>
      <c r="CH38" s="40"/>
      <c r="CI38" s="5"/>
      <c r="CJ38" s="5"/>
      <c r="CK38" s="40"/>
      <c r="CL38" s="5"/>
      <c r="CM38" s="5"/>
      <c r="CN38" s="40"/>
      <c r="CO38" s="5"/>
      <c r="CP38" s="5"/>
      <c r="CQ38" s="40"/>
      <c r="CR38" s="5"/>
      <c r="CS38" s="5"/>
      <c r="CT38" s="5"/>
      <c r="CU38" s="5"/>
      <c r="CV38" s="5"/>
      <c r="CW38" s="5"/>
      <c r="CX38" s="5"/>
      <c r="CY38" s="5"/>
      <c r="CZ38" s="5"/>
      <c r="DA38" s="5"/>
      <c r="DB38" s="5"/>
      <c r="DC38" s="5"/>
      <c r="DD38" s="5"/>
      <c r="DE38" s="5"/>
      <c r="DF38" s="5"/>
    </row>
    <row r="39">
      <c r="A39" s="19" t="s">
        <v>49</v>
      </c>
      <c r="B39" s="42" t="s">
        <v>686</v>
      </c>
      <c r="C39" s="21">
        <v>85.0</v>
      </c>
      <c r="D39" s="35" t="b">
        <v>1</v>
      </c>
      <c r="G39" s="5"/>
      <c r="J39" s="5"/>
      <c r="M39" s="5"/>
      <c r="P39" s="5"/>
      <c r="S39" s="5"/>
      <c r="V39" s="5"/>
      <c r="Y39" s="5"/>
      <c r="AB39" s="5"/>
      <c r="AE39" s="5"/>
      <c r="AH39" s="5"/>
      <c r="AK39" s="5"/>
      <c r="AL39" s="40"/>
      <c r="AM39" s="5"/>
      <c r="AN39" s="5"/>
      <c r="AO39" s="40"/>
      <c r="AP39" s="5"/>
      <c r="AQ39" s="5"/>
      <c r="AR39" s="40"/>
      <c r="AS39" s="5"/>
      <c r="AT39" s="5"/>
      <c r="AU39" s="40"/>
      <c r="AV39" s="5"/>
      <c r="AW39" s="5"/>
      <c r="AX39" s="40"/>
      <c r="AY39" s="5"/>
      <c r="AZ39" s="5"/>
      <c r="BA39" s="40"/>
      <c r="BB39" s="5"/>
      <c r="BC39" s="5"/>
      <c r="BD39" s="40"/>
      <c r="BE39" s="5"/>
      <c r="BF39" s="5"/>
      <c r="BG39" s="40"/>
      <c r="BH39" s="5"/>
      <c r="BI39" s="5"/>
      <c r="BJ39" s="40"/>
      <c r="BK39" s="5"/>
      <c r="BL39" s="5"/>
      <c r="BM39" s="40"/>
      <c r="BN39" s="5"/>
      <c r="BO39" s="5"/>
      <c r="BP39" s="40"/>
      <c r="BQ39" s="5"/>
      <c r="BR39" s="5"/>
      <c r="BS39" s="40"/>
      <c r="BT39" s="5"/>
      <c r="BU39" s="5"/>
      <c r="BV39" s="40"/>
      <c r="BW39" s="5"/>
      <c r="BX39" s="5"/>
      <c r="BY39" s="40"/>
      <c r="BZ39" s="5"/>
      <c r="CA39" s="5"/>
      <c r="CB39" s="40"/>
      <c r="CC39" s="5"/>
      <c r="CD39" s="5"/>
      <c r="CE39" s="40"/>
      <c r="CF39" s="5"/>
      <c r="CG39" s="5"/>
      <c r="CH39" s="40"/>
      <c r="CI39" s="5"/>
      <c r="CJ39" s="5"/>
      <c r="CK39" s="40"/>
      <c r="CL39" s="5"/>
      <c r="CM39" s="5"/>
      <c r="CN39" s="40"/>
      <c r="CO39" s="5"/>
      <c r="CP39" s="5"/>
      <c r="CQ39" s="40"/>
      <c r="CR39" s="5"/>
      <c r="CS39" s="5"/>
      <c r="CT39" s="5"/>
      <c r="CU39" s="5"/>
      <c r="CV39" s="5"/>
      <c r="CW39" s="5"/>
      <c r="CX39" s="5"/>
      <c r="CY39" s="5"/>
      <c r="CZ39" s="5"/>
      <c r="DA39" s="5"/>
      <c r="DB39" s="5"/>
      <c r="DC39" s="5"/>
      <c r="DD39" s="5"/>
      <c r="DE39" s="5"/>
      <c r="DF39" s="5"/>
    </row>
    <row r="40">
      <c r="A40" s="19" t="s">
        <v>47</v>
      </c>
      <c r="B40" s="42" t="s">
        <v>687</v>
      </c>
      <c r="C40" s="21">
        <v>86.0</v>
      </c>
      <c r="D40" s="35" t="b">
        <v>1</v>
      </c>
      <c r="G40" s="5"/>
      <c r="J40" s="5"/>
      <c r="M40" s="5"/>
      <c r="P40" s="5"/>
      <c r="S40" s="5"/>
      <c r="V40" s="5"/>
      <c r="Y40" s="5"/>
      <c r="AB40" s="5"/>
      <c r="AE40" s="5"/>
      <c r="AH40" s="5"/>
      <c r="AK40" s="5"/>
      <c r="AL40" s="40"/>
      <c r="AM40" s="5"/>
      <c r="AN40" s="5"/>
      <c r="AO40" s="40"/>
      <c r="AP40" s="5"/>
      <c r="AQ40" s="5"/>
      <c r="AR40" s="40"/>
      <c r="AS40" s="5"/>
      <c r="AT40" s="5"/>
      <c r="AU40" s="40"/>
      <c r="AV40" s="5"/>
      <c r="AW40" s="5"/>
      <c r="AX40" s="40"/>
      <c r="AY40" s="5"/>
      <c r="AZ40" s="5"/>
      <c r="BA40" s="40"/>
      <c r="BB40" s="5"/>
      <c r="BC40" s="5"/>
      <c r="BD40" s="40"/>
      <c r="BE40" s="5"/>
      <c r="BF40" s="5"/>
      <c r="BG40" s="40"/>
      <c r="BH40" s="5"/>
      <c r="BI40" s="5"/>
      <c r="BJ40" s="40"/>
      <c r="BK40" s="5"/>
      <c r="BL40" s="5"/>
      <c r="BM40" s="40"/>
      <c r="BN40" s="5"/>
      <c r="BO40" s="5"/>
      <c r="BP40" s="40"/>
      <c r="BQ40" s="5"/>
      <c r="BR40" s="5"/>
      <c r="BS40" s="40"/>
      <c r="BT40" s="5"/>
      <c r="BU40" s="5"/>
      <c r="BV40" s="40"/>
      <c r="BW40" s="5"/>
      <c r="BX40" s="5"/>
      <c r="BY40" s="40"/>
      <c r="BZ40" s="5"/>
      <c r="CA40" s="5"/>
      <c r="CB40" s="40"/>
      <c r="CC40" s="5"/>
      <c r="CD40" s="5"/>
      <c r="CE40" s="40"/>
      <c r="CF40" s="5"/>
      <c r="CG40" s="5"/>
      <c r="CH40" s="40"/>
      <c r="CI40" s="5"/>
      <c r="CJ40" s="5"/>
      <c r="CK40" s="40"/>
      <c r="CL40" s="5"/>
      <c r="CM40" s="5"/>
      <c r="CN40" s="40"/>
      <c r="CO40" s="5"/>
      <c r="CP40" s="5"/>
      <c r="CQ40" s="40"/>
      <c r="CR40" s="5"/>
      <c r="CS40" s="5"/>
      <c r="CT40" s="5"/>
      <c r="CU40" s="5"/>
      <c r="CV40" s="5"/>
      <c r="CW40" s="5"/>
      <c r="CX40" s="5"/>
      <c r="CY40" s="5"/>
      <c r="CZ40" s="5"/>
      <c r="DA40" s="5"/>
      <c r="DB40" s="5"/>
      <c r="DC40" s="5"/>
      <c r="DD40" s="5"/>
      <c r="DE40" s="5"/>
      <c r="DF40" s="5"/>
    </row>
    <row r="41">
      <c r="A41" s="19" t="s">
        <v>53</v>
      </c>
      <c r="B41" s="42" t="s">
        <v>688</v>
      </c>
      <c r="C41" s="21">
        <v>90.0</v>
      </c>
      <c r="D41" s="35" t="b">
        <v>0</v>
      </c>
      <c r="G41" s="5"/>
      <c r="J41" s="5"/>
      <c r="M41" s="5"/>
      <c r="P41" s="5"/>
      <c r="S41" s="5"/>
      <c r="V41" s="5"/>
      <c r="Y41" s="5"/>
      <c r="AB41" s="5"/>
      <c r="AE41" s="5"/>
      <c r="AH41" s="5"/>
      <c r="AK41" s="5"/>
      <c r="AL41" s="40"/>
      <c r="AM41" s="5"/>
      <c r="AN41" s="5"/>
      <c r="AO41" s="40"/>
      <c r="AP41" s="5"/>
      <c r="AQ41" s="5"/>
      <c r="AR41" s="40"/>
      <c r="AS41" s="5"/>
      <c r="AT41" s="5"/>
      <c r="AU41" s="40"/>
      <c r="AV41" s="5"/>
      <c r="AW41" s="5"/>
      <c r="AX41" s="40"/>
      <c r="AY41" s="5"/>
      <c r="AZ41" s="5"/>
      <c r="BA41" s="40"/>
      <c r="BB41" s="5"/>
      <c r="BC41" s="5"/>
      <c r="BD41" s="40"/>
      <c r="BE41" s="5"/>
      <c r="BF41" s="5"/>
      <c r="BG41" s="40"/>
      <c r="BH41" s="5"/>
      <c r="BI41" s="5"/>
      <c r="BJ41" s="40"/>
      <c r="BK41" s="5"/>
      <c r="BL41" s="5"/>
      <c r="BM41" s="40"/>
      <c r="BN41" s="5"/>
      <c r="BO41" s="5"/>
      <c r="BP41" s="40"/>
      <c r="BQ41" s="5"/>
      <c r="BR41" s="5"/>
      <c r="BS41" s="40"/>
      <c r="BT41" s="5"/>
      <c r="BU41" s="5"/>
      <c r="BV41" s="40"/>
      <c r="BW41" s="5"/>
      <c r="BX41" s="5"/>
      <c r="BY41" s="40"/>
      <c r="BZ41" s="5"/>
      <c r="CA41" s="5"/>
      <c r="CB41" s="40"/>
      <c r="CC41" s="5"/>
      <c r="CD41" s="5"/>
      <c r="CE41" s="40"/>
      <c r="CF41" s="5"/>
      <c r="CG41" s="5"/>
      <c r="CH41" s="40"/>
      <c r="CI41" s="5"/>
      <c r="CJ41" s="5"/>
      <c r="CK41" s="40"/>
      <c r="CL41" s="5"/>
      <c r="CM41" s="5"/>
      <c r="CN41" s="40"/>
      <c r="CO41" s="5"/>
      <c r="CP41" s="5"/>
      <c r="CQ41" s="40"/>
      <c r="CR41" s="5"/>
      <c r="CS41" s="5"/>
      <c r="CT41" s="5"/>
      <c r="CU41" s="5"/>
      <c r="CV41" s="5"/>
      <c r="CW41" s="5"/>
      <c r="CX41" s="5"/>
      <c r="CY41" s="5"/>
      <c r="CZ41" s="5"/>
      <c r="DA41" s="5"/>
      <c r="DB41" s="5"/>
      <c r="DC41" s="5"/>
      <c r="DD41" s="5"/>
      <c r="DE41" s="5"/>
      <c r="DF41" s="5"/>
    </row>
    <row r="42">
      <c r="A42" s="19" t="s">
        <v>53</v>
      </c>
      <c r="B42" s="42" t="s">
        <v>689</v>
      </c>
      <c r="C42" s="21">
        <v>90.0</v>
      </c>
      <c r="D42" s="35" t="b">
        <v>0</v>
      </c>
      <c r="G42" s="5"/>
      <c r="J42" s="5"/>
      <c r="M42" s="5"/>
      <c r="P42" s="5"/>
      <c r="S42" s="5"/>
      <c r="V42" s="5"/>
      <c r="Y42" s="5"/>
      <c r="AB42" s="5"/>
      <c r="AE42" s="5"/>
      <c r="AH42" s="5"/>
      <c r="AK42" s="5"/>
      <c r="AL42" s="40"/>
      <c r="AM42" s="5"/>
      <c r="AN42" s="5"/>
      <c r="AO42" s="40"/>
      <c r="AP42" s="5"/>
      <c r="AQ42" s="5"/>
      <c r="AR42" s="40"/>
      <c r="AS42" s="5"/>
      <c r="AT42" s="5"/>
      <c r="AU42" s="40"/>
      <c r="AV42" s="5"/>
      <c r="AW42" s="5"/>
      <c r="AX42" s="40"/>
      <c r="AY42" s="5"/>
      <c r="AZ42" s="5"/>
      <c r="BA42" s="40"/>
      <c r="BB42" s="5"/>
      <c r="BC42" s="5"/>
      <c r="BD42" s="40"/>
      <c r="BE42" s="5"/>
      <c r="BF42" s="5"/>
      <c r="BG42" s="40"/>
      <c r="BH42" s="5"/>
      <c r="BI42" s="5"/>
      <c r="BJ42" s="40"/>
      <c r="BK42" s="5"/>
      <c r="BL42" s="5"/>
      <c r="BM42" s="40"/>
      <c r="BN42" s="5"/>
      <c r="BO42" s="5"/>
      <c r="BP42" s="40"/>
      <c r="BQ42" s="5"/>
      <c r="BR42" s="5"/>
      <c r="BS42" s="40"/>
      <c r="BT42" s="5"/>
      <c r="BU42" s="5"/>
      <c r="BV42" s="40"/>
      <c r="BW42" s="5"/>
      <c r="BX42" s="5"/>
      <c r="BY42" s="40"/>
      <c r="BZ42" s="5"/>
      <c r="CA42" s="5"/>
      <c r="CB42" s="40"/>
      <c r="CC42" s="5"/>
      <c r="CD42" s="5"/>
      <c r="CE42" s="40"/>
      <c r="CF42" s="5"/>
      <c r="CG42" s="5"/>
      <c r="CH42" s="40"/>
      <c r="CI42" s="5"/>
      <c r="CJ42" s="5"/>
      <c r="CK42" s="40"/>
      <c r="CL42" s="5"/>
      <c r="CM42" s="5"/>
      <c r="CN42" s="40"/>
      <c r="CO42" s="5"/>
      <c r="CP42" s="5"/>
      <c r="CQ42" s="40"/>
      <c r="CR42" s="5"/>
      <c r="CS42" s="5"/>
      <c r="CT42" s="5"/>
      <c r="CU42" s="5"/>
      <c r="CV42" s="5"/>
      <c r="CW42" s="5"/>
      <c r="CX42" s="5"/>
      <c r="CY42" s="5"/>
      <c r="CZ42" s="5"/>
      <c r="DA42" s="5"/>
      <c r="DB42" s="5"/>
      <c r="DC42" s="5"/>
      <c r="DD42" s="5"/>
      <c r="DE42" s="5"/>
      <c r="DF42" s="5"/>
    </row>
    <row r="43">
      <c r="A43" s="19" t="s">
        <v>51</v>
      </c>
      <c r="B43" s="42" t="s">
        <v>74</v>
      </c>
      <c r="C43" s="21">
        <v>90.0</v>
      </c>
      <c r="D43" s="35" t="b">
        <v>1</v>
      </c>
      <c r="G43" s="5"/>
      <c r="J43" s="5"/>
      <c r="M43" s="5"/>
      <c r="P43" s="5"/>
      <c r="S43" s="5"/>
      <c r="V43" s="5"/>
      <c r="Y43" s="5"/>
      <c r="AB43" s="5"/>
      <c r="AE43" s="5"/>
      <c r="AH43" s="5"/>
      <c r="AK43" s="5"/>
      <c r="AL43" s="40"/>
      <c r="AM43" s="5"/>
      <c r="AN43" s="5"/>
      <c r="AO43" s="40"/>
      <c r="AP43" s="5"/>
      <c r="AQ43" s="5"/>
      <c r="AR43" s="40"/>
      <c r="AS43" s="5"/>
      <c r="AT43" s="5"/>
      <c r="AU43" s="40"/>
      <c r="AV43" s="5"/>
      <c r="AW43" s="5"/>
      <c r="AX43" s="40"/>
      <c r="AY43" s="5"/>
      <c r="AZ43" s="5"/>
      <c r="BA43" s="40"/>
      <c r="BB43" s="5"/>
      <c r="BC43" s="5"/>
      <c r="BD43" s="40"/>
      <c r="BE43" s="5"/>
      <c r="BF43" s="5"/>
      <c r="BG43" s="40"/>
      <c r="BH43" s="5"/>
      <c r="BI43" s="5"/>
      <c r="BJ43" s="40"/>
      <c r="BK43" s="5"/>
      <c r="BL43" s="5"/>
      <c r="BM43" s="40"/>
      <c r="BN43" s="5"/>
      <c r="BO43" s="5"/>
      <c r="BP43" s="40"/>
      <c r="BQ43" s="5"/>
      <c r="BR43" s="5"/>
      <c r="BS43" s="40"/>
      <c r="BT43" s="5"/>
      <c r="BU43" s="5"/>
      <c r="BV43" s="40"/>
      <c r="BW43" s="5"/>
      <c r="BX43" s="5"/>
      <c r="BY43" s="40"/>
      <c r="BZ43" s="5"/>
      <c r="CA43" s="5"/>
      <c r="CB43" s="40"/>
      <c r="CC43" s="5"/>
      <c r="CD43" s="5"/>
      <c r="CE43" s="40"/>
      <c r="CF43" s="5"/>
      <c r="CG43" s="5"/>
      <c r="CH43" s="40"/>
      <c r="CI43" s="5"/>
      <c r="CJ43" s="5"/>
      <c r="CK43" s="40"/>
      <c r="CL43" s="5"/>
      <c r="CM43" s="5"/>
      <c r="CN43" s="40"/>
      <c r="CO43" s="5"/>
      <c r="CP43" s="5"/>
      <c r="CQ43" s="40"/>
      <c r="CR43" s="5"/>
      <c r="CS43" s="5"/>
      <c r="CT43" s="5"/>
      <c r="CU43" s="5"/>
      <c r="CV43" s="5"/>
      <c r="CW43" s="5"/>
      <c r="CX43" s="5"/>
      <c r="CY43" s="5"/>
      <c r="CZ43" s="5"/>
      <c r="DA43" s="5"/>
      <c r="DB43" s="5"/>
      <c r="DC43" s="5"/>
      <c r="DD43" s="5"/>
      <c r="DE43" s="5"/>
      <c r="DF43" s="5"/>
    </row>
    <row r="44">
      <c r="G44" s="5"/>
      <c r="J44" s="5"/>
      <c r="M44" s="5"/>
      <c r="P44" s="5"/>
      <c r="S44" s="5"/>
      <c r="V44" s="5"/>
      <c r="Y44" s="5"/>
      <c r="AB44" s="5"/>
      <c r="AE44" s="5"/>
      <c r="AH44" s="5"/>
      <c r="AK44" s="5"/>
      <c r="AL44" s="40"/>
      <c r="AM44" s="5"/>
      <c r="AN44" s="5"/>
      <c r="AO44" s="40"/>
      <c r="AP44" s="5"/>
      <c r="AQ44" s="5"/>
      <c r="AR44" s="40"/>
      <c r="AS44" s="5"/>
      <c r="AT44" s="5"/>
      <c r="AU44" s="40"/>
      <c r="AV44" s="5"/>
      <c r="AW44" s="5"/>
      <c r="AX44" s="40"/>
      <c r="AY44" s="5"/>
      <c r="AZ44" s="5"/>
      <c r="BA44" s="40"/>
      <c r="BB44" s="5"/>
      <c r="BC44" s="5"/>
      <c r="BD44" s="40"/>
      <c r="BE44" s="5"/>
      <c r="BF44" s="5"/>
      <c r="BG44" s="40"/>
      <c r="BH44" s="5"/>
      <c r="BI44" s="5"/>
      <c r="BJ44" s="40"/>
      <c r="BK44" s="5"/>
      <c r="BL44" s="5"/>
      <c r="BM44" s="40"/>
      <c r="BN44" s="5"/>
      <c r="BO44" s="5"/>
      <c r="BP44" s="40"/>
      <c r="BQ44" s="5"/>
      <c r="BR44" s="5"/>
      <c r="BS44" s="40"/>
      <c r="BT44" s="5"/>
      <c r="BU44" s="5"/>
      <c r="BV44" s="40"/>
      <c r="BW44" s="5"/>
      <c r="BX44" s="5"/>
      <c r="BY44" s="40"/>
      <c r="BZ44" s="5"/>
      <c r="CA44" s="5"/>
      <c r="CB44" s="40"/>
      <c r="CC44" s="5"/>
      <c r="CD44" s="5"/>
      <c r="CE44" s="40"/>
      <c r="CF44" s="5"/>
      <c r="CG44" s="5"/>
      <c r="CH44" s="40"/>
      <c r="CI44" s="5"/>
      <c r="CJ44" s="5"/>
      <c r="CK44" s="40"/>
      <c r="CL44" s="5"/>
      <c r="CM44" s="5"/>
      <c r="CN44" s="40"/>
      <c r="CO44" s="5"/>
      <c r="CP44" s="5"/>
      <c r="CQ44" s="40"/>
      <c r="CR44" s="5"/>
      <c r="CS44" s="5"/>
      <c r="CT44" s="5"/>
      <c r="CU44" s="5"/>
      <c r="CV44" s="5"/>
      <c r="CW44" s="5"/>
      <c r="CX44" s="5"/>
      <c r="CY44" s="5"/>
      <c r="CZ44" s="5"/>
      <c r="DA44" s="5"/>
      <c r="DB44" s="5"/>
      <c r="DC44" s="5"/>
      <c r="DD44" s="5"/>
      <c r="DE44" s="5"/>
      <c r="DF44" s="5"/>
    </row>
    <row r="45">
      <c r="A45" s="36"/>
      <c r="D45" s="19"/>
      <c r="G45" s="5"/>
      <c r="J45" s="5"/>
      <c r="M45" s="5"/>
      <c r="P45" s="5"/>
      <c r="S45" s="5"/>
      <c r="V45" s="5"/>
      <c r="Y45" s="5"/>
      <c r="AB45" s="5"/>
      <c r="AE45" s="5"/>
      <c r="AH45" s="5"/>
      <c r="AK45" s="5"/>
      <c r="AL45" s="40"/>
      <c r="AM45" s="5"/>
      <c r="AN45" s="5"/>
      <c r="AO45" s="40"/>
      <c r="AP45" s="5"/>
      <c r="AQ45" s="5"/>
      <c r="AR45" s="40"/>
      <c r="AS45" s="5"/>
      <c r="AT45" s="5"/>
      <c r="AU45" s="40"/>
      <c r="AV45" s="5"/>
      <c r="AW45" s="5"/>
      <c r="AX45" s="40"/>
      <c r="AY45" s="5"/>
      <c r="AZ45" s="5"/>
      <c r="BA45" s="40"/>
      <c r="BB45" s="5"/>
      <c r="BC45" s="5"/>
      <c r="BD45" s="40"/>
      <c r="BE45" s="5"/>
      <c r="BF45" s="5"/>
      <c r="BG45" s="40"/>
      <c r="BH45" s="5"/>
      <c r="BI45" s="5"/>
      <c r="BJ45" s="40"/>
      <c r="BK45" s="5"/>
      <c r="BL45" s="5"/>
      <c r="BM45" s="40"/>
      <c r="BN45" s="5"/>
      <c r="BO45" s="5"/>
      <c r="BP45" s="40"/>
      <c r="BQ45" s="5"/>
      <c r="BR45" s="5"/>
      <c r="BS45" s="40"/>
      <c r="BT45" s="5"/>
      <c r="BU45" s="5"/>
      <c r="BV45" s="40"/>
      <c r="BW45" s="5"/>
      <c r="BX45" s="5"/>
      <c r="BY45" s="40"/>
      <c r="BZ45" s="5"/>
      <c r="CA45" s="5"/>
      <c r="CB45" s="40"/>
      <c r="CC45" s="5"/>
      <c r="CD45" s="5"/>
      <c r="CE45" s="40"/>
      <c r="CF45" s="5"/>
      <c r="CG45" s="5"/>
      <c r="CH45" s="40"/>
      <c r="CI45" s="5"/>
      <c r="CJ45" s="5"/>
      <c r="CK45" s="40"/>
      <c r="CL45" s="5"/>
      <c r="CM45" s="5"/>
      <c r="CN45" s="40"/>
      <c r="CO45" s="5"/>
      <c r="CP45" s="5"/>
      <c r="CQ45" s="40"/>
      <c r="CR45" s="5"/>
      <c r="CS45" s="5"/>
      <c r="CT45" s="5"/>
      <c r="CU45" s="5"/>
      <c r="CV45" s="5"/>
      <c r="CW45" s="5"/>
      <c r="CX45" s="5"/>
      <c r="CY45" s="5"/>
      <c r="CZ45" s="5"/>
      <c r="DA45" s="5"/>
      <c r="DB45" s="5"/>
      <c r="DC45" s="5"/>
      <c r="DD45" s="5"/>
      <c r="DE45" s="5"/>
      <c r="DF45" s="5"/>
    </row>
    <row r="46">
      <c r="B46" s="36"/>
      <c r="C46" s="26"/>
      <c r="D46" s="19"/>
      <c r="G46" s="5"/>
      <c r="J46" s="5"/>
      <c r="M46" s="5"/>
      <c r="P46" s="5"/>
      <c r="S46" s="5"/>
      <c r="V46" s="5"/>
      <c r="Y46" s="5"/>
      <c r="AB46" s="5"/>
      <c r="AE46" s="5"/>
      <c r="AH46" s="5"/>
      <c r="AK46" s="5"/>
      <c r="AL46" s="40"/>
      <c r="AM46" s="5"/>
      <c r="AN46" s="5"/>
      <c r="AO46" s="40"/>
      <c r="AP46" s="5"/>
      <c r="AQ46" s="5"/>
      <c r="AR46" s="40"/>
      <c r="AS46" s="5"/>
      <c r="AT46" s="5"/>
      <c r="AU46" s="40"/>
      <c r="AV46" s="5"/>
      <c r="AW46" s="5"/>
      <c r="AX46" s="40"/>
      <c r="AY46" s="5"/>
      <c r="AZ46" s="5"/>
      <c r="BA46" s="40"/>
      <c r="BB46" s="5"/>
      <c r="BC46" s="5"/>
      <c r="BD46" s="40"/>
      <c r="BE46" s="5"/>
      <c r="BF46" s="5"/>
      <c r="BG46" s="40"/>
      <c r="BH46" s="5"/>
      <c r="BI46" s="5"/>
      <c r="BJ46" s="40"/>
      <c r="BK46" s="5"/>
      <c r="BL46" s="5"/>
      <c r="BM46" s="40"/>
      <c r="BN46" s="5"/>
      <c r="BO46" s="5"/>
      <c r="BP46" s="40"/>
      <c r="BQ46" s="5"/>
      <c r="BR46" s="5"/>
      <c r="BS46" s="40"/>
      <c r="BT46" s="5"/>
      <c r="BU46" s="5"/>
      <c r="BV46" s="40"/>
      <c r="BW46" s="5"/>
      <c r="BX46" s="5"/>
      <c r="BY46" s="40"/>
      <c r="BZ46" s="5"/>
      <c r="CA46" s="5"/>
      <c r="CB46" s="40"/>
      <c r="CC46" s="5"/>
      <c r="CD46" s="5"/>
      <c r="CE46" s="40"/>
      <c r="CF46" s="5"/>
      <c r="CG46" s="5"/>
      <c r="CH46" s="40"/>
      <c r="CI46" s="5"/>
      <c r="CJ46" s="5"/>
      <c r="CK46" s="40"/>
      <c r="CL46" s="5"/>
      <c r="CM46" s="5"/>
      <c r="CN46" s="40"/>
      <c r="CO46" s="5"/>
      <c r="CP46" s="5"/>
      <c r="CQ46" s="40"/>
      <c r="CR46" s="5"/>
      <c r="CS46" s="5"/>
      <c r="CT46" s="5"/>
      <c r="CU46" s="5"/>
      <c r="CV46" s="5"/>
      <c r="CW46" s="5"/>
      <c r="CX46" s="5"/>
      <c r="CY46" s="5"/>
      <c r="CZ46" s="5"/>
      <c r="DA46" s="5"/>
      <c r="DB46" s="5"/>
      <c r="DC46" s="5"/>
      <c r="DD46" s="5"/>
      <c r="DE46" s="5"/>
      <c r="DF46" s="5"/>
    </row>
    <row r="47">
      <c r="A47" s="37"/>
      <c r="B47" s="36"/>
      <c r="C47" s="36"/>
      <c r="D47" s="19"/>
      <c r="G47" s="5"/>
      <c r="J47" s="5"/>
      <c r="M47" s="5"/>
      <c r="P47" s="5"/>
      <c r="S47" s="5"/>
      <c r="V47" s="5"/>
      <c r="Y47" s="5"/>
      <c r="AB47" s="5"/>
      <c r="AE47" s="5"/>
      <c r="AH47" s="5"/>
      <c r="AK47" s="5"/>
      <c r="AL47" s="40"/>
      <c r="AM47" s="5"/>
      <c r="AN47" s="5"/>
      <c r="AO47" s="40"/>
      <c r="AP47" s="5"/>
      <c r="AQ47" s="5"/>
      <c r="AR47" s="40"/>
      <c r="AS47" s="5"/>
      <c r="AT47" s="5"/>
      <c r="AU47" s="40"/>
      <c r="AV47" s="5"/>
      <c r="AW47" s="5"/>
      <c r="AX47" s="40"/>
      <c r="AY47" s="5"/>
      <c r="AZ47" s="5"/>
      <c r="BA47" s="40"/>
      <c r="BB47" s="5"/>
      <c r="BC47" s="5"/>
      <c r="BD47" s="40"/>
      <c r="BE47" s="5"/>
      <c r="BF47" s="5"/>
      <c r="BG47" s="40"/>
      <c r="BH47" s="5"/>
      <c r="BI47" s="5"/>
      <c r="BJ47" s="40"/>
      <c r="BK47" s="5"/>
      <c r="BL47" s="5"/>
      <c r="BM47" s="40"/>
      <c r="BN47" s="5"/>
      <c r="BO47" s="5"/>
      <c r="BP47" s="40"/>
      <c r="BQ47" s="5"/>
      <c r="BR47" s="5"/>
      <c r="BS47" s="40"/>
      <c r="BT47" s="5"/>
      <c r="BU47" s="5"/>
      <c r="BV47" s="40"/>
      <c r="BW47" s="5"/>
      <c r="BX47" s="5"/>
      <c r="BY47" s="40"/>
      <c r="BZ47" s="5"/>
      <c r="CA47" s="5"/>
      <c r="CB47" s="40"/>
      <c r="CC47" s="5"/>
      <c r="CD47" s="5"/>
      <c r="CE47" s="40"/>
      <c r="CF47" s="5"/>
      <c r="CG47" s="5"/>
      <c r="CH47" s="40"/>
      <c r="CI47" s="5"/>
      <c r="CJ47" s="5"/>
      <c r="CK47" s="40"/>
      <c r="CL47" s="5"/>
      <c r="CM47" s="5"/>
      <c r="CN47" s="40"/>
      <c r="CO47" s="5"/>
      <c r="CP47" s="5"/>
      <c r="CQ47" s="40"/>
      <c r="CR47" s="5"/>
      <c r="CS47" s="5"/>
      <c r="CT47" s="5"/>
      <c r="CU47" s="5"/>
      <c r="CV47" s="5"/>
      <c r="CW47" s="5"/>
      <c r="CX47" s="5"/>
      <c r="CY47" s="5"/>
      <c r="CZ47" s="5"/>
      <c r="DA47" s="5"/>
      <c r="DB47" s="5"/>
      <c r="DC47" s="5"/>
      <c r="DD47" s="5"/>
      <c r="DE47" s="5"/>
      <c r="DF47" s="5"/>
    </row>
    <row r="48">
      <c r="A48" s="19"/>
      <c r="B48" s="26"/>
      <c r="C48" s="21"/>
      <c r="D48" s="19"/>
      <c r="G48" s="5"/>
      <c r="J48" s="5"/>
      <c r="M48" s="5"/>
      <c r="P48" s="5"/>
      <c r="S48" s="5"/>
      <c r="V48" s="5"/>
      <c r="Y48" s="5"/>
      <c r="AB48" s="5"/>
      <c r="AE48" s="5"/>
      <c r="AH48" s="5"/>
      <c r="AK48" s="5"/>
      <c r="AL48" s="40"/>
      <c r="AM48" s="5"/>
      <c r="AN48" s="5"/>
      <c r="AO48" s="40"/>
      <c r="AP48" s="5"/>
      <c r="AQ48" s="5"/>
      <c r="AR48" s="40"/>
      <c r="AS48" s="5"/>
      <c r="AT48" s="5"/>
      <c r="AU48" s="40"/>
      <c r="AV48" s="5"/>
      <c r="AW48" s="5"/>
      <c r="AX48" s="40"/>
      <c r="AY48" s="5"/>
      <c r="AZ48" s="5"/>
      <c r="BA48" s="40"/>
      <c r="BB48" s="5"/>
      <c r="BC48" s="5"/>
      <c r="BD48" s="40"/>
      <c r="BE48" s="5"/>
      <c r="BF48" s="5"/>
      <c r="BG48" s="40"/>
      <c r="BH48" s="5"/>
      <c r="BI48" s="5"/>
      <c r="BJ48" s="40"/>
      <c r="BK48" s="5"/>
      <c r="BL48" s="5"/>
      <c r="BM48" s="40"/>
      <c r="BN48" s="5"/>
      <c r="BO48" s="5"/>
      <c r="BP48" s="40"/>
      <c r="BQ48" s="5"/>
      <c r="BR48" s="5"/>
      <c r="BS48" s="40"/>
      <c r="BT48" s="5"/>
      <c r="BU48" s="5"/>
      <c r="BV48" s="40"/>
      <c r="BW48" s="5"/>
      <c r="BX48" s="5"/>
      <c r="BY48" s="40"/>
      <c r="BZ48" s="5"/>
      <c r="CA48" s="5"/>
      <c r="CB48" s="40"/>
      <c r="CC48" s="5"/>
      <c r="CD48" s="5"/>
      <c r="CE48" s="40"/>
      <c r="CF48" s="5"/>
      <c r="CG48" s="5"/>
      <c r="CH48" s="40"/>
      <c r="CI48" s="5"/>
      <c r="CJ48" s="5"/>
      <c r="CK48" s="40"/>
      <c r="CL48" s="5"/>
      <c r="CM48" s="5"/>
      <c r="CN48" s="40"/>
      <c r="CO48" s="5"/>
      <c r="CP48" s="5"/>
      <c r="CQ48" s="40"/>
      <c r="CR48" s="5"/>
      <c r="CS48" s="5"/>
      <c r="CT48" s="5"/>
      <c r="CU48" s="5"/>
      <c r="CV48" s="5"/>
      <c r="CW48" s="5"/>
      <c r="CX48" s="5"/>
      <c r="CY48" s="5"/>
      <c r="CZ48" s="5"/>
      <c r="DA48" s="5"/>
      <c r="DB48" s="5"/>
      <c r="DC48" s="5"/>
      <c r="DD48" s="5"/>
      <c r="DE48" s="5"/>
      <c r="DF48" s="5"/>
    </row>
    <row r="49">
      <c r="A49" s="19"/>
      <c r="B49" s="26"/>
      <c r="C49" s="21"/>
      <c r="D49" s="19"/>
      <c r="G49" s="5"/>
      <c r="J49" s="5"/>
      <c r="M49" s="5"/>
      <c r="P49" s="5"/>
      <c r="S49" s="5"/>
      <c r="V49" s="5"/>
      <c r="Y49" s="5"/>
      <c r="AB49" s="5"/>
      <c r="AE49" s="5"/>
      <c r="AH49" s="5"/>
      <c r="AK49" s="5"/>
      <c r="AL49" s="40"/>
      <c r="AM49" s="5"/>
      <c r="AN49" s="5"/>
      <c r="AO49" s="40"/>
      <c r="AP49" s="5"/>
      <c r="AQ49" s="5"/>
      <c r="AR49" s="40"/>
      <c r="AS49" s="5"/>
      <c r="AT49" s="5"/>
      <c r="AU49" s="40"/>
      <c r="AV49" s="5"/>
      <c r="AW49" s="5"/>
      <c r="AX49" s="40"/>
      <c r="AY49" s="5"/>
      <c r="AZ49" s="5"/>
      <c r="BA49" s="40"/>
      <c r="BB49" s="5"/>
      <c r="BC49" s="5"/>
      <c r="BD49" s="40"/>
      <c r="BE49" s="5"/>
      <c r="BF49" s="5"/>
      <c r="BG49" s="40"/>
      <c r="BH49" s="5"/>
      <c r="BI49" s="5"/>
      <c r="BJ49" s="40"/>
      <c r="BK49" s="5"/>
      <c r="BL49" s="5"/>
      <c r="BM49" s="40"/>
      <c r="BN49" s="5"/>
      <c r="BO49" s="5"/>
      <c r="BP49" s="40"/>
      <c r="BQ49" s="5"/>
      <c r="BR49" s="5"/>
      <c r="BS49" s="40"/>
      <c r="BT49" s="5"/>
      <c r="BU49" s="5"/>
      <c r="BV49" s="40"/>
      <c r="BW49" s="5"/>
      <c r="BX49" s="5"/>
      <c r="BY49" s="40"/>
      <c r="BZ49" s="5"/>
      <c r="CA49" s="5"/>
      <c r="CB49" s="40"/>
      <c r="CC49" s="5"/>
      <c r="CD49" s="5"/>
      <c r="CE49" s="40"/>
      <c r="CF49" s="5"/>
      <c r="CG49" s="5"/>
      <c r="CH49" s="40"/>
      <c r="CI49" s="5"/>
      <c r="CJ49" s="5"/>
      <c r="CK49" s="40"/>
      <c r="CL49" s="5"/>
      <c r="CM49" s="5"/>
      <c r="CN49" s="40"/>
      <c r="CO49" s="5"/>
      <c r="CP49" s="5"/>
      <c r="CQ49" s="40"/>
      <c r="CR49" s="5"/>
      <c r="CS49" s="5"/>
      <c r="CT49" s="5"/>
      <c r="CU49" s="5"/>
      <c r="CV49" s="5"/>
      <c r="CW49" s="5"/>
      <c r="CX49" s="5"/>
      <c r="CY49" s="5"/>
      <c r="CZ49" s="5"/>
      <c r="DA49" s="5"/>
      <c r="DB49" s="5"/>
      <c r="DC49" s="5"/>
      <c r="DD49" s="5"/>
      <c r="DE49" s="5"/>
      <c r="DF49" s="5"/>
    </row>
    <row r="50">
      <c r="A50" s="19"/>
      <c r="B50" s="26"/>
      <c r="C50" s="21"/>
      <c r="D50" s="19"/>
      <c r="G50" s="5"/>
      <c r="J50" s="5"/>
      <c r="M50" s="5"/>
      <c r="P50" s="5"/>
      <c r="S50" s="5"/>
      <c r="V50" s="5"/>
      <c r="Y50" s="5"/>
      <c r="AB50" s="5"/>
      <c r="AE50" s="5"/>
      <c r="AH50" s="5"/>
      <c r="AK50" s="5"/>
      <c r="AL50" s="40"/>
      <c r="AM50" s="5"/>
      <c r="AN50" s="5"/>
      <c r="AO50" s="40"/>
      <c r="AP50" s="5"/>
      <c r="AQ50" s="5"/>
      <c r="AR50" s="40"/>
      <c r="AS50" s="5"/>
      <c r="AT50" s="5"/>
      <c r="AU50" s="40"/>
      <c r="AV50" s="5"/>
      <c r="AW50" s="5"/>
      <c r="AX50" s="40"/>
      <c r="AY50" s="5"/>
      <c r="AZ50" s="5"/>
      <c r="BA50" s="40"/>
      <c r="BB50" s="5"/>
      <c r="BC50" s="5"/>
      <c r="BD50" s="40"/>
      <c r="BE50" s="5"/>
      <c r="BF50" s="5"/>
      <c r="BG50" s="40"/>
      <c r="BH50" s="5"/>
      <c r="BI50" s="5"/>
      <c r="BJ50" s="40"/>
      <c r="BK50" s="5"/>
      <c r="BL50" s="5"/>
      <c r="BM50" s="40"/>
      <c r="BN50" s="5"/>
      <c r="BO50" s="5"/>
      <c r="BP50" s="40"/>
      <c r="BQ50" s="5"/>
      <c r="BR50" s="5"/>
      <c r="BS50" s="40"/>
      <c r="BT50" s="5"/>
      <c r="BU50" s="5"/>
      <c r="BV50" s="40"/>
      <c r="BW50" s="5"/>
      <c r="BX50" s="5"/>
      <c r="BY50" s="40"/>
      <c r="BZ50" s="5"/>
      <c r="CA50" s="5"/>
      <c r="CB50" s="40"/>
      <c r="CC50" s="5"/>
      <c r="CD50" s="5"/>
      <c r="CE50" s="40"/>
      <c r="CF50" s="5"/>
      <c r="CG50" s="5"/>
      <c r="CH50" s="40"/>
      <c r="CI50" s="5"/>
      <c r="CJ50" s="5"/>
      <c r="CK50" s="40"/>
      <c r="CL50" s="5"/>
      <c r="CM50" s="5"/>
      <c r="CN50" s="40"/>
      <c r="CO50" s="5"/>
      <c r="CP50" s="5"/>
      <c r="CQ50" s="40"/>
      <c r="CR50" s="5"/>
      <c r="CS50" s="5"/>
      <c r="CT50" s="5"/>
      <c r="CU50" s="5"/>
      <c r="CV50" s="5"/>
      <c r="CW50" s="5"/>
      <c r="CX50" s="5"/>
      <c r="CY50" s="5"/>
      <c r="CZ50" s="5"/>
      <c r="DA50" s="5"/>
      <c r="DB50" s="5"/>
      <c r="DC50" s="5"/>
      <c r="DD50" s="5"/>
      <c r="DE50" s="5"/>
      <c r="DF50" s="5"/>
    </row>
    <row r="51">
      <c r="A51" s="19"/>
      <c r="B51" s="26"/>
      <c r="C51" s="21"/>
      <c r="D51" s="19"/>
      <c r="G51" s="5"/>
      <c r="J51" s="5"/>
      <c r="M51" s="5"/>
      <c r="P51" s="5"/>
      <c r="S51" s="5"/>
      <c r="V51" s="5"/>
      <c r="Y51" s="5"/>
      <c r="AB51" s="5"/>
      <c r="AE51" s="5"/>
      <c r="AH51" s="5"/>
      <c r="AK51" s="5"/>
      <c r="AL51" s="40"/>
      <c r="AM51" s="5"/>
      <c r="AN51" s="5"/>
      <c r="AO51" s="40"/>
      <c r="AP51" s="5"/>
      <c r="AQ51" s="5"/>
      <c r="AR51" s="40"/>
      <c r="AS51" s="5"/>
      <c r="AT51" s="5"/>
      <c r="AU51" s="40"/>
      <c r="AV51" s="5"/>
      <c r="AW51" s="5"/>
      <c r="AX51" s="40"/>
      <c r="AY51" s="5"/>
      <c r="AZ51" s="5"/>
      <c r="BA51" s="40"/>
      <c r="BB51" s="5"/>
      <c r="BC51" s="5"/>
      <c r="BD51" s="40"/>
      <c r="BE51" s="5"/>
      <c r="BF51" s="5"/>
      <c r="BG51" s="40"/>
      <c r="BH51" s="5"/>
      <c r="BI51" s="5"/>
      <c r="BJ51" s="40"/>
      <c r="BK51" s="5"/>
      <c r="BL51" s="5"/>
      <c r="BM51" s="40"/>
      <c r="BN51" s="5"/>
      <c r="BO51" s="5"/>
      <c r="BP51" s="40"/>
      <c r="BQ51" s="5"/>
      <c r="BR51" s="5"/>
      <c r="BS51" s="40"/>
      <c r="BT51" s="5"/>
      <c r="BU51" s="5"/>
      <c r="BV51" s="40"/>
      <c r="BW51" s="5"/>
      <c r="BX51" s="5"/>
      <c r="BY51" s="40"/>
      <c r="BZ51" s="5"/>
      <c r="CA51" s="5"/>
      <c r="CB51" s="40"/>
      <c r="CC51" s="5"/>
      <c r="CD51" s="5"/>
      <c r="CE51" s="40"/>
      <c r="CF51" s="5"/>
      <c r="CG51" s="5"/>
      <c r="CH51" s="40"/>
      <c r="CI51" s="5"/>
      <c r="CJ51" s="5"/>
      <c r="CK51" s="40"/>
      <c r="CL51" s="5"/>
      <c r="CM51" s="5"/>
      <c r="CN51" s="40"/>
      <c r="CO51" s="5"/>
      <c r="CP51" s="5"/>
      <c r="CQ51" s="40"/>
      <c r="CR51" s="5"/>
      <c r="CS51" s="5"/>
      <c r="CT51" s="5"/>
      <c r="CU51" s="5"/>
      <c r="CV51" s="5"/>
      <c r="CW51" s="5"/>
      <c r="CX51" s="5"/>
      <c r="CY51" s="5"/>
      <c r="CZ51" s="5"/>
      <c r="DA51" s="5"/>
      <c r="DB51" s="5"/>
      <c r="DC51" s="5"/>
      <c r="DD51" s="5"/>
      <c r="DE51" s="5"/>
      <c r="DF51" s="5"/>
    </row>
    <row r="52">
      <c r="A52" s="19"/>
      <c r="B52" s="26"/>
      <c r="C52" s="21"/>
      <c r="D52" s="19"/>
      <c r="G52" s="5"/>
      <c r="J52" s="5"/>
      <c r="M52" s="5"/>
      <c r="P52" s="5"/>
      <c r="S52" s="5"/>
      <c r="V52" s="5"/>
      <c r="Y52" s="5"/>
      <c r="AB52" s="5"/>
      <c r="AE52" s="5"/>
      <c r="AH52" s="5"/>
      <c r="AK52" s="5"/>
      <c r="AL52" s="40"/>
      <c r="AM52" s="5"/>
      <c r="AN52" s="5"/>
      <c r="AO52" s="40"/>
      <c r="AP52" s="5"/>
      <c r="AQ52" s="5"/>
      <c r="AR52" s="40"/>
      <c r="AS52" s="5"/>
      <c r="AT52" s="5"/>
      <c r="AU52" s="40"/>
      <c r="AV52" s="5"/>
      <c r="AW52" s="5"/>
      <c r="AX52" s="40"/>
      <c r="AY52" s="5"/>
      <c r="AZ52" s="5"/>
      <c r="BA52" s="40"/>
      <c r="BB52" s="5"/>
      <c r="BC52" s="5"/>
      <c r="BD52" s="40"/>
      <c r="BE52" s="5"/>
      <c r="BF52" s="5"/>
      <c r="BG52" s="40"/>
      <c r="BH52" s="5"/>
      <c r="BI52" s="5"/>
      <c r="BJ52" s="40"/>
      <c r="BK52" s="5"/>
      <c r="BL52" s="5"/>
      <c r="BM52" s="40"/>
      <c r="BN52" s="5"/>
      <c r="BO52" s="5"/>
      <c r="BP52" s="40"/>
      <c r="BQ52" s="5"/>
      <c r="BR52" s="5"/>
      <c r="BS52" s="40"/>
      <c r="BT52" s="5"/>
      <c r="BU52" s="5"/>
      <c r="BV52" s="40"/>
      <c r="BW52" s="5"/>
      <c r="BX52" s="5"/>
      <c r="BY52" s="40"/>
      <c r="BZ52" s="5"/>
      <c r="CA52" s="5"/>
      <c r="CB52" s="40"/>
      <c r="CC52" s="5"/>
      <c r="CD52" s="5"/>
      <c r="CE52" s="40"/>
      <c r="CF52" s="5"/>
      <c r="CG52" s="5"/>
      <c r="CH52" s="40"/>
      <c r="CI52" s="5"/>
      <c r="CJ52" s="5"/>
      <c r="CK52" s="40"/>
      <c r="CL52" s="5"/>
      <c r="CM52" s="5"/>
      <c r="CN52" s="40"/>
      <c r="CO52" s="5"/>
      <c r="CP52" s="5"/>
      <c r="CQ52" s="40"/>
      <c r="CR52" s="5"/>
      <c r="CS52" s="5"/>
      <c r="CT52" s="5"/>
      <c r="CU52" s="5"/>
      <c r="CV52" s="5"/>
      <c r="CW52" s="5"/>
      <c r="CX52" s="5"/>
      <c r="CY52" s="5"/>
      <c r="CZ52" s="5"/>
      <c r="DA52" s="5"/>
      <c r="DB52" s="5"/>
      <c r="DC52" s="5"/>
      <c r="DD52" s="5"/>
      <c r="DE52" s="5"/>
      <c r="DF52" s="5"/>
    </row>
    <row r="53">
      <c r="A53" s="19"/>
      <c r="B53" s="26"/>
      <c r="C53" s="21"/>
      <c r="D53" s="19"/>
      <c r="G53" s="5"/>
      <c r="J53" s="5"/>
      <c r="M53" s="5"/>
      <c r="P53" s="5"/>
      <c r="S53" s="5"/>
      <c r="V53" s="5"/>
      <c r="Y53" s="5"/>
      <c r="AB53" s="5"/>
      <c r="AE53" s="5"/>
      <c r="AH53" s="5"/>
      <c r="AK53" s="5"/>
      <c r="AL53" s="40"/>
      <c r="AM53" s="5"/>
      <c r="AN53" s="5"/>
      <c r="AO53" s="40"/>
      <c r="AP53" s="5"/>
      <c r="AQ53" s="5"/>
      <c r="AR53" s="40"/>
      <c r="AS53" s="5"/>
      <c r="AT53" s="5"/>
      <c r="AU53" s="40"/>
      <c r="AV53" s="5"/>
      <c r="AW53" s="5"/>
      <c r="AX53" s="40"/>
      <c r="AY53" s="5"/>
      <c r="AZ53" s="5"/>
      <c r="BA53" s="40"/>
      <c r="BB53" s="5"/>
      <c r="BC53" s="5"/>
      <c r="BD53" s="40"/>
      <c r="BE53" s="5"/>
      <c r="BF53" s="5"/>
      <c r="BG53" s="40"/>
      <c r="BH53" s="5"/>
      <c r="BI53" s="5"/>
      <c r="BJ53" s="40"/>
      <c r="BK53" s="5"/>
      <c r="BL53" s="5"/>
      <c r="BM53" s="40"/>
      <c r="BN53" s="5"/>
      <c r="BO53" s="5"/>
      <c r="BP53" s="40"/>
      <c r="BQ53" s="5"/>
      <c r="BR53" s="5"/>
      <c r="BS53" s="40"/>
      <c r="BT53" s="5"/>
      <c r="BU53" s="5"/>
      <c r="BV53" s="40"/>
      <c r="BW53" s="5"/>
      <c r="BX53" s="5"/>
      <c r="BY53" s="40"/>
      <c r="BZ53" s="5"/>
      <c r="CA53" s="5"/>
      <c r="CB53" s="40"/>
      <c r="CC53" s="5"/>
      <c r="CD53" s="5"/>
      <c r="CE53" s="40"/>
      <c r="CF53" s="5"/>
      <c r="CG53" s="5"/>
      <c r="CH53" s="40"/>
      <c r="CI53" s="5"/>
      <c r="CJ53" s="5"/>
      <c r="CK53" s="40"/>
      <c r="CL53" s="5"/>
      <c r="CM53" s="5"/>
      <c r="CN53" s="40"/>
      <c r="CO53" s="5"/>
      <c r="CP53" s="5"/>
      <c r="CQ53" s="40"/>
      <c r="CR53" s="5"/>
      <c r="CS53" s="5"/>
      <c r="CT53" s="5"/>
      <c r="CU53" s="5"/>
      <c r="CV53" s="5"/>
      <c r="CW53" s="5"/>
      <c r="CX53" s="5"/>
      <c r="CY53" s="5"/>
      <c r="CZ53" s="5"/>
      <c r="DA53" s="5"/>
      <c r="DB53" s="5"/>
      <c r="DC53" s="5"/>
      <c r="DD53" s="5"/>
      <c r="DE53" s="5"/>
      <c r="DF53" s="5"/>
    </row>
    <row r="54">
      <c r="A54" s="19"/>
      <c r="B54" s="26"/>
      <c r="C54" s="21"/>
      <c r="D54" s="19"/>
      <c r="G54" s="5"/>
      <c r="J54" s="5"/>
      <c r="M54" s="5"/>
      <c r="P54" s="5"/>
      <c r="S54" s="5"/>
      <c r="V54" s="5"/>
      <c r="Y54" s="5"/>
      <c r="AB54" s="5"/>
      <c r="AE54" s="5"/>
      <c r="AH54" s="5"/>
      <c r="AK54" s="5"/>
      <c r="AL54" s="40"/>
      <c r="AM54" s="5"/>
      <c r="AN54" s="5"/>
      <c r="AO54" s="40"/>
      <c r="AP54" s="5"/>
      <c r="AQ54" s="5"/>
      <c r="AR54" s="40"/>
      <c r="AS54" s="5"/>
      <c r="AT54" s="5"/>
      <c r="AU54" s="40"/>
      <c r="AV54" s="5"/>
      <c r="AW54" s="5"/>
      <c r="AX54" s="40"/>
      <c r="AY54" s="5"/>
      <c r="AZ54" s="5"/>
      <c r="BA54" s="40"/>
      <c r="BB54" s="5"/>
      <c r="BC54" s="5"/>
      <c r="BD54" s="40"/>
      <c r="BE54" s="5"/>
      <c r="BF54" s="5"/>
      <c r="BG54" s="40"/>
      <c r="BH54" s="5"/>
      <c r="BI54" s="5"/>
      <c r="BJ54" s="40"/>
      <c r="BK54" s="5"/>
      <c r="BL54" s="5"/>
      <c r="BM54" s="40"/>
      <c r="BN54" s="5"/>
      <c r="BO54" s="5"/>
      <c r="BP54" s="40"/>
      <c r="BQ54" s="5"/>
      <c r="BR54" s="5"/>
      <c r="BS54" s="40"/>
      <c r="BT54" s="5"/>
      <c r="BU54" s="5"/>
      <c r="BV54" s="40"/>
      <c r="BW54" s="5"/>
      <c r="BX54" s="5"/>
      <c r="BY54" s="40"/>
      <c r="BZ54" s="5"/>
      <c r="CA54" s="5"/>
      <c r="CB54" s="40"/>
      <c r="CC54" s="5"/>
      <c r="CD54" s="5"/>
      <c r="CE54" s="40"/>
      <c r="CF54" s="5"/>
      <c r="CG54" s="5"/>
      <c r="CH54" s="40"/>
      <c r="CI54" s="5"/>
      <c r="CJ54" s="5"/>
      <c r="CK54" s="40"/>
      <c r="CL54" s="5"/>
      <c r="CM54" s="5"/>
      <c r="CN54" s="40"/>
      <c r="CO54" s="5"/>
      <c r="CP54" s="5"/>
      <c r="CQ54" s="40"/>
      <c r="CR54" s="5"/>
      <c r="CS54" s="5"/>
      <c r="CT54" s="5"/>
      <c r="CU54" s="5"/>
      <c r="CV54" s="5"/>
      <c r="CW54" s="5"/>
      <c r="CX54" s="5"/>
      <c r="CY54" s="5"/>
      <c r="CZ54" s="5"/>
      <c r="DA54" s="5"/>
      <c r="DB54" s="5"/>
      <c r="DC54" s="5"/>
      <c r="DD54" s="5"/>
      <c r="DE54" s="5"/>
      <c r="DF54" s="5"/>
    </row>
    <row r="55">
      <c r="A55" s="19"/>
      <c r="B55" s="26"/>
      <c r="C55" s="21"/>
      <c r="D55" s="19"/>
      <c r="G55" s="5"/>
      <c r="J55" s="5"/>
      <c r="M55" s="5"/>
      <c r="P55" s="5"/>
      <c r="S55" s="5"/>
      <c r="V55" s="5"/>
      <c r="Y55" s="5"/>
      <c r="AB55" s="5"/>
      <c r="AE55" s="5"/>
      <c r="AH55" s="5"/>
      <c r="AK55" s="5"/>
      <c r="AL55" s="40"/>
      <c r="AM55" s="5"/>
      <c r="AN55" s="5"/>
      <c r="AO55" s="40"/>
      <c r="AP55" s="5"/>
      <c r="AQ55" s="5"/>
      <c r="AR55" s="40"/>
      <c r="AS55" s="5"/>
      <c r="AT55" s="5"/>
      <c r="AU55" s="40"/>
      <c r="AV55" s="5"/>
      <c r="AW55" s="5"/>
      <c r="AX55" s="40"/>
      <c r="AY55" s="5"/>
      <c r="AZ55" s="5"/>
      <c r="BA55" s="40"/>
      <c r="BB55" s="5"/>
      <c r="BC55" s="5"/>
      <c r="BD55" s="40"/>
      <c r="BE55" s="5"/>
      <c r="BF55" s="5"/>
      <c r="BG55" s="40"/>
      <c r="BH55" s="5"/>
      <c r="BI55" s="5"/>
      <c r="BJ55" s="40"/>
      <c r="BK55" s="5"/>
      <c r="BL55" s="5"/>
      <c r="BM55" s="40"/>
      <c r="BN55" s="5"/>
      <c r="BO55" s="5"/>
      <c r="BP55" s="40"/>
      <c r="BQ55" s="5"/>
      <c r="BR55" s="5"/>
      <c r="BS55" s="40"/>
      <c r="BT55" s="5"/>
      <c r="BU55" s="5"/>
      <c r="BV55" s="40"/>
      <c r="BW55" s="5"/>
      <c r="BX55" s="5"/>
      <c r="BY55" s="40"/>
      <c r="BZ55" s="5"/>
      <c r="CA55" s="5"/>
      <c r="CB55" s="40"/>
      <c r="CC55" s="5"/>
      <c r="CD55" s="5"/>
      <c r="CE55" s="40"/>
      <c r="CF55" s="5"/>
      <c r="CG55" s="5"/>
      <c r="CH55" s="40"/>
      <c r="CI55" s="5"/>
      <c r="CJ55" s="5"/>
      <c r="CK55" s="40"/>
      <c r="CL55" s="5"/>
      <c r="CM55" s="5"/>
      <c r="CN55" s="40"/>
      <c r="CO55" s="5"/>
      <c r="CP55" s="5"/>
      <c r="CQ55" s="40"/>
      <c r="CR55" s="5"/>
      <c r="CS55" s="5"/>
      <c r="CT55" s="5"/>
      <c r="CU55" s="5"/>
      <c r="CV55" s="5"/>
      <c r="CW55" s="5"/>
      <c r="CX55" s="5"/>
      <c r="CY55" s="5"/>
      <c r="CZ55" s="5"/>
      <c r="DA55" s="5"/>
      <c r="DB55" s="5"/>
      <c r="DC55" s="5"/>
      <c r="DD55" s="5"/>
      <c r="DE55" s="5"/>
      <c r="DF55" s="5"/>
    </row>
    <row r="56">
      <c r="A56" s="19"/>
      <c r="B56" s="26"/>
      <c r="C56" s="21"/>
      <c r="D56" s="19"/>
      <c r="G56" s="5"/>
      <c r="J56" s="5"/>
      <c r="M56" s="5"/>
      <c r="P56" s="5"/>
      <c r="S56" s="5"/>
      <c r="V56" s="5"/>
      <c r="Y56" s="5"/>
      <c r="AB56" s="5"/>
      <c r="AE56" s="5"/>
      <c r="AH56" s="5"/>
      <c r="AK56" s="5"/>
      <c r="AL56" s="40"/>
      <c r="AM56" s="5"/>
      <c r="AN56" s="5"/>
      <c r="AO56" s="40"/>
      <c r="AP56" s="5"/>
      <c r="AQ56" s="5"/>
      <c r="AR56" s="40"/>
      <c r="AS56" s="5"/>
      <c r="AT56" s="5"/>
      <c r="AU56" s="40"/>
      <c r="AV56" s="5"/>
      <c r="AW56" s="5"/>
      <c r="AX56" s="40"/>
      <c r="AY56" s="5"/>
      <c r="AZ56" s="5"/>
      <c r="BA56" s="40"/>
      <c r="BB56" s="5"/>
      <c r="BC56" s="5"/>
      <c r="BD56" s="40"/>
      <c r="BE56" s="5"/>
      <c r="BF56" s="5"/>
      <c r="BG56" s="40"/>
      <c r="BH56" s="5"/>
      <c r="BI56" s="5"/>
      <c r="BJ56" s="40"/>
      <c r="BK56" s="5"/>
      <c r="BL56" s="5"/>
      <c r="BM56" s="40"/>
      <c r="BN56" s="5"/>
      <c r="BO56" s="5"/>
      <c r="BP56" s="40"/>
      <c r="BQ56" s="5"/>
      <c r="BR56" s="5"/>
      <c r="BS56" s="40"/>
      <c r="BT56" s="5"/>
      <c r="BU56" s="5"/>
      <c r="BV56" s="40"/>
      <c r="BW56" s="5"/>
      <c r="BX56" s="5"/>
      <c r="BY56" s="40"/>
      <c r="BZ56" s="5"/>
      <c r="CA56" s="5"/>
      <c r="CB56" s="40"/>
      <c r="CC56" s="5"/>
      <c r="CD56" s="5"/>
      <c r="CE56" s="40"/>
      <c r="CF56" s="5"/>
      <c r="CG56" s="5"/>
      <c r="CH56" s="40"/>
      <c r="CI56" s="5"/>
      <c r="CJ56" s="5"/>
      <c r="CK56" s="40"/>
      <c r="CL56" s="5"/>
      <c r="CM56" s="5"/>
      <c r="CN56" s="40"/>
      <c r="CO56" s="5"/>
      <c r="CP56" s="5"/>
      <c r="CQ56" s="40"/>
      <c r="CR56" s="5"/>
      <c r="CS56" s="5"/>
      <c r="CT56" s="5"/>
      <c r="CU56" s="5"/>
      <c r="CV56" s="5"/>
      <c r="CW56" s="5"/>
      <c r="CX56" s="5"/>
      <c r="CY56" s="5"/>
      <c r="CZ56" s="5"/>
      <c r="DA56" s="5"/>
      <c r="DB56" s="5"/>
      <c r="DC56" s="5"/>
      <c r="DD56" s="5"/>
      <c r="DE56" s="5"/>
      <c r="DF56" s="5"/>
    </row>
    <row r="57">
      <c r="A57" s="19"/>
      <c r="B57" s="26"/>
      <c r="C57" s="21"/>
      <c r="D57" s="19"/>
      <c r="G57" s="5"/>
      <c r="J57" s="5"/>
      <c r="M57" s="5"/>
      <c r="P57" s="5"/>
      <c r="S57" s="5"/>
      <c r="V57" s="5"/>
      <c r="Y57" s="5"/>
      <c r="AB57" s="5"/>
      <c r="AE57" s="5"/>
      <c r="AH57" s="5"/>
      <c r="AK57" s="5"/>
      <c r="AL57" s="40"/>
      <c r="AM57" s="5"/>
      <c r="AN57" s="5"/>
      <c r="AO57" s="40"/>
      <c r="AP57" s="5"/>
      <c r="AQ57" s="5"/>
      <c r="AR57" s="40"/>
      <c r="AS57" s="5"/>
      <c r="AT57" s="5"/>
      <c r="AU57" s="40"/>
      <c r="AV57" s="5"/>
      <c r="AW57" s="5"/>
      <c r="AX57" s="40"/>
      <c r="AY57" s="5"/>
      <c r="AZ57" s="5"/>
      <c r="BA57" s="40"/>
      <c r="BB57" s="5"/>
      <c r="BC57" s="5"/>
      <c r="BD57" s="40"/>
      <c r="BE57" s="5"/>
      <c r="BF57" s="5"/>
      <c r="BG57" s="40"/>
      <c r="BH57" s="5"/>
      <c r="BI57" s="5"/>
      <c r="BJ57" s="40"/>
      <c r="BK57" s="5"/>
      <c r="BL57" s="5"/>
      <c r="BM57" s="40"/>
      <c r="BN57" s="5"/>
      <c r="BO57" s="5"/>
      <c r="BP57" s="40"/>
      <c r="BQ57" s="5"/>
      <c r="BR57" s="5"/>
      <c r="BS57" s="40"/>
      <c r="BT57" s="5"/>
      <c r="BU57" s="5"/>
      <c r="BV57" s="40"/>
      <c r="BW57" s="5"/>
      <c r="BX57" s="5"/>
      <c r="BY57" s="40"/>
      <c r="BZ57" s="5"/>
      <c r="CA57" s="5"/>
      <c r="CB57" s="40"/>
      <c r="CC57" s="5"/>
      <c r="CD57" s="5"/>
      <c r="CE57" s="40"/>
      <c r="CF57" s="5"/>
      <c r="CG57" s="5"/>
      <c r="CH57" s="40"/>
      <c r="CI57" s="5"/>
      <c r="CJ57" s="5"/>
      <c r="CK57" s="40"/>
      <c r="CL57" s="5"/>
      <c r="CM57" s="5"/>
      <c r="CN57" s="40"/>
      <c r="CO57" s="5"/>
      <c r="CP57" s="5"/>
      <c r="CQ57" s="40"/>
      <c r="CR57" s="5"/>
      <c r="CS57" s="5"/>
      <c r="CT57" s="5"/>
      <c r="CU57" s="5"/>
      <c r="CV57" s="5"/>
      <c r="CW57" s="5"/>
      <c r="CX57" s="5"/>
      <c r="CY57" s="5"/>
      <c r="CZ57" s="5"/>
      <c r="DA57" s="5"/>
      <c r="DB57" s="5"/>
      <c r="DC57" s="5"/>
      <c r="DD57" s="5"/>
      <c r="DE57" s="5"/>
      <c r="DF57" s="5"/>
    </row>
    <row r="58">
      <c r="A58" s="19"/>
      <c r="B58" s="26"/>
      <c r="C58" s="21"/>
      <c r="D58" s="19"/>
      <c r="G58" s="5"/>
      <c r="J58" s="5"/>
      <c r="M58" s="5"/>
      <c r="P58" s="5"/>
      <c r="S58" s="5"/>
      <c r="V58" s="5"/>
      <c r="Y58" s="5"/>
      <c r="AB58" s="5"/>
      <c r="AE58" s="5"/>
      <c r="AH58" s="5"/>
      <c r="AK58" s="5"/>
      <c r="AL58" s="40"/>
      <c r="AM58" s="5"/>
      <c r="AN58" s="5"/>
      <c r="AO58" s="40"/>
      <c r="AP58" s="5"/>
      <c r="AQ58" s="5"/>
      <c r="AR58" s="40"/>
      <c r="AS58" s="5"/>
      <c r="AT58" s="5"/>
      <c r="AU58" s="40"/>
      <c r="AV58" s="5"/>
      <c r="AW58" s="5"/>
      <c r="AX58" s="40"/>
      <c r="AY58" s="5"/>
      <c r="AZ58" s="5"/>
      <c r="BA58" s="40"/>
      <c r="BB58" s="5"/>
      <c r="BC58" s="5"/>
      <c r="BD58" s="40"/>
      <c r="BE58" s="5"/>
      <c r="BF58" s="5"/>
      <c r="BG58" s="40"/>
      <c r="BH58" s="5"/>
      <c r="BI58" s="5"/>
      <c r="BJ58" s="40"/>
      <c r="BK58" s="5"/>
      <c r="BL58" s="5"/>
      <c r="BM58" s="40"/>
      <c r="BN58" s="5"/>
      <c r="BO58" s="5"/>
      <c r="BP58" s="40"/>
      <c r="BQ58" s="5"/>
      <c r="BR58" s="5"/>
      <c r="BS58" s="40"/>
      <c r="BT58" s="5"/>
      <c r="BU58" s="5"/>
      <c r="BV58" s="40"/>
      <c r="BW58" s="5"/>
      <c r="BX58" s="5"/>
      <c r="BY58" s="40"/>
      <c r="BZ58" s="5"/>
      <c r="CA58" s="5"/>
      <c r="CB58" s="40"/>
      <c r="CC58" s="5"/>
      <c r="CD58" s="5"/>
      <c r="CE58" s="40"/>
      <c r="CF58" s="5"/>
      <c r="CG58" s="5"/>
      <c r="CH58" s="40"/>
      <c r="CI58" s="5"/>
      <c r="CJ58" s="5"/>
      <c r="CK58" s="40"/>
      <c r="CL58" s="5"/>
      <c r="CM58" s="5"/>
      <c r="CN58" s="40"/>
      <c r="CO58" s="5"/>
      <c r="CP58" s="5"/>
      <c r="CQ58" s="40"/>
      <c r="CR58" s="5"/>
      <c r="CS58" s="5"/>
      <c r="CT58" s="5"/>
      <c r="CU58" s="5"/>
      <c r="CV58" s="5"/>
      <c r="CW58" s="5"/>
      <c r="CX58" s="5"/>
      <c r="CY58" s="5"/>
      <c r="CZ58" s="5"/>
      <c r="DA58" s="5"/>
      <c r="DB58" s="5"/>
      <c r="DC58" s="5"/>
      <c r="DD58" s="5"/>
      <c r="DE58" s="5"/>
      <c r="DF58" s="5"/>
    </row>
    <row r="59">
      <c r="A59" s="19"/>
      <c r="B59" s="26"/>
      <c r="C59" s="21"/>
      <c r="D59" s="19"/>
      <c r="G59" s="5"/>
      <c r="J59" s="5"/>
      <c r="M59" s="5"/>
      <c r="P59" s="5"/>
      <c r="S59" s="5"/>
      <c r="V59" s="5"/>
      <c r="Y59" s="5"/>
      <c r="AB59" s="5"/>
      <c r="AE59" s="5"/>
      <c r="AH59" s="5"/>
      <c r="AK59" s="5"/>
      <c r="AL59" s="40"/>
      <c r="AM59" s="5"/>
      <c r="AN59" s="5"/>
      <c r="AO59" s="40"/>
      <c r="AP59" s="5"/>
      <c r="AQ59" s="5"/>
      <c r="AR59" s="40"/>
      <c r="AS59" s="5"/>
      <c r="AT59" s="5"/>
      <c r="AU59" s="40"/>
      <c r="AV59" s="5"/>
      <c r="AW59" s="5"/>
      <c r="AX59" s="40"/>
      <c r="AY59" s="5"/>
      <c r="AZ59" s="5"/>
      <c r="BA59" s="40"/>
      <c r="BB59" s="5"/>
      <c r="BC59" s="5"/>
      <c r="BD59" s="40"/>
      <c r="BE59" s="5"/>
      <c r="BF59" s="5"/>
      <c r="BG59" s="40"/>
      <c r="BH59" s="5"/>
      <c r="BI59" s="5"/>
      <c r="BJ59" s="40"/>
      <c r="BK59" s="5"/>
      <c r="BL59" s="5"/>
      <c r="BM59" s="40"/>
      <c r="BN59" s="5"/>
      <c r="BO59" s="5"/>
      <c r="BP59" s="40"/>
      <c r="BQ59" s="5"/>
      <c r="BR59" s="5"/>
      <c r="BS59" s="40"/>
      <c r="BT59" s="5"/>
      <c r="BU59" s="5"/>
      <c r="BV59" s="40"/>
      <c r="BW59" s="5"/>
      <c r="BX59" s="5"/>
      <c r="BY59" s="40"/>
      <c r="BZ59" s="5"/>
      <c r="CA59" s="5"/>
      <c r="CB59" s="40"/>
      <c r="CC59" s="5"/>
      <c r="CD59" s="5"/>
      <c r="CE59" s="40"/>
      <c r="CF59" s="5"/>
      <c r="CG59" s="5"/>
      <c r="CH59" s="40"/>
      <c r="CI59" s="5"/>
      <c r="CJ59" s="5"/>
      <c r="CK59" s="40"/>
      <c r="CL59" s="5"/>
      <c r="CM59" s="5"/>
      <c r="CN59" s="40"/>
      <c r="CO59" s="5"/>
      <c r="CP59" s="5"/>
      <c r="CQ59" s="40"/>
      <c r="CR59" s="5"/>
      <c r="CS59" s="5"/>
      <c r="CT59" s="5"/>
      <c r="CU59" s="5"/>
      <c r="CV59" s="5"/>
      <c r="CW59" s="5"/>
      <c r="CX59" s="5"/>
      <c r="CY59" s="5"/>
      <c r="CZ59" s="5"/>
      <c r="DA59" s="5"/>
      <c r="DB59" s="5"/>
      <c r="DC59" s="5"/>
      <c r="DD59" s="5"/>
      <c r="DE59" s="5"/>
      <c r="DF59" s="5"/>
    </row>
    <row r="60">
      <c r="A60" s="19"/>
      <c r="B60" s="26"/>
      <c r="C60" s="21"/>
      <c r="D60" s="19"/>
      <c r="G60" s="5"/>
      <c r="J60" s="5"/>
      <c r="M60" s="5"/>
      <c r="P60" s="5"/>
      <c r="S60" s="5"/>
      <c r="V60" s="5"/>
      <c r="Y60" s="5"/>
      <c r="AB60" s="5"/>
      <c r="AE60" s="5"/>
      <c r="AH60" s="5"/>
      <c r="AK60" s="5"/>
      <c r="AL60" s="40"/>
      <c r="AM60" s="5"/>
      <c r="AN60" s="5"/>
      <c r="AO60" s="40"/>
      <c r="AP60" s="5"/>
      <c r="AQ60" s="5"/>
      <c r="AR60" s="40"/>
      <c r="AS60" s="5"/>
      <c r="AT60" s="5"/>
      <c r="AU60" s="40"/>
      <c r="AV60" s="5"/>
      <c r="AW60" s="5"/>
      <c r="AX60" s="40"/>
      <c r="AY60" s="5"/>
      <c r="AZ60" s="5"/>
      <c r="BA60" s="40"/>
      <c r="BB60" s="5"/>
      <c r="BC60" s="5"/>
      <c r="BD60" s="40"/>
      <c r="BE60" s="5"/>
      <c r="BF60" s="5"/>
      <c r="BG60" s="40"/>
      <c r="BH60" s="5"/>
      <c r="BI60" s="5"/>
      <c r="BJ60" s="40"/>
      <c r="BK60" s="5"/>
      <c r="BL60" s="5"/>
      <c r="BM60" s="40"/>
      <c r="BN60" s="5"/>
      <c r="BO60" s="5"/>
      <c r="BP60" s="40"/>
      <c r="BQ60" s="5"/>
      <c r="BR60" s="5"/>
      <c r="BS60" s="40"/>
      <c r="BT60" s="5"/>
      <c r="BU60" s="5"/>
      <c r="BV60" s="40"/>
      <c r="BW60" s="5"/>
      <c r="BX60" s="5"/>
      <c r="BY60" s="40"/>
      <c r="BZ60" s="5"/>
      <c r="CA60" s="5"/>
      <c r="CB60" s="40"/>
      <c r="CC60" s="5"/>
      <c r="CD60" s="5"/>
      <c r="CE60" s="40"/>
      <c r="CF60" s="5"/>
      <c r="CG60" s="5"/>
      <c r="CH60" s="40"/>
      <c r="CI60" s="5"/>
      <c r="CJ60" s="5"/>
      <c r="CK60" s="40"/>
      <c r="CL60" s="5"/>
      <c r="CM60" s="5"/>
      <c r="CN60" s="40"/>
      <c r="CO60" s="5"/>
      <c r="CP60" s="5"/>
      <c r="CQ60" s="40"/>
      <c r="CR60" s="5"/>
      <c r="CS60" s="5"/>
      <c r="CT60" s="5"/>
      <c r="CU60" s="5"/>
      <c r="CV60" s="5"/>
      <c r="CW60" s="5"/>
      <c r="CX60" s="5"/>
      <c r="CY60" s="5"/>
      <c r="CZ60" s="5"/>
      <c r="DA60" s="5"/>
      <c r="DB60" s="5"/>
      <c r="DC60" s="5"/>
      <c r="DD60" s="5"/>
      <c r="DE60" s="5"/>
      <c r="DF60" s="5"/>
    </row>
    <row r="61">
      <c r="A61" s="19"/>
      <c r="B61" s="26"/>
      <c r="C61" s="21"/>
      <c r="D61" s="19"/>
      <c r="G61" s="5"/>
      <c r="J61" s="5"/>
      <c r="M61" s="5"/>
      <c r="P61" s="5"/>
      <c r="S61" s="5"/>
      <c r="V61" s="5"/>
      <c r="Y61" s="5"/>
      <c r="AB61" s="5"/>
      <c r="AE61" s="5"/>
      <c r="AH61" s="5"/>
      <c r="AK61" s="5"/>
      <c r="AL61" s="40"/>
      <c r="AM61" s="5"/>
      <c r="AN61" s="5"/>
      <c r="AO61" s="40"/>
      <c r="AP61" s="5"/>
      <c r="AQ61" s="5"/>
      <c r="AR61" s="40"/>
      <c r="AS61" s="5"/>
      <c r="AT61" s="5"/>
      <c r="AU61" s="40"/>
      <c r="AV61" s="5"/>
      <c r="AW61" s="5"/>
      <c r="AX61" s="40"/>
      <c r="AY61" s="5"/>
      <c r="AZ61" s="5"/>
      <c r="BA61" s="40"/>
      <c r="BB61" s="5"/>
      <c r="BC61" s="5"/>
      <c r="BD61" s="40"/>
      <c r="BE61" s="5"/>
      <c r="BF61" s="5"/>
      <c r="BG61" s="40"/>
      <c r="BH61" s="5"/>
      <c r="BI61" s="5"/>
      <c r="BJ61" s="40"/>
      <c r="BK61" s="5"/>
      <c r="BL61" s="5"/>
      <c r="BM61" s="40"/>
      <c r="BN61" s="5"/>
      <c r="BO61" s="5"/>
      <c r="BP61" s="40"/>
      <c r="BQ61" s="5"/>
      <c r="BR61" s="5"/>
      <c r="BS61" s="40"/>
      <c r="BT61" s="5"/>
      <c r="BU61" s="5"/>
      <c r="BV61" s="40"/>
      <c r="BW61" s="5"/>
      <c r="BX61" s="5"/>
      <c r="BY61" s="40"/>
      <c r="BZ61" s="5"/>
      <c r="CA61" s="5"/>
      <c r="CB61" s="40"/>
      <c r="CC61" s="5"/>
      <c r="CD61" s="5"/>
      <c r="CE61" s="40"/>
      <c r="CF61" s="5"/>
      <c r="CG61" s="5"/>
      <c r="CH61" s="40"/>
      <c r="CI61" s="5"/>
      <c r="CJ61" s="5"/>
      <c r="CK61" s="40"/>
      <c r="CL61" s="5"/>
      <c r="CM61" s="5"/>
      <c r="CN61" s="40"/>
      <c r="CO61" s="5"/>
      <c r="CP61" s="5"/>
      <c r="CQ61" s="40"/>
      <c r="CR61" s="5"/>
      <c r="CS61" s="5"/>
      <c r="CT61" s="5"/>
      <c r="CU61" s="5"/>
      <c r="CV61" s="5"/>
      <c r="CW61" s="5"/>
      <c r="CX61" s="5"/>
      <c r="CY61" s="5"/>
      <c r="CZ61" s="5"/>
      <c r="DA61" s="5"/>
      <c r="DB61" s="5"/>
      <c r="DC61" s="5"/>
      <c r="DD61" s="5"/>
      <c r="DE61" s="5"/>
      <c r="DF61" s="5"/>
    </row>
    <row r="62">
      <c r="A62" s="19"/>
      <c r="B62" s="26"/>
      <c r="C62" s="21"/>
      <c r="D62" s="19"/>
      <c r="AL62" s="40"/>
      <c r="AM62" s="5"/>
      <c r="AO62" s="40"/>
      <c r="AP62" s="5"/>
      <c r="AR62" s="40"/>
      <c r="AS62" s="5"/>
      <c r="AU62" s="40"/>
      <c r="AV62" s="5"/>
      <c r="AX62" s="40"/>
      <c r="AY62" s="5"/>
      <c r="BA62" s="40"/>
      <c r="BB62" s="5"/>
      <c r="BD62" s="40"/>
      <c r="BE62" s="5"/>
      <c r="BG62" s="40"/>
      <c r="BH62" s="5"/>
      <c r="BJ62" s="40"/>
      <c r="BK62" s="5"/>
      <c r="BM62" s="40"/>
      <c r="BN62" s="5"/>
      <c r="BP62" s="40"/>
      <c r="BQ62" s="5"/>
      <c r="BS62" s="40"/>
      <c r="BT62" s="5"/>
      <c r="BV62" s="40"/>
      <c r="BW62" s="5"/>
      <c r="BY62" s="40"/>
      <c r="BZ62" s="5"/>
      <c r="CB62" s="40"/>
      <c r="CC62" s="5"/>
      <c r="CE62" s="40"/>
      <c r="CF62" s="5"/>
      <c r="CH62" s="40"/>
      <c r="CI62" s="5"/>
      <c r="CK62" s="40"/>
      <c r="CL62" s="5"/>
      <c r="CN62" s="40"/>
      <c r="CO62" s="5"/>
      <c r="CQ62" s="40"/>
      <c r="CR62" s="5"/>
    </row>
    <row r="63">
      <c r="A63" s="19"/>
      <c r="B63" s="26"/>
      <c r="C63" s="21"/>
      <c r="D63" s="19"/>
      <c r="AL63" s="40"/>
      <c r="AM63" s="5"/>
      <c r="AO63" s="40"/>
      <c r="AP63" s="5"/>
      <c r="AR63" s="40"/>
      <c r="AS63" s="5"/>
      <c r="AU63" s="40"/>
      <c r="AV63" s="5"/>
      <c r="AX63" s="40"/>
      <c r="AY63" s="5"/>
      <c r="BA63" s="40"/>
      <c r="BB63" s="5"/>
      <c r="BD63" s="40"/>
      <c r="BE63" s="5"/>
      <c r="BG63" s="40"/>
      <c r="BH63" s="5"/>
      <c r="BJ63" s="40"/>
      <c r="BK63" s="5"/>
      <c r="BM63" s="40"/>
      <c r="BN63" s="5"/>
      <c r="BP63" s="40"/>
      <c r="BQ63" s="5"/>
      <c r="BS63" s="40"/>
      <c r="BT63" s="5"/>
      <c r="BV63" s="40"/>
      <c r="BW63" s="5"/>
      <c r="BY63" s="40"/>
      <c r="BZ63" s="5"/>
      <c r="CB63" s="40"/>
      <c r="CC63" s="5"/>
      <c r="CE63" s="40"/>
      <c r="CF63" s="5"/>
      <c r="CH63" s="40"/>
      <c r="CI63" s="5"/>
      <c r="CK63" s="40"/>
      <c r="CL63" s="5"/>
      <c r="CN63" s="40"/>
      <c r="CO63" s="5"/>
      <c r="CQ63" s="40"/>
      <c r="CR63" s="5"/>
    </row>
    <row r="64">
      <c r="A64" s="19"/>
      <c r="B64" s="26"/>
      <c r="C64" s="21"/>
      <c r="D64" s="19"/>
      <c r="AL64" s="40"/>
      <c r="AM64" s="5"/>
      <c r="AO64" s="40"/>
      <c r="AP64" s="5"/>
      <c r="AR64" s="40"/>
      <c r="AS64" s="5"/>
      <c r="AU64" s="40"/>
      <c r="AV64" s="5"/>
      <c r="AX64" s="40"/>
      <c r="AY64" s="5"/>
      <c r="BA64" s="40"/>
      <c r="BB64" s="5"/>
      <c r="BD64" s="40"/>
      <c r="BE64" s="5"/>
      <c r="BG64" s="40"/>
      <c r="BH64" s="5"/>
      <c r="BJ64" s="40"/>
      <c r="BK64" s="5"/>
      <c r="BM64" s="40"/>
      <c r="BN64" s="5"/>
      <c r="BP64" s="40"/>
      <c r="BQ64" s="5"/>
      <c r="BS64" s="40"/>
      <c r="BT64" s="5"/>
      <c r="BV64" s="40"/>
      <c r="BW64" s="5"/>
      <c r="BY64" s="40"/>
      <c r="BZ64" s="5"/>
      <c r="CB64" s="40"/>
      <c r="CC64" s="5"/>
      <c r="CE64" s="40"/>
      <c r="CF64" s="5"/>
      <c r="CH64" s="40"/>
      <c r="CI64" s="5"/>
      <c r="CK64" s="40"/>
      <c r="CL64" s="5"/>
      <c r="CN64" s="40"/>
      <c r="CO64" s="5"/>
      <c r="CQ64" s="40"/>
      <c r="CR64" s="5"/>
    </row>
    <row r="65">
      <c r="A65" s="19"/>
      <c r="B65" s="26"/>
      <c r="C65" s="21"/>
      <c r="D65" s="19"/>
      <c r="AL65" s="40"/>
      <c r="AM65" s="5"/>
      <c r="AO65" s="40"/>
      <c r="AP65" s="5"/>
      <c r="AR65" s="40"/>
      <c r="AS65" s="5"/>
      <c r="AU65" s="40"/>
      <c r="AV65" s="5"/>
      <c r="AX65" s="40"/>
      <c r="AY65" s="5"/>
      <c r="BA65" s="40"/>
      <c r="BB65" s="5"/>
      <c r="BD65" s="40"/>
      <c r="BE65" s="5"/>
      <c r="BG65" s="40"/>
      <c r="BH65" s="5"/>
      <c r="BJ65" s="40"/>
      <c r="BK65" s="5"/>
      <c r="BM65" s="40"/>
      <c r="BN65" s="5"/>
      <c r="BP65" s="40"/>
      <c r="BQ65" s="5"/>
      <c r="BS65" s="40"/>
      <c r="BT65" s="5"/>
      <c r="BV65" s="40"/>
      <c r="BW65" s="5"/>
      <c r="BY65" s="40"/>
      <c r="BZ65" s="5"/>
      <c r="CB65" s="40"/>
      <c r="CC65" s="5"/>
      <c r="CE65" s="40"/>
      <c r="CF65" s="5"/>
      <c r="CH65" s="40"/>
      <c r="CI65" s="5"/>
      <c r="CK65" s="40"/>
      <c r="CL65" s="5"/>
      <c r="CN65" s="40"/>
      <c r="CO65" s="5"/>
      <c r="CQ65" s="40"/>
      <c r="CR65" s="5"/>
    </row>
    <row r="66">
      <c r="A66" s="19"/>
      <c r="B66" s="26"/>
      <c r="C66" s="21"/>
      <c r="D66" s="19"/>
      <c r="AL66" s="40"/>
      <c r="AM66" s="5"/>
      <c r="AO66" s="40"/>
      <c r="AP66" s="5"/>
      <c r="AR66" s="40"/>
      <c r="AS66" s="5"/>
      <c r="AU66" s="40"/>
      <c r="AV66" s="5"/>
      <c r="AX66" s="40"/>
      <c r="AY66" s="5"/>
      <c r="BA66" s="40"/>
      <c r="BB66" s="5"/>
      <c r="BD66" s="40"/>
      <c r="BE66" s="5"/>
      <c r="BG66" s="40"/>
      <c r="BH66" s="5"/>
      <c r="BJ66" s="40"/>
      <c r="BK66" s="5"/>
      <c r="BM66" s="40"/>
      <c r="BN66" s="5"/>
      <c r="BP66" s="40"/>
      <c r="BQ66" s="5"/>
      <c r="BS66" s="40"/>
      <c r="BT66" s="5"/>
      <c r="BV66" s="40"/>
      <c r="BW66" s="5"/>
      <c r="BY66" s="40"/>
      <c r="BZ66" s="5"/>
      <c r="CB66" s="40"/>
      <c r="CC66" s="5"/>
      <c r="CE66" s="40"/>
      <c r="CF66" s="5"/>
      <c r="CH66" s="40"/>
      <c r="CI66" s="5"/>
      <c r="CK66" s="40"/>
      <c r="CL66" s="5"/>
      <c r="CN66" s="40"/>
      <c r="CO66" s="5"/>
      <c r="CQ66" s="40"/>
      <c r="CR66" s="5"/>
    </row>
    <row r="67">
      <c r="A67" s="19"/>
      <c r="B67" s="38"/>
      <c r="C67" s="19"/>
      <c r="D67" s="19"/>
      <c r="AL67" s="40"/>
      <c r="AM67" s="5"/>
      <c r="AO67" s="40"/>
      <c r="AP67" s="5"/>
      <c r="AR67" s="40"/>
      <c r="AS67" s="5"/>
      <c r="AU67" s="40"/>
      <c r="AV67" s="5"/>
      <c r="AX67" s="40"/>
      <c r="AY67" s="5"/>
      <c r="BA67" s="40"/>
      <c r="BB67" s="5"/>
      <c r="BD67" s="40"/>
      <c r="BE67" s="5"/>
      <c r="BG67" s="40"/>
      <c r="BH67" s="5"/>
      <c r="BJ67" s="40"/>
      <c r="BK67" s="5"/>
      <c r="BM67" s="40"/>
      <c r="BN67" s="5"/>
      <c r="BP67" s="40"/>
      <c r="BQ67" s="5"/>
      <c r="BS67" s="40"/>
      <c r="BT67" s="5"/>
      <c r="BV67" s="40"/>
      <c r="BW67" s="5"/>
      <c r="BY67" s="40"/>
      <c r="BZ67" s="5"/>
      <c r="CB67" s="40"/>
      <c r="CC67" s="5"/>
      <c r="CE67" s="40"/>
      <c r="CF67" s="5"/>
      <c r="CH67" s="40"/>
      <c r="CI67" s="5"/>
      <c r="CK67" s="40"/>
      <c r="CL67" s="5"/>
      <c r="CN67" s="40"/>
      <c r="CO67" s="5"/>
      <c r="CQ67" s="40"/>
      <c r="CR67" s="5"/>
    </row>
    <row r="68">
      <c r="AL68" s="40"/>
      <c r="AM68" s="5"/>
      <c r="AO68" s="40"/>
      <c r="AP68" s="5"/>
      <c r="AR68" s="40"/>
      <c r="AS68" s="5"/>
      <c r="AU68" s="40"/>
      <c r="AV68" s="5"/>
      <c r="AX68" s="40"/>
      <c r="AY68" s="5"/>
      <c r="BA68" s="40"/>
      <c r="BB68" s="5"/>
      <c r="BD68" s="40"/>
      <c r="BE68" s="5"/>
      <c r="BG68" s="40"/>
      <c r="BH68" s="5"/>
      <c r="BJ68" s="40"/>
      <c r="BK68" s="5"/>
      <c r="BM68" s="40"/>
      <c r="BN68" s="5"/>
      <c r="BP68" s="40"/>
      <c r="BQ68" s="5"/>
      <c r="BS68" s="40"/>
      <c r="BT68" s="5"/>
      <c r="BV68" s="40"/>
      <c r="BW68" s="5"/>
      <c r="BY68" s="40"/>
      <c r="BZ68" s="5"/>
      <c r="CB68" s="40"/>
      <c r="CC68" s="5"/>
      <c r="CE68" s="40"/>
      <c r="CF68" s="5"/>
      <c r="CH68" s="40"/>
      <c r="CI68" s="5"/>
      <c r="CK68" s="40"/>
      <c r="CL68" s="5"/>
      <c r="CN68" s="40"/>
      <c r="CO68" s="5"/>
      <c r="CQ68" s="40"/>
      <c r="CR68" s="5"/>
    </row>
    <row r="69">
      <c r="AL69" s="40"/>
      <c r="AM69" s="5"/>
      <c r="AO69" s="40"/>
      <c r="AP69" s="5"/>
      <c r="AR69" s="40"/>
      <c r="AS69" s="5"/>
      <c r="AU69" s="40"/>
      <c r="AV69" s="5"/>
      <c r="AX69" s="40"/>
      <c r="AY69" s="5"/>
      <c r="BA69" s="40"/>
      <c r="BB69" s="5"/>
      <c r="BD69" s="40"/>
      <c r="BE69" s="5"/>
      <c r="BG69" s="40"/>
      <c r="BH69" s="5"/>
      <c r="BJ69" s="40"/>
      <c r="BK69" s="5"/>
      <c r="BM69" s="40"/>
      <c r="BN69" s="5"/>
      <c r="BP69" s="40"/>
      <c r="BQ69" s="5"/>
      <c r="BS69" s="40"/>
      <c r="BT69" s="5"/>
      <c r="BV69" s="40"/>
      <c r="BW69" s="5"/>
      <c r="BY69" s="40"/>
      <c r="BZ69" s="5"/>
      <c r="CB69" s="40"/>
      <c r="CC69" s="5"/>
      <c r="CE69" s="40"/>
      <c r="CF69" s="5"/>
      <c r="CH69" s="40"/>
      <c r="CI69" s="5"/>
      <c r="CK69" s="40"/>
      <c r="CL69" s="5"/>
      <c r="CN69" s="40"/>
      <c r="CO69" s="5"/>
      <c r="CQ69" s="40"/>
      <c r="CR69" s="5"/>
    </row>
    <row r="70">
      <c r="AL70" s="40"/>
      <c r="AM70" s="5"/>
      <c r="AO70" s="40"/>
      <c r="AP70" s="5"/>
      <c r="AR70" s="40"/>
      <c r="AS70" s="5"/>
      <c r="AU70" s="40"/>
      <c r="AV70" s="5"/>
      <c r="AX70" s="40"/>
      <c r="AY70" s="5"/>
      <c r="BA70" s="40"/>
      <c r="BB70" s="5"/>
      <c r="BD70" s="40"/>
      <c r="BE70" s="5"/>
      <c r="BG70" s="40"/>
      <c r="BH70" s="5"/>
      <c r="BJ70" s="40"/>
      <c r="BK70" s="5"/>
      <c r="BM70" s="40"/>
      <c r="BN70" s="5"/>
      <c r="BP70" s="40"/>
      <c r="BQ70" s="5"/>
      <c r="BS70" s="40"/>
      <c r="BT70" s="5"/>
      <c r="BV70" s="40"/>
      <c r="BW70" s="5"/>
      <c r="BY70" s="40"/>
      <c r="BZ70" s="5"/>
      <c r="CB70" s="40"/>
      <c r="CC70" s="5"/>
      <c r="CE70" s="40"/>
      <c r="CF70" s="5"/>
      <c r="CH70" s="40"/>
      <c r="CI70" s="5"/>
      <c r="CK70" s="40"/>
      <c r="CL70" s="5"/>
      <c r="CN70" s="40"/>
      <c r="CO70" s="5"/>
      <c r="CQ70" s="40"/>
      <c r="CR70" s="5"/>
    </row>
    <row r="71">
      <c r="AL71" s="40"/>
      <c r="AM71" s="5"/>
      <c r="AO71" s="40"/>
      <c r="AP71" s="5"/>
      <c r="AR71" s="40"/>
      <c r="AS71" s="5"/>
      <c r="AU71" s="40"/>
      <c r="AV71" s="5"/>
      <c r="AX71" s="40"/>
      <c r="AY71" s="5"/>
      <c r="BA71" s="40"/>
      <c r="BB71" s="5"/>
      <c r="BD71" s="40"/>
      <c r="BE71" s="5"/>
      <c r="BG71" s="40"/>
      <c r="BH71" s="5"/>
      <c r="BJ71" s="40"/>
      <c r="BK71" s="5"/>
      <c r="BM71" s="40"/>
      <c r="BN71" s="5"/>
      <c r="BP71" s="40"/>
      <c r="BQ71" s="5"/>
      <c r="BS71" s="40"/>
      <c r="BT71" s="5"/>
      <c r="BV71" s="40"/>
      <c r="BW71" s="5"/>
      <c r="BY71" s="40"/>
      <c r="BZ71" s="5"/>
      <c r="CB71" s="40"/>
      <c r="CC71" s="5"/>
      <c r="CE71" s="40"/>
      <c r="CF71" s="5"/>
      <c r="CH71" s="40"/>
      <c r="CI71" s="5"/>
      <c r="CK71" s="40"/>
      <c r="CL71" s="5"/>
      <c r="CN71" s="40"/>
      <c r="CO71" s="5"/>
      <c r="CQ71" s="40"/>
      <c r="CR71" s="5"/>
    </row>
    <row r="72">
      <c r="AL72" s="40"/>
      <c r="AM72" s="5"/>
      <c r="AO72" s="40"/>
      <c r="AP72" s="5"/>
      <c r="AR72" s="40"/>
      <c r="AS72" s="5"/>
      <c r="AU72" s="40"/>
      <c r="AV72" s="5"/>
      <c r="AX72" s="40"/>
      <c r="AY72" s="5"/>
      <c r="BA72" s="40"/>
      <c r="BB72" s="5"/>
      <c r="BD72" s="40"/>
      <c r="BE72" s="5"/>
      <c r="BG72" s="40"/>
      <c r="BH72" s="5"/>
      <c r="BJ72" s="40"/>
      <c r="BK72" s="5"/>
      <c r="BM72" s="40"/>
      <c r="BN72" s="5"/>
      <c r="BP72" s="40"/>
      <c r="BQ72" s="5"/>
      <c r="BS72" s="40"/>
      <c r="BT72" s="5"/>
      <c r="BV72" s="40"/>
      <c r="BW72" s="5"/>
      <c r="BY72" s="40"/>
      <c r="BZ72" s="5"/>
      <c r="CB72" s="40"/>
      <c r="CC72" s="5"/>
      <c r="CE72" s="40"/>
      <c r="CF72" s="5"/>
      <c r="CH72" s="40"/>
      <c r="CI72" s="5"/>
      <c r="CK72" s="40"/>
      <c r="CL72" s="5"/>
      <c r="CN72" s="40"/>
      <c r="CO72" s="5"/>
      <c r="CQ72" s="40"/>
      <c r="CR72" s="5"/>
    </row>
    <row r="73">
      <c r="AL73" s="40"/>
      <c r="AM73" s="5"/>
      <c r="AO73" s="40"/>
      <c r="AP73" s="5"/>
      <c r="AR73" s="40"/>
      <c r="AS73" s="5"/>
      <c r="AU73" s="40"/>
      <c r="AV73" s="5"/>
      <c r="AX73" s="40"/>
      <c r="AY73" s="5"/>
      <c r="BA73" s="40"/>
      <c r="BB73" s="5"/>
      <c r="BD73" s="40"/>
      <c r="BE73" s="5"/>
      <c r="BG73" s="40"/>
      <c r="BH73" s="5"/>
      <c r="BJ73" s="40"/>
      <c r="BK73" s="5"/>
      <c r="BM73" s="40"/>
      <c r="BN73" s="5"/>
      <c r="BP73" s="40"/>
      <c r="BQ73" s="5"/>
      <c r="BS73" s="40"/>
      <c r="BT73" s="5"/>
      <c r="BV73" s="40"/>
      <c r="BW73" s="5"/>
      <c r="BY73" s="40"/>
      <c r="BZ73" s="5"/>
      <c r="CB73" s="40"/>
      <c r="CC73" s="5"/>
      <c r="CE73" s="40"/>
      <c r="CF73" s="5"/>
      <c r="CH73" s="40"/>
      <c r="CI73" s="5"/>
      <c r="CK73" s="40"/>
      <c r="CL73" s="5"/>
      <c r="CN73" s="40"/>
      <c r="CO73" s="5"/>
      <c r="CQ73" s="40"/>
      <c r="CR73" s="5"/>
    </row>
    <row r="74">
      <c r="AL74" s="40"/>
      <c r="AM74" s="5"/>
      <c r="AO74" s="40"/>
      <c r="AP74" s="5"/>
      <c r="AR74" s="40"/>
      <c r="AS74" s="5"/>
      <c r="AU74" s="40"/>
      <c r="AV74" s="5"/>
      <c r="AX74" s="40"/>
      <c r="AY74" s="5"/>
      <c r="BA74" s="40"/>
      <c r="BB74" s="5"/>
      <c r="BD74" s="40"/>
      <c r="BE74" s="5"/>
      <c r="BG74" s="40"/>
      <c r="BH74" s="5"/>
      <c r="BJ74" s="40"/>
      <c r="BK74" s="5"/>
      <c r="BM74" s="40"/>
      <c r="BN74" s="5"/>
      <c r="BP74" s="40"/>
      <c r="BQ74" s="5"/>
      <c r="BS74" s="40"/>
      <c r="BT74" s="5"/>
      <c r="BV74" s="40"/>
      <c r="BW74" s="5"/>
      <c r="BY74" s="40"/>
      <c r="BZ74" s="5"/>
      <c r="CB74" s="40"/>
      <c r="CC74" s="5"/>
      <c r="CE74" s="40"/>
      <c r="CF74" s="5"/>
      <c r="CH74" s="40"/>
      <c r="CI74" s="5"/>
      <c r="CK74" s="40"/>
      <c r="CL74" s="5"/>
      <c r="CN74" s="40"/>
      <c r="CO74" s="5"/>
      <c r="CQ74" s="40"/>
      <c r="CR74" s="5"/>
    </row>
    <row r="75">
      <c r="AL75" s="40"/>
      <c r="AM75" s="5"/>
      <c r="AO75" s="40"/>
      <c r="AP75" s="5"/>
      <c r="AR75" s="40"/>
      <c r="AS75" s="5"/>
      <c r="AU75" s="40"/>
      <c r="AV75" s="5"/>
      <c r="AX75" s="40"/>
      <c r="AY75" s="5"/>
      <c r="BA75" s="40"/>
      <c r="BB75" s="5"/>
      <c r="BD75" s="40"/>
      <c r="BE75" s="5"/>
      <c r="BG75" s="40"/>
      <c r="BH75" s="5"/>
      <c r="BJ75" s="40"/>
      <c r="BK75" s="5"/>
      <c r="BM75" s="40"/>
      <c r="BN75" s="5"/>
      <c r="BP75" s="40"/>
      <c r="BQ75" s="5"/>
      <c r="BS75" s="40"/>
      <c r="BT75" s="5"/>
      <c r="BV75" s="40"/>
      <c r="BW75" s="5"/>
      <c r="BY75" s="40"/>
      <c r="BZ75" s="5"/>
      <c r="CB75" s="40"/>
      <c r="CC75" s="5"/>
      <c r="CE75" s="40"/>
      <c r="CF75" s="5"/>
      <c r="CH75" s="40"/>
      <c r="CI75" s="5"/>
      <c r="CK75" s="40"/>
      <c r="CL75" s="5"/>
      <c r="CN75" s="40"/>
      <c r="CO75" s="5"/>
      <c r="CQ75" s="40"/>
      <c r="CR75" s="5"/>
    </row>
    <row r="76">
      <c r="AL76" s="40"/>
      <c r="AM76" s="5"/>
      <c r="AO76" s="40"/>
      <c r="AP76" s="5"/>
      <c r="AR76" s="40"/>
      <c r="AS76" s="5"/>
      <c r="AU76" s="40"/>
      <c r="AV76" s="5"/>
      <c r="AX76" s="40"/>
      <c r="AY76" s="5"/>
      <c r="BA76" s="40"/>
      <c r="BB76" s="5"/>
      <c r="BD76" s="40"/>
      <c r="BE76" s="5"/>
      <c r="BG76" s="40"/>
      <c r="BH76" s="5"/>
      <c r="BJ76" s="40"/>
      <c r="BK76" s="5"/>
      <c r="BM76" s="40"/>
      <c r="BN76" s="5"/>
      <c r="BP76" s="40"/>
      <c r="BQ76" s="5"/>
      <c r="BS76" s="40"/>
      <c r="BT76" s="5"/>
      <c r="BV76" s="40"/>
      <c r="BW76" s="5"/>
      <c r="BY76" s="40"/>
      <c r="BZ76" s="5"/>
      <c r="CB76" s="40"/>
      <c r="CC76" s="5"/>
      <c r="CE76" s="40"/>
      <c r="CF76" s="5"/>
      <c r="CH76" s="40"/>
      <c r="CI76" s="5"/>
      <c r="CK76" s="40"/>
      <c r="CL76" s="5"/>
      <c r="CN76" s="40"/>
      <c r="CO76" s="5"/>
      <c r="CQ76" s="40"/>
      <c r="CR76" s="5"/>
    </row>
    <row r="77">
      <c r="AL77" s="40"/>
      <c r="AM77" s="5"/>
      <c r="AO77" s="40"/>
      <c r="AP77" s="5"/>
      <c r="AR77" s="40"/>
      <c r="AS77" s="5"/>
      <c r="AU77" s="40"/>
      <c r="AV77" s="5"/>
      <c r="AX77" s="40"/>
      <c r="AY77" s="5"/>
      <c r="BA77" s="40"/>
      <c r="BB77" s="5"/>
      <c r="BD77" s="40"/>
      <c r="BE77" s="5"/>
      <c r="BG77" s="40"/>
      <c r="BH77" s="5"/>
      <c r="BJ77" s="40"/>
      <c r="BK77" s="5"/>
      <c r="BM77" s="40"/>
      <c r="BN77" s="5"/>
      <c r="BP77" s="40"/>
      <c r="BQ77" s="5"/>
      <c r="BS77" s="40"/>
      <c r="BT77" s="5"/>
      <c r="BV77" s="40"/>
      <c r="BW77" s="5"/>
      <c r="BY77" s="40"/>
      <c r="BZ77" s="5"/>
      <c r="CB77" s="40"/>
      <c r="CC77" s="5"/>
      <c r="CE77" s="40"/>
      <c r="CF77" s="5"/>
      <c r="CH77" s="40"/>
      <c r="CI77" s="5"/>
      <c r="CK77" s="40"/>
      <c r="CL77" s="5"/>
      <c r="CN77" s="40"/>
      <c r="CO77" s="5"/>
      <c r="CQ77" s="40"/>
      <c r="CR77" s="5"/>
    </row>
    <row r="78">
      <c r="AL78" s="40"/>
      <c r="AM78" s="5"/>
      <c r="AO78" s="40"/>
      <c r="AP78" s="5"/>
      <c r="AR78" s="40"/>
      <c r="AS78" s="5"/>
      <c r="AU78" s="40"/>
      <c r="AV78" s="5"/>
      <c r="AX78" s="40"/>
      <c r="AY78" s="5"/>
      <c r="BA78" s="40"/>
      <c r="BB78" s="5"/>
      <c r="BD78" s="40"/>
      <c r="BE78" s="5"/>
      <c r="BG78" s="40"/>
      <c r="BH78" s="5"/>
      <c r="BJ78" s="40"/>
      <c r="BK78" s="5"/>
      <c r="BM78" s="40"/>
      <c r="BN78" s="5"/>
      <c r="BP78" s="40"/>
      <c r="BQ78" s="5"/>
      <c r="BS78" s="40"/>
      <c r="BT78" s="5"/>
      <c r="BV78" s="40"/>
      <c r="BW78" s="5"/>
      <c r="BY78" s="40"/>
      <c r="BZ78" s="5"/>
      <c r="CB78" s="40"/>
      <c r="CC78" s="5"/>
      <c r="CE78" s="40"/>
      <c r="CF78" s="5"/>
      <c r="CH78" s="40"/>
      <c r="CI78" s="5"/>
      <c r="CK78" s="40"/>
      <c r="CL78" s="5"/>
      <c r="CN78" s="40"/>
      <c r="CO78" s="5"/>
      <c r="CQ78" s="40"/>
      <c r="CR78" s="5"/>
    </row>
    <row r="79">
      <c r="AL79" s="40"/>
      <c r="AM79" s="5"/>
      <c r="AO79" s="40"/>
      <c r="AP79" s="5"/>
      <c r="AR79" s="40"/>
      <c r="AS79" s="5"/>
      <c r="AU79" s="40"/>
      <c r="AV79" s="5"/>
      <c r="AX79" s="40"/>
      <c r="AY79" s="5"/>
      <c r="BA79" s="40"/>
      <c r="BB79" s="5"/>
      <c r="BD79" s="40"/>
      <c r="BE79" s="5"/>
      <c r="BG79" s="40"/>
      <c r="BH79" s="5"/>
      <c r="BJ79" s="40"/>
      <c r="BK79" s="5"/>
      <c r="BM79" s="40"/>
      <c r="BN79" s="5"/>
      <c r="BP79" s="40"/>
      <c r="BQ79" s="5"/>
      <c r="BS79" s="40"/>
      <c r="BT79" s="5"/>
      <c r="BV79" s="40"/>
      <c r="BW79" s="5"/>
      <c r="BY79" s="40"/>
      <c r="BZ79" s="5"/>
      <c r="CB79" s="40"/>
      <c r="CC79" s="5"/>
      <c r="CE79" s="40"/>
      <c r="CF79" s="5"/>
      <c r="CH79" s="40"/>
      <c r="CI79" s="5"/>
      <c r="CK79" s="40"/>
      <c r="CL79" s="5"/>
      <c r="CN79" s="40"/>
      <c r="CO79" s="5"/>
      <c r="CQ79" s="40"/>
      <c r="CR79" s="5"/>
    </row>
    <row r="80">
      <c r="AL80" s="40"/>
      <c r="AM80" s="5"/>
      <c r="AO80" s="40"/>
      <c r="AP80" s="5"/>
      <c r="AR80" s="40"/>
      <c r="AS80" s="5"/>
      <c r="AU80" s="40"/>
      <c r="AV80" s="5"/>
      <c r="AX80" s="40"/>
      <c r="AY80" s="5"/>
      <c r="BA80" s="40"/>
      <c r="BB80" s="5"/>
      <c r="BD80" s="40"/>
      <c r="BE80" s="5"/>
      <c r="BG80" s="40"/>
      <c r="BH80" s="5"/>
      <c r="BJ80" s="40"/>
      <c r="BK80" s="5"/>
      <c r="BM80" s="40"/>
      <c r="BN80" s="5"/>
      <c r="BP80" s="40"/>
      <c r="BQ80" s="5"/>
      <c r="BS80" s="40"/>
      <c r="BT80" s="5"/>
      <c r="BV80" s="40"/>
      <c r="BW80" s="5"/>
      <c r="BY80" s="40"/>
      <c r="BZ80" s="5"/>
      <c r="CB80" s="40"/>
      <c r="CC80" s="5"/>
      <c r="CE80" s="40"/>
      <c r="CF80" s="5"/>
      <c r="CH80" s="40"/>
      <c r="CI80" s="5"/>
      <c r="CK80" s="40"/>
      <c r="CL80" s="5"/>
      <c r="CN80" s="40"/>
      <c r="CO80" s="5"/>
      <c r="CQ80" s="40"/>
      <c r="CR80" s="5"/>
    </row>
    <row r="81">
      <c r="AL81" s="40"/>
      <c r="AM81" s="5"/>
      <c r="AO81" s="40"/>
      <c r="AP81" s="5"/>
      <c r="AR81" s="40"/>
      <c r="AS81" s="5"/>
      <c r="AU81" s="40"/>
      <c r="AV81" s="5"/>
      <c r="AX81" s="40"/>
      <c r="AY81" s="5"/>
      <c r="BA81" s="40"/>
      <c r="BB81" s="5"/>
      <c r="BD81" s="40"/>
      <c r="BE81" s="5"/>
      <c r="BG81" s="40"/>
      <c r="BH81" s="5"/>
      <c r="BJ81" s="40"/>
      <c r="BK81" s="5"/>
      <c r="BM81" s="40"/>
      <c r="BN81" s="5"/>
      <c r="BP81" s="40"/>
      <c r="BQ81" s="5"/>
      <c r="BS81" s="40"/>
      <c r="BT81" s="5"/>
      <c r="BV81" s="40"/>
      <c r="BW81" s="5"/>
      <c r="BY81" s="40"/>
      <c r="BZ81" s="5"/>
      <c r="CB81" s="40"/>
      <c r="CC81" s="5"/>
      <c r="CE81" s="40"/>
      <c r="CF81" s="5"/>
      <c r="CH81" s="40"/>
      <c r="CI81" s="5"/>
      <c r="CK81" s="40"/>
      <c r="CL81" s="5"/>
      <c r="CN81" s="40"/>
      <c r="CO81" s="5"/>
      <c r="CQ81" s="40"/>
      <c r="CR81" s="5"/>
    </row>
    <row r="82">
      <c r="AL82" s="40"/>
      <c r="AM82" s="5"/>
      <c r="AO82" s="40"/>
      <c r="AP82" s="5"/>
      <c r="AR82" s="40"/>
      <c r="AS82" s="5"/>
      <c r="AU82" s="40"/>
      <c r="AV82" s="5"/>
      <c r="AX82" s="40"/>
      <c r="AY82" s="5"/>
      <c r="BA82" s="40"/>
      <c r="BB82" s="5"/>
      <c r="BD82" s="40"/>
      <c r="BE82" s="5"/>
      <c r="BG82" s="40"/>
      <c r="BH82" s="5"/>
      <c r="BJ82" s="40"/>
      <c r="BK82" s="5"/>
      <c r="BM82" s="40"/>
      <c r="BN82" s="5"/>
      <c r="BP82" s="40"/>
      <c r="BQ82" s="5"/>
      <c r="BS82" s="40"/>
      <c r="BT82" s="5"/>
      <c r="BV82" s="40"/>
      <c r="BW82" s="5"/>
      <c r="BY82" s="40"/>
      <c r="BZ82" s="5"/>
      <c r="CB82" s="40"/>
      <c r="CC82" s="5"/>
      <c r="CE82" s="40"/>
      <c r="CF82" s="5"/>
      <c r="CH82" s="40"/>
      <c r="CI82" s="5"/>
      <c r="CK82" s="40"/>
      <c r="CL82" s="5"/>
      <c r="CN82" s="40"/>
      <c r="CO82" s="5"/>
      <c r="CQ82" s="40"/>
      <c r="CR82" s="5"/>
    </row>
    <row r="83">
      <c r="AL83" s="40"/>
      <c r="AM83" s="5"/>
      <c r="AO83" s="40"/>
      <c r="AP83" s="5"/>
      <c r="AR83" s="40"/>
      <c r="AS83" s="5"/>
      <c r="AU83" s="40"/>
      <c r="AV83" s="5"/>
      <c r="AX83" s="40"/>
      <c r="AY83" s="5"/>
      <c r="BA83" s="40"/>
      <c r="BB83" s="5"/>
      <c r="BD83" s="40"/>
      <c r="BE83" s="5"/>
      <c r="BG83" s="40"/>
      <c r="BH83" s="5"/>
      <c r="BJ83" s="40"/>
      <c r="BK83" s="5"/>
      <c r="BM83" s="40"/>
      <c r="BN83" s="5"/>
      <c r="BP83" s="40"/>
      <c r="BQ83" s="5"/>
      <c r="BS83" s="40"/>
      <c r="BT83" s="5"/>
      <c r="BV83" s="40"/>
      <c r="BW83" s="5"/>
      <c r="BY83" s="40"/>
      <c r="BZ83" s="5"/>
      <c r="CB83" s="40"/>
      <c r="CC83" s="5"/>
      <c r="CE83" s="40"/>
      <c r="CF83" s="5"/>
      <c r="CH83" s="40"/>
      <c r="CI83" s="5"/>
      <c r="CK83" s="40"/>
      <c r="CL83" s="5"/>
      <c r="CN83" s="40"/>
      <c r="CO83" s="5"/>
      <c r="CQ83" s="40"/>
      <c r="CR83" s="5"/>
    </row>
    <row r="84">
      <c r="AL84" s="40"/>
      <c r="AM84" s="5"/>
      <c r="AO84" s="40"/>
      <c r="AP84" s="5"/>
      <c r="AR84" s="40"/>
      <c r="AS84" s="5"/>
      <c r="AU84" s="40"/>
      <c r="AV84" s="5"/>
      <c r="AX84" s="40"/>
      <c r="AY84" s="5"/>
      <c r="BA84" s="40"/>
      <c r="BB84" s="5"/>
      <c r="BD84" s="40"/>
      <c r="BE84" s="5"/>
      <c r="BG84" s="40"/>
      <c r="BH84" s="5"/>
      <c r="BJ84" s="40"/>
      <c r="BK84" s="5"/>
      <c r="BM84" s="40"/>
      <c r="BN84" s="5"/>
      <c r="BP84" s="40"/>
      <c r="BQ84" s="5"/>
      <c r="BS84" s="40"/>
      <c r="BT84" s="5"/>
      <c r="BV84" s="40"/>
      <c r="BW84" s="5"/>
      <c r="BY84" s="40"/>
      <c r="BZ84" s="5"/>
      <c r="CB84" s="40"/>
      <c r="CC84" s="5"/>
      <c r="CE84" s="40"/>
      <c r="CF84" s="5"/>
      <c r="CH84" s="40"/>
      <c r="CI84" s="5"/>
      <c r="CK84" s="40"/>
      <c r="CL84" s="5"/>
      <c r="CN84" s="40"/>
      <c r="CO84" s="5"/>
      <c r="CQ84" s="40"/>
      <c r="CR84" s="5"/>
    </row>
    <row r="85">
      <c r="AL85" s="40"/>
      <c r="AM85" s="5"/>
      <c r="AO85" s="40"/>
      <c r="AP85" s="5"/>
      <c r="AR85" s="40"/>
      <c r="AS85" s="5"/>
      <c r="AU85" s="40"/>
      <c r="AV85" s="5"/>
      <c r="AX85" s="40"/>
      <c r="AY85" s="5"/>
      <c r="BA85" s="40"/>
      <c r="BB85" s="5"/>
      <c r="BD85" s="40"/>
      <c r="BE85" s="5"/>
      <c r="BG85" s="40"/>
      <c r="BH85" s="5"/>
      <c r="BJ85" s="40"/>
      <c r="BK85" s="5"/>
      <c r="BM85" s="40"/>
      <c r="BN85" s="5"/>
      <c r="BP85" s="40"/>
      <c r="BQ85" s="5"/>
      <c r="BS85" s="40"/>
      <c r="BT85" s="5"/>
      <c r="BV85" s="40"/>
      <c r="BW85" s="5"/>
      <c r="BY85" s="40"/>
      <c r="BZ85" s="5"/>
      <c r="CB85" s="40"/>
      <c r="CC85" s="5"/>
      <c r="CE85" s="40"/>
      <c r="CF85" s="5"/>
      <c r="CH85" s="40"/>
      <c r="CI85" s="5"/>
      <c r="CK85" s="40"/>
      <c r="CL85" s="5"/>
      <c r="CN85" s="40"/>
      <c r="CO85" s="5"/>
      <c r="CQ85" s="40"/>
      <c r="CR85" s="5"/>
    </row>
    <row r="86">
      <c r="AL86" s="40"/>
      <c r="AM86" s="5"/>
      <c r="AO86" s="40"/>
      <c r="AP86" s="5"/>
      <c r="AR86" s="40"/>
      <c r="AS86" s="5"/>
      <c r="AU86" s="40"/>
      <c r="AV86" s="5"/>
      <c r="AX86" s="40"/>
      <c r="AY86" s="5"/>
      <c r="BA86" s="40"/>
      <c r="BB86" s="5"/>
      <c r="BD86" s="40"/>
      <c r="BE86" s="5"/>
      <c r="BG86" s="40"/>
      <c r="BH86" s="5"/>
      <c r="BJ86" s="40"/>
      <c r="BK86" s="5"/>
      <c r="BM86" s="40"/>
      <c r="BN86" s="5"/>
      <c r="BP86" s="40"/>
      <c r="BQ86" s="5"/>
      <c r="BS86" s="40"/>
      <c r="BT86" s="5"/>
      <c r="BV86" s="40"/>
      <c r="BW86" s="5"/>
      <c r="BY86" s="40"/>
      <c r="BZ86" s="5"/>
      <c r="CB86" s="40"/>
      <c r="CC86" s="5"/>
      <c r="CE86" s="40"/>
      <c r="CF86" s="5"/>
      <c r="CH86" s="40"/>
      <c r="CI86" s="5"/>
      <c r="CK86" s="40"/>
      <c r="CL86" s="5"/>
      <c r="CN86" s="40"/>
      <c r="CO86" s="5"/>
      <c r="CQ86" s="40"/>
      <c r="CR86" s="5"/>
    </row>
    <row r="87">
      <c r="AL87" s="40"/>
      <c r="AM87" s="5"/>
      <c r="AO87" s="40"/>
      <c r="AP87" s="5"/>
      <c r="AR87" s="40"/>
      <c r="AS87" s="5"/>
      <c r="AU87" s="40"/>
      <c r="AV87" s="5"/>
      <c r="AX87" s="40"/>
      <c r="AY87" s="5"/>
      <c r="BA87" s="40"/>
      <c r="BB87" s="5"/>
      <c r="BD87" s="40"/>
      <c r="BE87" s="5"/>
      <c r="BG87" s="40"/>
      <c r="BH87" s="5"/>
      <c r="BJ87" s="40"/>
      <c r="BK87" s="5"/>
      <c r="BM87" s="40"/>
      <c r="BN87" s="5"/>
      <c r="BP87" s="40"/>
      <c r="BQ87" s="5"/>
      <c r="BS87" s="40"/>
      <c r="BT87" s="5"/>
      <c r="BV87" s="40"/>
      <c r="BW87" s="5"/>
      <c r="BY87" s="40"/>
      <c r="BZ87" s="5"/>
      <c r="CB87" s="40"/>
      <c r="CC87" s="5"/>
      <c r="CE87" s="40"/>
      <c r="CF87" s="5"/>
      <c r="CH87" s="40"/>
      <c r="CI87" s="5"/>
      <c r="CK87" s="40"/>
      <c r="CL87" s="5"/>
      <c r="CN87" s="40"/>
      <c r="CO87" s="5"/>
      <c r="CQ87" s="40"/>
      <c r="CR87" s="5"/>
    </row>
    <row r="88">
      <c r="AL88" s="40"/>
      <c r="AM88" s="5"/>
      <c r="AO88" s="40"/>
      <c r="AP88" s="5"/>
      <c r="AR88" s="40"/>
      <c r="AS88" s="5"/>
      <c r="AU88" s="40"/>
      <c r="AV88" s="5"/>
      <c r="AX88" s="40"/>
      <c r="AY88" s="5"/>
      <c r="BA88" s="40"/>
      <c r="BB88" s="5"/>
      <c r="BD88" s="40"/>
      <c r="BE88" s="5"/>
      <c r="BG88" s="40"/>
      <c r="BH88" s="5"/>
      <c r="BJ88" s="40"/>
      <c r="BK88" s="5"/>
      <c r="BM88" s="40"/>
      <c r="BN88" s="5"/>
      <c r="BP88" s="40"/>
      <c r="BQ88" s="5"/>
      <c r="BS88" s="40"/>
      <c r="BT88" s="5"/>
      <c r="BV88" s="40"/>
      <c r="BW88" s="5"/>
      <c r="BY88" s="40"/>
      <c r="BZ88" s="5"/>
      <c r="CB88" s="40"/>
      <c r="CC88" s="5"/>
      <c r="CE88" s="40"/>
      <c r="CF88" s="5"/>
      <c r="CH88" s="40"/>
      <c r="CI88" s="5"/>
      <c r="CK88" s="40"/>
      <c r="CL88" s="5"/>
      <c r="CN88" s="40"/>
      <c r="CO88" s="5"/>
      <c r="CQ88" s="40"/>
      <c r="CR88" s="5"/>
    </row>
    <row r="89">
      <c r="AL89" s="40"/>
      <c r="AM89" s="5"/>
      <c r="AO89" s="40"/>
      <c r="AP89" s="5"/>
      <c r="AR89" s="40"/>
      <c r="AS89" s="5"/>
      <c r="AU89" s="40"/>
      <c r="AV89" s="5"/>
      <c r="AX89" s="40"/>
      <c r="AY89" s="5"/>
      <c r="BA89" s="40"/>
      <c r="BB89" s="5"/>
      <c r="BD89" s="40"/>
      <c r="BE89" s="5"/>
      <c r="BG89" s="40"/>
      <c r="BH89" s="5"/>
      <c r="BJ89" s="40"/>
      <c r="BK89" s="5"/>
      <c r="BM89" s="40"/>
      <c r="BN89" s="5"/>
      <c r="BP89" s="40"/>
      <c r="BQ89" s="5"/>
      <c r="BS89" s="40"/>
      <c r="BT89" s="5"/>
      <c r="BV89" s="40"/>
      <c r="BW89" s="5"/>
      <c r="BY89" s="40"/>
      <c r="BZ89" s="5"/>
      <c r="CB89" s="40"/>
      <c r="CC89" s="5"/>
      <c r="CE89" s="40"/>
      <c r="CF89" s="5"/>
      <c r="CH89" s="40"/>
      <c r="CI89" s="5"/>
      <c r="CK89" s="40"/>
      <c r="CL89" s="5"/>
      <c r="CN89" s="40"/>
      <c r="CO89" s="5"/>
      <c r="CQ89" s="40"/>
      <c r="CR89" s="5"/>
    </row>
    <row r="90">
      <c r="AL90" s="40"/>
      <c r="AM90" s="5"/>
      <c r="AO90" s="40"/>
      <c r="AP90" s="5"/>
      <c r="AR90" s="40"/>
      <c r="AS90" s="5"/>
      <c r="AU90" s="40"/>
      <c r="AV90" s="5"/>
      <c r="AX90" s="40"/>
      <c r="AY90" s="5"/>
      <c r="BA90" s="40"/>
      <c r="BB90" s="5"/>
      <c r="BD90" s="40"/>
      <c r="BE90" s="5"/>
      <c r="BG90" s="40"/>
      <c r="BH90" s="5"/>
      <c r="BJ90" s="40"/>
      <c r="BK90" s="5"/>
      <c r="BM90" s="40"/>
      <c r="BN90" s="5"/>
      <c r="BP90" s="40"/>
      <c r="BQ90" s="5"/>
      <c r="BS90" s="40"/>
      <c r="BT90" s="5"/>
      <c r="BV90" s="40"/>
      <c r="BW90" s="5"/>
      <c r="BY90" s="40"/>
      <c r="BZ90" s="5"/>
      <c r="CB90" s="40"/>
      <c r="CC90" s="5"/>
      <c r="CE90" s="40"/>
      <c r="CF90" s="5"/>
      <c r="CH90" s="40"/>
      <c r="CI90" s="5"/>
      <c r="CK90" s="40"/>
      <c r="CL90" s="5"/>
      <c r="CN90" s="40"/>
      <c r="CO90" s="5"/>
      <c r="CQ90" s="40"/>
      <c r="CR90" s="5"/>
    </row>
    <row r="91">
      <c r="AL91" s="40"/>
      <c r="AM91" s="5"/>
      <c r="AO91" s="40"/>
      <c r="AP91" s="5"/>
      <c r="AR91" s="40"/>
      <c r="AS91" s="5"/>
      <c r="AU91" s="40"/>
      <c r="AV91" s="5"/>
      <c r="AX91" s="40"/>
      <c r="AY91" s="5"/>
      <c r="BA91" s="40"/>
      <c r="BB91" s="5"/>
      <c r="BD91" s="40"/>
      <c r="BE91" s="5"/>
      <c r="BG91" s="40"/>
      <c r="BH91" s="5"/>
      <c r="BJ91" s="40"/>
      <c r="BK91" s="5"/>
      <c r="BM91" s="40"/>
      <c r="BN91" s="5"/>
      <c r="BP91" s="40"/>
      <c r="BQ91" s="5"/>
      <c r="BS91" s="40"/>
      <c r="BT91" s="5"/>
      <c r="BV91" s="40"/>
      <c r="BW91" s="5"/>
      <c r="BY91" s="40"/>
      <c r="BZ91" s="5"/>
      <c r="CB91" s="40"/>
      <c r="CC91" s="5"/>
      <c r="CE91" s="40"/>
      <c r="CF91" s="5"/>
      <c r="CH91" s="40"/>
      <c r="CI91" s="5"/>
      <c r="CK91" s="40"/>
      <c r="CL91" s="5"/>
      <c r="CN91" s="40"/>
      <c r="CO91" s="5"/>
      <c r="CQ91" s="40"/>
      <c r="CR91" s="5"/>
    </row>
    <row r="92">
      <c r="AL92" s="40"/>
      <c r="AM92" s="5"/>
      <c r="AO92" s="40"/>
      <c r="AP92" s="5"/>
      <c r="AR92" s="40"/>
      <c r="AS92" s="5"/>
      <c r="AU92" s="40"/>
      <c r="AV92" s="5"/>
      <c r="AX92" s="40"/>
      <c r="AY92" s="5"/>
      <c r="BA92" s="40"/>
      <c r="BB92" s="5"/>
      <c r="BD92" s="40"/>
      <c r="BE92" s="5"/>
      <c r="BG92" s="40"/>
      <c r="BH92" s="5"/>
      <c r="BJ92" s="40"/>
      <c r="BK92" s="5"/>
      <c r="BM92" s="40"/>
      <c r="BN92" s="5"/>
      <c r="BP92" s="40"/>
      <c r="BQ92" s="5"/>
      <c r="BS92" s="40"/>
      <c r="BT92" s="5"/>
      <c r="BV92" s="40"/>
      <c r="BW92" s="5"/>
      <c r="BY92" s="40"/>
      <c r="BZ92" s="5"/>
      <c r="CB92" s="40"/>
      <c r="CC92" s="5"/>
      <c r="CE92" s="40"/>
      <c r="CF92" s="5"/>
      <c r="CH92" s="40"/>
      <c r="CI92" s="5"/>
      <c r="CK92" s="40"/>
      <c r="CL92" s="5"/>
      <c r="CN92" s="40"/>
      <c r="CO92" s="5"/>
      <c r="CQ92" s="40"/>
      <c r="CR92" s="5"/>
    </row>
    <row r="93">
      <c r="AL93" s="40"/>
      <c r="AM93" s="5"/>
      <c r="AO93" s="40"/>
      <c r="AP93" s="5"/>
      <c r="AR93" s="40"/>
      <c r="AS93" s="5"/>
      <c r="AU93" s="40"/>
      <c r="AV93" s="5"/>
      <c r="AX93" s="40"/>
      <c r="AY93" s="5"/>
      <c r="BA93" s="40"/>
      <c r="BB93" s="5"/>
      <c r="BD93" s="40"/>
      <c r="BE93" s="5"/>
      <c r="BG93" s="40"/>
      <c r="BH93" s="5"/>
      <c r="BJ93" s="40"/>
      <c r="BK93" s="5"/>
      <c r="BM93" s="40"/>
      <c r="BN93" s="5"/>
      <c r="BP93" s="40"/>
      <c r="BQ93" s="5"/>
      <c r="BS93" s="40"/>
      <c r="BT93" s="5"/>
      <c r="BV93" s="40"/>
      <c r="BW93" s="5"/>
      <c r="BY93" s="40"/>
      <c r="BZ93" s="5"/>
      <c r="CB93" s="40"/>
      <c r="CC93" s="5"/>
      <c r="CE93" s="40"/>
      <c r="CF93" s="5"/>
      <c r="CH93" s="40"/>
      <c r="CI93" s="5"/>
      <c r="CK93" s="40"/>
      <c r="CL93" s="5"/>
      <c r="CN93" s="40"/>
      <c r="CO93" s="5"/>
      <c r="CQ93" s="40"/>
      <c r="CR93" s="5"/>
    </row>
    <row r="94">
      <c r="AL94" s="40"/>
      <c r="AM94" s="5"/>
      <c r="AO94" s="40"/>
      <c r="AP94" s="5"/>
      <c r="AR94" s="40"/>
      <c r="AS94" s="5"/>
      <c r="AU94" s="40"/>
      <c r="AV94" s="5"/>
      <c r="AX94" s="40"/>
      <c r="AY94" s="5"/>
      <c r="BA94" s="40"/>
      <c r="BB94" s="5"/>
      <c r="BD94" s="40"/>
      <c r="BE94" s="5"/>
      <c r="BG94" s="40"/>
      <c r="BH94" s="5"/>
      <c r="BJ94" s="40"/>
      <c r="BK94" s="5"/>
      <c r="BM94" s="40"/>
      <c r="BN94" s="5"/>
      <c r="BP94" s="40"/>
      <c r="BQ94" s="5"/>
      <c r="BS94" s="40"/>
      <c r="BT94" s="5"/>
      <c r="BV94" s="40"/>
      <c r="BW94" s="5"/>
      <c r="BY94" s="40"/>
      <c r="BZ94" s="5"/>
      <c r="CB94" s="40"/>
      <c r="CC94" s="5"/>
      <c r="CE94" s="40"/>
      <c r="CF94" s="5"/>
      <c r="CH94" s="40"/>
      <c r="CI94" s="5"/>
      <c r="CK94" s="40"/>
      <c r="CL94" s="5"/>
      <c r="CN94" s="40"/>
      <c r="CO94" s="5"/>
      <c r="CQ94" s="40"/>
      <c r="CR94" s="5"/>
    </row>
    <row r="95">
      <c r="AL95" s="40"/>
      <c r="AM95" s="5"/>
      <c r="AO95" s="40"/>
      <c r="AP95" s="5"/>
      <c r="AR95" s="40"/>
      <c r="AS95" s="5"/>
      <c r="AU95" s="40"/>
      <c r="AV95" s="5"/>
      <c r="AX95" s="40"/>
      <c r="AY95" s="5"/>
      <c r="BA95" s="40"/>
      <c r="BB95" s="5"/>
      <c r="BD95" s="40"/>
      <c r="BE95" s="5"/>
      <c r="BG95" s="40"/>
      <c r="BH95" s="5"/>
      <c r="BJ95" s="40"/>
      <c r="BK95" s="5"/>
      <c r="BM95" s="40"/>
      <c r="BN95" s="5"/>
      <c r="BP95" s="40"/>
      <c r="BQ95" s="5"/>
      <c r="BS95" s="40"/>
      <c r="BT95" s="5"/>
      <c r="BV95" s="40"/>
      <c r="BW95" s="5"/>
      <c r="BY95" s="40"/>
      <c r="BZ95" s="5"/>
      <c r="CB95" s="40"/>
      <c r="CC95" s="5"/>
      <c r="CE95" s="40"/>
      <c r="CF95" s="5"/>
      <c r="CH95" s="40"/>
      <c r="CI95" s="5"/>
      <c r="CK95" s="40"/>
      <c r="CL95" s="5"/>
      <c r="CN95" s="40"/>
      <c r="CO95" s="5"/>
      <c r="CQ95" s="40"/>
      <c r="CR95" s="5"/>
    </row>
    <row r="96">
      <c r="AL96" s="40"/>
      <c r="AM96" s="5"/>
      <c r="AO96" s="40"/>
      <c r="AP96" s="5"/>
      <c r="AR96" s="40"/>
      <c r="AS96" s="5"/>
      <c r="AU96" s="40"/>
      <c r="AV96" s="5"/>
      <c r="AX96" s="40"/>
      <c r="AY96" s="5"/>
      <c r="BA96" s="40"/>
      <c r="BB96" s="5"/>
      <c r="BD96" s="40"/>
      <c r="BE96" s="5"/>
      <c r="BG96" s="40"/>
      <c r="BH96" s="5"/>
      <c r="BJ96" s="40"/>
      <c r="BK96" s="5"/>
      <c r="BM96" s="40"/>
      <c r="BN96" s="5"/>
      <c r="BP96" s="40"/>
      <c r="BQ96" s="5"/>
      <c r="BS96" s="40"/>
      <c r="BT96" s="5"/>
      <c r="BV96" s="40"/>
      <c r="BW96" s="5"/>
      <c r="BY96" s="40"/>
      <c r="BZ96" s="5"/>
      <c r="CB96" s="40"/>
      <c r="CC96" s="5"/>
      <c r="CE96" s="40"/>
      <c r="CF96" s="5"/>
      <c r="CH96" s="40"/>
      <c r="CI96" s="5"/>
      <c r="CK96" s="40"/>
      <c r="CL96" s="5"/>
      <c r="CN96" s="40"/>
      <c r="CO96" s="5"/>
      <c r="CQ96" s="40"/>
      <c r="CR96" s="5"/>
    </row>
    <row r="97">
      <c r="AL97" s="40"/>
      <c r="AM97" s="5"/>
      <c r="AO97" s="40"/>
      <c r="AP97" s="5"/>
      <c r="AR97" s="40"/>
      <c r="AS97" s="5"/>
      <c r="AU97" s="40"/>
      <c r="AV97" s="5"/>
      <c r="AX97" s="40"/>
      <c r="AY97" s="5"/>
      <c r="BA97" s="40"/>
      <c r="BB97" s="5"/>
      <c r="BD97" s="40"/>
      <c r="BE97" s="5"/>
      <c r="BG97" s="40"/>
      <c r="BH97" s="5"/>
      <c r="BJ97" s="40"/>
      <c r="BK97" s="5"/>
      <c r="BM97" s="40"/>
      <c r="BN97" s="5"/>
      <c r="BP97" s="40"/>
      <c r="BQ97" s="5"/>
      <c r="BS97" s="40"/>
      <c r="BT97" s="5"/>
      <c r="BV97" s="40"/>
      <c r="BW97" s="5"/>
      <c r="BY97" s="40"/>
      <c r="BZ97" s="5"/>
      <c r="CB97" s="40"/>
      <c r="CC97" s="5"/>
      <c r="CE97" s="40"/>
      <c r="CF97" s="5"/>
      <c r="CH97" s="40"/>
      <c r="CI97" s="5"/>
      <c r="CK97" s="40"/>
      <c r="CL97" s="5"/>
      <c r="CN97" s="40"/>
      <c r="CO97" s="5"/>
      <c r="CQ97" s="40"/>
      <c r="CR97" s="5"/>
    </row>
    <row r="98">
      <c r="AL98" s="40"/>
      <c r="AM98" s="5"/>
      <c r="AO98" s="40"/>
      <c r="AP98" s="5"/>
      <c r="AR98" s="40"/>
      <c r="AS98" s="5"/>
      <c r="AU98" s="40"/>
      <c r="AV98" s="5"/>
      <c r="AX98" s="40"/>
      <c r="AY98" s="5"/>
      <c r="BA98" s="40"/>
      <c r="BB98" s="5"/>
      <c r="BD98" s="40"/>
      <c r="BE98" s="5"/>
      <c r="BG98" s="40"/>
      <c r="BH98" s="5"/>
      <c r="BJ98" s="40"/>
      <c r="BK98" s="5"/>
      <c r="BM98" s="40"/>
      <c r="BN98" s="5"/>
      <c r="BP98" s="40"/>
      <c r="BQ98" s="5"/>
      <c r="BS98" s="40"/>
      <c r="BT98" s="5"/>
      <c r="BV98" s="40"/>
      <c r="BW98" s="5"/>
      <c r="BY98" s="40"/>
      <c r="BZ98" s="5"/>
      <c r="CB98" s="40"/>
      <c r="CC98" s="5"/>
      <c r="CE98" s="40"/>
      <c r="CF98" s="5"/>
      <c r="CH98" s="40"/>
      <c r="CI98" s="5"/>
      <c r="CK98" s="40"/>
      <c r="CL98" s="5"/>
      <c r="CN98" s="40"/>
      <c r="CO98" s="5"/>
      <c r="CQ98" s="40"/>
      <c r="CR98" s="5"/>
    </row>
    <row r="99">
      <c r="AL99" s="40"/>
      <c r="AM99" s="5"/>
      <c r="AO99" s="40"/>
      <c r="AP99" s="5"/>
      <c r="AR99" s="40"/>
      <c r="AS99" s="5"/>
      <c r="AU99" s="40"/>
      <c r="AV99" s="5"/>
      <c r="AX99" s="40"/>
      <c r="AY99" s="5"/>
      <c r="BA99" s="40"/>
      <c r="BB99" s="5"/>
      <c r="BD99" s="40"/>
      <c r="BE99" s="5"/>
      <c r="BG99" s="40"/>
      <c r="BH99" s="5"/>
      <c r="BJ99" s="40"/>
      <c r="BK99" s="5"/>
      <c r="BM99" s="40"/>
      <c r="BN99" s="5"/>
      <c r="BP99" s="40"/>
      <c r="BQ99" s="5"/>
      <c r="BS99" s="40"/>
      <c r="BT99" s="5"/>
      <c r="BV99" s="40"/>
      <c r="BW99" s="5"/>
      <c r="BY99" s="40"/>
      <c r="BZ99" s="5"/>
      <c r="CB99" s="40"/>
      <c r="CC99" s="5"/>
      <c r="CE99" s="40"/>
      <c r="CF99" s="5"/>
      <c r="CH99" s="40"/>
      <c r="CI99" s="5"/>
      <c r="CK99" s="40"/>
      <c r="CL99" s="5"/>
      <c r="CN99" s="40"/>
      <c r="CO99" s="5"/>
      <c r="CQ99" s="40"/>
      <c r="CR99" s="5"/>
    </row>
    <row r="100">
      <c r="AL100" s="40"/>
      <c r="AM100" s="5"/>
      <c r="AO100" s="40"/>
      <c r="AP100" s="5"/>
      <c r="AR100" s="40"/>
      <c r="AS100" s="5"/>
      <c r="AU100" s="40"/>
      <c r="AV100" s="5"/>
      <c r="AX100" s="40"/>
      <c r="AY100" s="5"/>
      <c r="BA100" s="40"/>
      <c r="BB100" s="5"/>
      <c r="BD100" s="40"/>
      <c r="BE100" s="5"/>
      <c r="BG100" s="40"/>
      <c r="BH100" s="5"/>
      <c r="BJ100" s="40"/>
      <c r="BK100" s="5"/>
      <c r="BM100" s="40"/>
      <c r="BN100" s="5"/>
      <c r="BP100" s="40"/>
      <c r="BQ100" s="5"/>
      <c r="BS100" s="40"/>
      <c r="BT100" s="5"/>
      <c r="BV100" s="40"/>
      <c r="BW100" s="5"/>
      <c r="BY100" s="40"/>
      <c r="BZ100" s="5"/>
      <c r="CB100" s="40"/>
      <c r="CC100" s="5"/>
      <c r="CE100" s="40"/>
      <c r="CF100" s="5"/>
      <c r="CH100" s="40"/>
      <c r="CI100" s="5"/>
      <c r="CK100" s="40"/>
      <c r="CL100" s="5"/>
      <c r="CN100" s="40"/>
      <c r="CO100" s="5"/>
      <c r="CQ100" s="40"/>
      <c r="CR100" s="5"/>
    </row>
    <row r="101">
      <c r="AL101" s="40"/>
      <c r="AM101" s="5"/>
      <c r="AO101" s="40"/>
      <c r="AP101" s="5"/>
      <c r="AR101" s="40"/>
      <c r="AS101" s="5"/>
      <c r="AU101" s="40"/>
      <c r="AV101" s="5"/>
      <c r="AX101" s="40"/>
      <c r="AY101" s="5"/>
      <c r="BA101" s="40"/>
      <c r="BB101" s="5"/>
      <c r="BD101" s="40"/>
      <c r="BE101" s="5"/>
      <c r="BG101" s="40"/>
      <c r="BH101" s="5"/>
      <c r="BJ101" s="40"/>
      <c r="BK101" s="5"/>
      <c r="BM101" s="40"/>
      <c r="BN101" s="5"/>
      <c r="BP101" s="40"/>
      <c r="BQ101" s="5"/>
      <c r="BS101" s="40"/>
      <c r="BT101" s="5"/>
      <c r="BV101" s="40"/>
      <c r="BW101" s="5"/>
      <c r="BY101" s="40"/>
      <c r="BZ101" s="5"/>
      <c r="CB101" s="40"/>
      <c r="CC101" s="5"/>
      <c r="CE101" s="40"/>
      <c r="CF101" s="5"/>
      <c r="CH101" s="40"/>
      <c r="CI101" s="5"/>
      <c r="CK101" s="40"/>
      <c r="CL101" s="5"/>
      <c r="CN101" s="40"/>
      <c r="CO101" s="5"/>
      <c r="CQ101" s="40"/>
      <c r="CR101" s="5"/>
    </row>
    <row r="102">
      <c r="AL102" s="40"/>
      <c r="AM102" s="5"/>
      <c r="AO102" s="40"/>
      <c r="AP102" s="5"/>
      <c r="AR102" s="40"/>
      <c r="AS102" s="5"/>
      <c r="AU102" s="40"/>
      <c r="AV102" s="5"/>
      <c r="AX102" s="40"/>
      <c r="AY102" s="5"/>
      <c r="BA102" s="40"/>
      <c r="BB102" s="5"/>
      <c r="BD102" s="40"/>
      <c r="BE102" s="5"/>
      <c r="BG102" s="40"/>
      <c r="BH102" s="5"/>
      <c r="BJ102" s="40"/>
      <c r="BK102" s="5"/>
      <c r="BM102" s="40"/>
      <c r="BN102" s="5"/>
      <c r="BP102" s="40"/>
      <c r="BQ102" s="5"/>
      <c r="BS102" s="40"/>
      <c r="BT102" s="5"/>
      <c r="BV102" s="40"/>
      <c r="BW102" s="5"/>
      <c r="BY102" s="40"/>
      <c r="BZ102" s="5"/>
      <c r="CB102" s="40"/>
      <c r="CC102" s="5"/>
      <c r="CE102" s="40"/>
      <c r="CF102" s="5"/>
      <c r="CH102" s="40"/>
      <c r="CI102" s="5"/>
      <c r="CK102" s="40"/>
      <c r="CL102" s="5"/>
      <c r="CN102" s="40"/>
      <c r="CO102" s="5"/>
      <c r="CQ102" s="40"/>
      <c r="CR102" s="5"/>
    </row>
    <row r="103">
      <c r="AL103" s="40"/>
      <c r="AM103" s="5"/>
      <c r="AO103" s="40"/>
      <c r="AP103" s="5"/>
      <c r="AR103" s="40"/>
      <c r="AS103" s="5"/>
      <c r="AU103" s="40"/>
      <c r="AV103" s="5"/>
      <c r="AX103" s="40"/>
      <c r="AY103" s="5"/>
      <c r="BA103" s="40"/>
      <c r="BB103" s="5"/>
      <c r="BD103" s="40"/>
      <c r="BE103" s="5"/>
      <c r="BG103" s="40"/>
      <c r="BH103" s="5"/>
      <c r="BJ103" s="40"/>
      <c r="BK103" s="5"/>
      <c r="BM103" s="40"/>
      <c r="BN103" s="5"/>
      <c r="BP103" s="40"/>
      <c r="BQ103" s="5"/>
      <c r="BS103" s="40"/>
      <c r="BT103" s="5"/>
      <c r="BV103" s="40"/>
      <c r="BW103" s="5"/>
      <c r="BY103" s="40"/>
      <c r="BZ103" s="5"/>
      <c r="CB103" s="40"/>
      <c r="CC103" s="5"/>
      <c r="CE103" s="40"/>
      <c r="CF103" s="5"/>
      <c r="CH103" s="40"/>
      <c r="CI103" s="5"/>
      <c r="CK103" s="40"/>
      <c r="CL103" s="5"/>
      <c r="CN103" s="40"/>
      <c r="CO103" s="5"/>
      <c r="CQ103" s="40"/>
      <c r="CR103" s="5"/>
    </row>
    <row r="104">
      <c r="AL104" s="40"/>
      <c r="AM104" s="5"/>
      <c r="AO104" s="40"/>
      <c r="AP104" s="5"/>
      <c r="AR104" s="40"/>
      <c r="AS104" s="5"/>
      <c r="AU104" s="40"/>
      <c r="AV104" s="5"/>
      <c r="AX104" s="40"/>
      <c r="AY104" s="5"/>
      <c r="BA104" s="40"/>
      <c r="BB104" s="5"/>
      <c r="BD104" s="40"/>
      <c r="BE104" s="5"/>
      <c r="BG104" s="40"/>
      <c r="BH104" s="5"/>
      <c r="BJ104" s="40"/>
      <c r="BK104" s="5"/>
      <c r="BM104" s="40"/>
      <c r="BN104" s="5"/>
      <c r="BP104" s="40"/>
      <c r="BQ104" s="5"/>
      <c r="BS104" s="40"/>
      <c r="BT104" s="5"/>
      <c r="BV104" s="40"/>
      <c r="BW104" s="5"/>
      <c r="BY104" s="40"/>
      <c r="BZ104" s="5"/>
      <c r="CB104" s="40"/>
      <c r="CC104" s="5"/>
      <c r="CE104" s="40"/>
      <c r="CF104" s="5"/>
      <c r="CH104" s="40"/>
      <c r="CI104" s="5"/>
      <c r="CK104" s="40"/>
      <c r="CL104" s="5"/>
      <c r="CN104" s="40"/>
      <c r="CO104" s="5"/>
      <c r="CQ104" s="40"/>
      <c r="CR104" s="5"/>
    </row>
    <row r="105">
      <c r="AL105" s="40"/>
      <c r="AM105" s="5"/>
      <c r="AO105" s="40"/>
      <c r="AP105" s="5"/>
      <c r="AR105" s="40"/>
      <c r="AS105" s="5"/>
      <c r="AU105" s="40"/>
      <c r="AV105" s="5"/>
      <c r="AX105" s="40"/>
      <c r="AY105" s="5"/>
      <c r="BA105" s="40"/>
      <c r="BB105" s="5"/>
      <c r="BD105" s="40"/>
      <c r="BE105" s="5"/>
      <c r="BG105" s="40"/>
      <c r="BH105" s="5"/>
      <c r="BJ105" s="40"/>
      <c r="BK105" s="5"/>
      <c r="BM105" s="40"/>
      <c r="BN105" s="5"/>
      <c r="BP105" s="40"/>
      <c r="BQ105" s="5"/>
      <c r="BS105" s="40"/>
      <c r="BT105" s="5"/>
      <c r="BV105" s="40"/>
      <c r="BW105" s="5"/>
      <c r="BY105" s="40"/>
      <c r="BZ105" s="5"/>
      <c r="CB105" s="40"/>
      <c r="CC105" s="5"/>
      <c r="CE105" s="40"/>
      <c r="CF105" s="5"/>
      <c r="CH105" s="40"/>
      <c r="CI105" s="5"/>
      <c r="CK105" s="40"/>
      <c r="CL105" s="5"/>
      <c r="CN105" s="40"/>
      <c r="CO105" s="5"/>
      <c r="CQ105" s="40"/>
      <c r="CR105" s="5"/>
    </row>
    <row r="106">
      <c r="AL106" s="40"/>
      <c r="AM106" s="5"/>
      <c r="AO106" s="40"/>
      <c r="AP106" s="5"/>
      <c r="AR106" s="40"/>
      <c r="AS106" s="5"/>
      <c r="AU106" s="40"/>
      <c r="AV106" s="5"/>
      <c r="AX106" s="40"/>
      <c r="AY106" s="5"/>
      <c r="BA106" s="40"/>
      <c r="BB106" s="5"/>
      <c r="BD106" s="40"/>
      <c r="BE106" s="5"/>
      <c r="BG106" s="40"/>
      <c r="BH106" s="5"/>
      <c r="BJ106" s="40"/>
      <c r="BK106" s="5"/>
      <c r="BM106" s="40"/>
      <c r="BN106" s="5"/>
      <c r="BP106" s="40"/>
      <c r="BQ106" s="5"/>
      <c r="BS106" s="40"/>
      <c r="BT106" s="5"/>
      <c r="BV106" s="40"/>
      <c r="BW106" s="5"/>
      <c r="BY106" s="40"/>
      <c r="BZ106" s="5"/>
      <c r="CB106" s="40"/>
      <c r="CC106" s="5"/>
      <c r="CE106" s="40"/>
      <c r="CF106" s="5"/>
      <c r="CH106" s="40"/>
      <c r="CI106" s="5"/>
      <c r="CK106" s="40"/>
      <c r="CL106" s="5"/>
      <c r="CN106" s="40"/>
      <c r="CO106" s="5"/>
      <c r="CQ106" s="40"/>
      <c r="CR106" s="5"/>
    </row>
    <row r="107">
      <c r="AL107" s="40"/>
      <c r="AM107" s="5"/>
      <c r="AO107" s="40"/>
      <c r="AP107" s="5"/>
      <c r="AR107" s="40"/>
      <c r="AS107" s="5"/>
      <c r="AU107" s="40"/>
      <c r="AV107" s="5"/>
      <c r="AX107" s="40"/>
      <c r="AY107" s="5"/>
      <c r="BA107" s="40"/>
      <c r="BB107" s="5"/>
      <c r="BD107" s="40"/>
      <c r="BE107" s="5"/>
      <c r="BG107" s="40"/>
      <c r="BH107" s="5"/>
      <c r="BJ107" s="40"/>
      <c r="BK107" s="5"/>
      <c r="BM107" s="40"/>
      <c r="BN107" s="5"/>
      <c r="BP107" s="40"/>
      <c r="BQ107" s="5"/>
      <c r="BS107" s="40"/>
      <c r="BT107" s="5"/>
      <c r="BV107" s="40"/>
      <c r="BW107" s="5"/>
      <c r="BY107" s="40"/>
      <c r="BZ107" s="5"/>
      <c r="CB107" s="40"/>
      <c r="CC107" s="5"/>
      <c r="CE107" s="40"/>
      <c r="CF107" s="5"/>
      <c r="CH107" s="40"/>
      <c r="CI107" s="5"/>
      <c r="CK107" s="40"/>
      <c r="CL107" s="5"/>
      <c r="CN107" s="40"/>
      <c r="CO107" s="5"/>
      <c r="CQ107" s="40"/>
      <c r="CR107" s="5"/>
    </row>
    <row r="108">
      <c r="AL108" s="40"/>
      <c r="AM108" s="5"/>
      <c r="AO108" s="40"/>
      <c r="AP108" s="5"/>
      <c r="AR108" s="40"/>
      <c r="AS108" s="5"/>
      <c r="AU108" s="40"/>
      <c r="AV108" s="5"/>
      <c r="AX108" s="40"/>
      <c r="AY108" s="5"/>
      <c r="BA108" s="40"/>
      <c r="BB108" s="5"/>
      <c r="BD108" s="40"/>
      <c r="BE108" s="5"/>
      <c r="BG108" s="40"/>
      <c r="BH108" s="5"/>
      <c r="BJ108" s="40"/>
      <c r="BK108" s="5"/>
      <c r="BM108" s="40"/>
      <c r="BN108" s="5"/>
      <c r="BP108" s="40"/>
      <c r="BQ108" s="5"/>
      <c r="BS108" s="40"/>
      <c r="BT108" s="5"/>
      <c r="BV108" s="40"/>
      <c r="BW108" s="5"/>
      <c r="BY108" s="40"/>
      <c r="BZ108" s="5"/>
      <c r="CB108" s="40"/>
      <c r="CC108" s="5"/>
      <c r="CE108" s="40"/>
      <c r="CF108" s="5"/>
      <c r="CH108" s="40"/>
      <c r="CI108" s="5"/>
      <c r="CK108" s="40"/>
      <c r="CL108" s="5"/>
      <c r="CN108" s="40"/>
      <c r="CO108" s="5"/>
      <c r="CQ108" s="40"/>
      <c r="CR108" s="5"/>
    </row>
    <row r="109">
      <c r="AL109" s="40"/>
      <c r="AM109" s="5"/>
      <c r="AO109" s="40"/>
      <c r="AP109" s="5"/>
      <c r="AR109" s="40"/>
      <c r="AS109" s="5"/>
      <c r="AU109" s="40"/>
      <c r="AV109" s="5"/>
      <c r="AX109" s="40"/>
      <c r="AY109" s="5"/>
      <c r="BA109" s="40"/>
      <c r="BB109" s="5"/>
      <c r="BD109" s="40"/>
      <c r="BE109" s="5"/>
      <c r="BG109" s="40"/>
      <c r="BH109" s="5"/>
      <c r="BJ109" s="40"/>
      <c r="BK109" s="5"/>
      <c r="BM109" s="40"/>
      <c r="BN109" s="5"/>
      <c r="BP109" s="40"/>
      <c r="BQ109" s="5"/>
      <c r="BS109" s="40"/>
      <c r="BT109" s="5"/>
      <c r="BV109" s="40"/>
      <c r="BW109" s="5"/>
      <c r="BY109" s="40"/>
      <c r="BZ109" s="5"/>
      <c r="CB109" s="40"/>
      <c r="CC109" s="5"/>
      <c r="CE109" s="40"/>
      <c r="CF109" s="5"/>
      <c r="CH109" s="40"/>
      <c r="CI109" s="5"/>
      <c r="CK109" s="40"/>
      <c r="CL109" s="5"/>
      <c r="CN109" s="40"/>
      <c r="CO109" s="5"/>
      <c r="CQ109" s="40"/>
      <c r="CR109" s="5"/>
    </row>
    <row r="110">
      <c r="AL110" s="40"/>
      <c r="AM110" s="5"/>
      <c r="AO110" s="40"/>
      <c r="AP110" s="5"/>
      <c r="AR110" s="40"/>
      <c r="AS110" s="5"/>
      <c r="AU110" s="40"/>
      <c r="AV110" s="5"/>
      <c r="AX110" s="40"/>
      <c r="AY110" s="5"/>
      <c r="BA110" s="40"/>
      <c r="BB110" s="5"/>
      <c r="BD110" s="40"/>
      <c r="BE110" s="5"/>
      <c r="BG110" s="40"/>
      <c r="BH110" s="5"/>
      <c r="BJ110" s="40"/>
      <c r="BK110" s="5"/>
      <c r="BM110" s="40"/>
      <c r="BN110" s="5"/>
      <c r="BP110" s="40"/>
      <c r="BQ110" s="5"/>
      <c r="BS110" s="40"/>
      <c r="BT110" s="5"/>
      <c r="BV110" s="40"/>
      <c r="BW110" s="5"/>
      <c r="BY110" s="40"/>
      <c r="BZ110" s="5"/>
      <c r="CB110" s="40"/>
      <c r="CC110" s="5"/>
      <c r="CE110" s="40"/>
      <c r="CF110" s="5"/>
      <c r="CH110" s="40"/>
      <c r="CI110" s="5"/>
      <c r="CK110" s="40"/>
      <c r="CL110" s="5"/>
      <c r="CN110" s="40"/>
      <c r="CO110" s="5"/>
      <c r="CQ110" s="40"/>
      <c r="CR110" s="5"/>
    </row>
    <row r="111">
      <c r="AL111" s="40"/>
      <c r="AM111" s="5"/>
      <c r="AO111" s="40"/>
      <c r="AP111" s="5"/>
      <c r="AR111" s="40"/>
      <c r="AS111" s="5"/>
      <c r="AU111" s="40"/>
      <c r="AV111" s="5"/>
      <c r="AX111" s="40"/>
      <c r="AY111" s="5"/>
      <c r="BA111" s="40"/>
      <c r="BB111" s="5"/>
      <c r="BD111" s="40"/>
      <c r="BE111" s="5"/>
      <c r="BG111" s="40"/>
      <c r="BH111" s="5"/>
      <c r="BJ111" s="40"/>
      <c r="BK111" s="5"/>
      <c r="BM111" s="40"/>
      <c r="BN111" s="5"/>
      <c r="BP111" s="40"/>
      <c r="BQ111" s="5"/>
      <c r="BS111" s="40"/>
      <c r="BT111" s="5"/>
      <c r="BV111" s="40"/>
      <c r="BW111" s="5"/>
      <c r="BY111" s="40"/>
      <c r="BZ111" s="5"/>
      <c r="CB111" s="40"/>
      <c r="CC111" s="5"/>
      <c r="CE111" s="40"/>
      <c r="CF111" s="5"/>
      <c r="CH111" s="40"/>
      <c r="CI111" s="5"/>
      <c r="CK111" s="40"/>
      <c r="CL111" s="5"/>
      <c r="CN111" s="40"/>
      <c r="CO111" s="5"/>
      <c r="CQ111" s="40"/>
      <c r="CR111" s="5"/>
    </row>
    <row r="112">
      <c r="AL112" s="40"/>
      <c r="AM112" s="5"/>
      <c r="AO112" s="40"/>
      <c r="AP112" s="5"/>
      <c r="AR112" s="40"/>
      <c r="AS112" s="5"/>
      <c r="AU112" s="40"/>
      <c r="AV112" s="5"/>
      <c r="AX112" s="40"/>
      <c r="AY112" s="5"/>
      <c r="BA112" s="40"/>
      <c r="BB112" s="5"/>
      <c r="BD112" s="40"/>
      <c r="BE112" s="5"/>
      <c r="BG112" s="40"/>
      <c r="BH112" s="5"/>
      <c r="BJ112" s="40"/>
      <c r="BK112" s="5"/>
      <c r="BM112" s="40"/>
      <c r="BN112" s="5"/>
      <c r="BP112" s="40"/>
      <c r="BQ112" s="5"/>
      <c r="BS112" s="40"/>
      <c r="BT112" s="5"/>
      <c r="BV112" s="40"/>
      <c r="BW112" s="5"/>
      <c r="BY112" s="40"/>
      <c r="BZ112" s="5"/>
      <c r="CB112" s="40"/>
      <c r="CC112" s="5"/>
      <c r="CE112" s="40"/>
      <c r="CF112" s="5"/>
      <c r="CH112" s="40"/>
      <c r="CI112" s="5"/>
      <c r="CK112" s="40"/>
      <c r="CL112" s="5"/>
      <c r="CN112" s="40"/>
      <c r="CO112" s="5"/>
      <c r="CQ112" s="40"/>
      <c r="CR112" s="5"/>
    </row>
    <row r="113">
      <c r="AL113" s="40"/>
      <c r="AM113" s="5"/>
      <c r="AO113" s="40"/>
      <c r="AP113" s="5"/>
      <c r="AR113" s="40"/>
      <c r="AS113" s="5"/>
      <c r="AU113" s="40"/>
      <c r="AV113" s="5"/>
      <c r="AX113" s="40"/>
      <c r="AY113" s="5"/>
      <c r="BA113" s="40"/>
      <c r="BB113" s="5"/>
      <c r="BD113" s="40"/>
      <c r="BE113" s="5"/>
      <c r="BG113" s="40"/>
      <c r="BH113" s="5"/>
      <c r="BJ113" s="40"/>
      <c r="BK113" s="5"/>
      <c r="BM113" s="40"/>
      <c r="BN113" s="5"/>
      <c r="BP113" s="40"/>
      <c r="BQ113" s="5"/>
      <c r="BS113" s="40"/>
      <c r="BT113" s="5"/>
      <c r="BV113" s="40"/>
      <c r="BW113" s="5"/>
      <c r="BY113" s="40"/>
      <c r="BZ113" s="5"/>
      <c r="CB113" s="40"/>
      <c r="CC113" s="5"/>
      <c r="CE113" s="40"/>
      <c r="CF113" s="5"/>
      <c r="CH113" s="40"/>
      <c r="CI113" s="5"/>
      <c r="CK113" s="40"/>
      <c r="CL113" s="5"/>
      <c r="CN113" s="40"/>
      <c r="CO113" s="5"/>
      <c r="CQ113" s="40"/>
      <c r="CR113" s="5"/>
    </row>
    <row r="114">
      <c r="AL114" s="40"/>
      <c r="AM114" s="5"/>
      <c r="AO114" s="40"/>
      <c r="AP114" s="5"/>
      <c r="AR114" s="40"/>
      <c r="AS114" s="5"/>
      <c r="AU114" s="40"/>
      <c r="AV114" s="5"/>
      <c r="AX114" s="40"/>
      <c r="AY114" s="5"/>
      <c r="BA114" s="40"/>
      <c r="BB114" s="5"/>
      <c r="BD114" s="40"/>
      <c r="BE114" s="5"/>
      <c r="BG114" s="40"/>
      <c r="BH114" s="5"/>
      <c r="BJ114" s="40"/>
      <c r="BK114" s="5"/>
      <c r="BM114" s="40"/>
      <c r="BN114" s="5"/>
      <c r="BP114" s="40"/>
      <c r="BQ114" s="5"/>
      <c r="BS114" s="40"/>
      <c r="BT114" s="5"/>
      <c r="BV114" s="40"/>
      <c r="BW114" s="5"/>
      <c r="BY114" s="40"/>
      <c r="BZ114" s="5"/>
      <c r="CB114" s="40"/>
      <c r="CC114" s="5"/>
      <c r="CE114" s="40"/>
      <c r="CF114" s="5"/>
      <c r="CH114" s="40"/>
      <c r="CI114" s="5"/>
      <c r="CK114" s="40"/>
      <c r="CL114" s="5"/>
      <c r="CN114" s="40"/>
      <c r="CO114" s="5"/>
      <c r="CQ114" s="40"/>
      <c r="CR114" s="5"/>
    </row>
    <row r="115">
      <c r="AL115" s="40"/>
      <c r="AM115" s="5"/>
      <c r="AO115" s="40"/>
      <c r="AP115" s="5"/>
      <c r="AR115" s="40"/>
      <c r="AS115" s="5"/>
      <c r="AU115" s="40"/>
      <c r="AV115" s="5"/>
      <c r="AX115" s="40"/>
      <c r="AY115" s="5"/>
      <c r="BA115" s="40"/>
      <c r="BB115" s="5"/>
      <c r="BD115" s="40"/>
      <c r="BE115" s="5"/>
      <c r="BG115" s="40"/>
      <c r="BH115" s="5"/>
      <c r="BJ115" s="40"/>
      <c r="BK115" s="5"/>
      <c r="BM115" s="40"/>
      <c r="BN115" s="5"/>
      <c r="BP115" s="40"/>
      <c r="BQ115" s="5"/>
      <c r="BS115" s="40"/>
      <c r="BT115" s="5"/>
      <c r="BV115" s="40"/>
      <c r="BW115" s="5"/>
      <c r="BY115" s="40"/>
      <c r="BZ115" s="5"/>
      <c r="CB115" s="40"/>
      <c r="CC115" s="5"/>
      <c r="CE115" s="40"/>
      <c r="CF115" s="5"/>
      <c r="CH115" s="40"/>
      <c r="CI115" s="5"/>
      <c r="CK115" s="40"/>
      <c r="CL115" s="5"/>
      <c r="CN115" s="40"/>
      <c r="CO115" s="5"/>
      <c r="CQ115" s="40"/>
      <c r="CR115" s="5"/>
    </row>
    <row r="116">
      <c r="AL116" s="40"/>
      <c r="AM116" s="5"/>
      <c r="AO116" s="40"/>
      <c r="AP116" s="5"/>
      <c r="AR116" s="40"/>
      <c r="AS116" s="5"/>
      <c r="AU116" s="40"/>
      <c r="AV116" s="5"/>
      <c r="AX116" s="40"/>
      <c r="AY116" s="5"/>
      <c r="BA116" s="40"/>
      <c r="BB116" s="5"/>
      <c r="BD116" s="40"/>
      <c r="BE116" s="5"/>
      <c r="BG116" s="40"/>
      <c r="BH116" s="5"/>
      <c r="BJ116" s="40"/>
      <c r="BK116" s="5"/>
      <c r="BM116" s="40"/>
      <c r="BN116" s="5"/>
      <c r="BP116" s="40"/>
      <c r="BQ116" s="5"/>
      <c r="BS116" s="40"/>
      <c r="BT116" s="5"/>
      <c r="BV116" s="40"/>
      <c r="BW116" s="5"/>
      <c r="BY116" s="40"/>
      <c r="BZ116" s="5"/>
      <c r="CB116" s="40"/>
      <c r="CC116" s="5"/>
      <c r="CE116" s="40"/>
      <c r="CF116" s="5"/>
      <c r="CH116" s="40"/>
      <c r="CI116" s="5"/>
      <c r="CK116" s="40"/>
      <c r="CL116" s="5"/>
      <c r="CN116" s="40"/>
      <c r="CO116" s="5"/>
      <c r="CQ116" s="40"/>
      <c r="CR116" s="5"/>
    </row>
    <row r="117">
      <c r="AL117" s="40"/>
      <c r="AM117" s="5"/>
      <c r="AO117" s="40"/>
      <c r="AP117" s="5"/>
      <c r="AR117" s="40"/>
      <c r="AS117" s="5"/>
      <c r="AU117" s="40"/>
      <c r="AV117" s="5"/>
      <c r="AX117" s="40"/>
      <c r="AY117" s="5"/>
      <c r="BA117" s="40"/>
      <c r="BB117" s="5"/>
      <c r="BD117" s="40"/>
      <c r="BE117" s="5"/>
      <c r="BG117" s="40"/>
      <c r="BH117" s="5"/>
      <c r="BJ117" s="40"/>
      <c r="BK117" s="5"/>
      <c r="BM117" s="40"/>
      <c r="BN117" s="5"/>
      <c r="BP117" s="40"/>
      <c r="BQ117" s="5"/>
      <c r="BS117" s="40"/>
      <c r="BT117" s="5"/>
      <c r="BV117" s="40"/>
      <c r="BW117" s="5"/>
      <c r="BY117" s="40"/>
      <c r="BZ117" s="5"/>
      <c r="CB117" s="40"/>
      <c r="CC117" s="5"/>
      <c r="CE117" s="40"/>
      <c r="CF117" s="5"/>
      <c r="CH117" s="40"/>
      <c r="CI117" s="5"/>
      <c r="CK117" s="40"/>
      <c r="CL117" s="5"/>
      <c r="CN117" s="40"/>
      <c r="CO117" s="5"/>
      <c r="CQ117" s="40"/>
      <c r="CR117" s="5"/>
    </row>
    <row r="118">
      <c r="AL118" s="40"/>
      <c r="AM118" s="5"/>
      <c r="AO118" s="40"/>
      <c r="AP118" s="5"/>
      <c r="AR118" s="40"/>
      <c r="AS118" s="5"/>
      <c r="AU118" s="40"/>
      <c r="AV118" s="5"/>
      <c r="AX118" s="40"/>
      <c r="AY118" s="5"/>
      <c r="BA118" s="40"/>
      <c r="BB118" s="5"/>
      <c r="BD118" s="40"/>
      <c r="BE118" s="5"/>
      <c r="BG118" s="40"/>
      <c r="BH118" s="5"/>
      <c r="BJ118" s="40"/>
      <c r="BK118" s="5"/>
      <c r="BM118" s="40"/>
      <c r="BN118" s="5"/>
      <c r="BP118" s="40"/>
      <c r="BQ118" s="5"/>
      <c r="BS118" s="40"/>
      <c r="BT118" s="5"/>
      <c r="BV118" s="40"/>
      <c r="BW118" s="5"/>
      <c r="BY118" s="40"/>
      <c r="BZ118" s="5"/>
      <c r="CB118" s="40"/>
      <c r="CC118" s="5"/>
      <c r="CE118" s="40"/>
      <c r="CF118" s="5"/>
      <c r="CH118" s="40"/>
      <c r="CI118" s="5"/>
      <c r="CK118" s="40"/>
      <c r="CL118" s="5"/>
      <c r="CN118" s="40"/>
      <c r="CO118" s="5"/>
      <c r="CQ118" s="40"/>
      <c r="CR118" s="5"/>
    </row>
    <row r="119">
      <c r="AL119" s="40"/>
      <c r="AM119" s="5"/>
      <c r="AO119" s="40"/>
      <c r="AP119" s="5"/>
      <c r="AR119" s="40"/>
      <c r="AS119" s="5"/>
      <c r="AU119" s="40"/>
      <c r="AV119" s="5"/>
      <c r="AX119" s="40"/>
      <c r="AY119" s="5"/>
      <c r="BA119" s="40"/>
      <c r="BB119" s="5"/>
      <c r="BD119" s="40"/>
      <c r="BE119" s="5"/>
      <c r="BG119" s="40"/>
      <c r="BH119" s="5"/>
      <c r="BJ119" s="40"/>
      <c r="BK119" s="5"/>
      <c r="BM119" s="40"/>
      <c r="BN119" s="5"/>
      <c r="BP119" s="40"/>
      <c r="BQ119" s="5"/>
      <c r="BS119" s="40"/>
      <c r="BT119" s="5"/>
      <c r="BV119" s="40"/>
      <c r="BW119" s="5"/>
      <c r="BY119" s="40"/>
      <c r="BZ119" s="5"/>
      <c r="CB119" s="40"/>
      <c r="CC119" s="5"/>
      <c r="CE119" s="40"/>
      <c r="CF119" s="5"/>
      <c r="CH119" s="40"/>
      <c r="CI119" s="5"/>
      <c r="CK119" s="40"/>
      <c r="CL119" s="5"/>
      <c r="CN119" s="40"/>
      <c r="CO119" s="5"/>
      <c r="CQ119" s="40"/>
      <c r="CR119" s="5"/>
    </row>
    <row r="120">
      <c r="AL120" s="40"/>
      <c r="AM120" s="5"/>
      <c r="AO120" s="40"/>
      <c r="AP120" s="5"/>
      <c r="AR120" s="40"/>
      <c r="AS120" s="5"/>
      <c r="AU120" s="40"/>
      <c r="AV120" s="5"/>
      <c r="AX120" s="40"/>
      <c r="AY120" s="5"/>
      <c r="BA120" s="40"/>
      <c r="BB120" s="5"/>
      <c r="BD120" s="40"/>
      <c r="BE120" s="5"/>
      <c r="BG120" s="40"/>
      <c r="BH120" s="5"/>
      <c r="BJ120" s="40"/>
      <c r="BK120" s="5"/>
      <c r="BM120" s="40"/>
      <c r="BN120" s="5"/>
      <c r="BP120" s="40"/>
      <c r="BQ120" s="5"/>
      <c r="BS120" s="40"/>
      <c r="BT120" s="5"/>
      <c r="BV120" s="40"/>
      <c r="BW120" s="5"/>
      <c r="BY120" s="40"/>
      <c r="BZ120" s="5"/>
      <c r="CB120" s="40"/>
      <c r="CC120" s="5"/>
      <c r="CE120" s="40"/>
      <c r="CF120" s="5"/>
      <c r="CH120" s="40"/>
      <c r="CI120" s="5"/>
      <c r="CK120" s="40"/>
      <c r="CL120" s="5"/>
      <c r="CN120" s="40"/>
      <c r="CO120" s="5"/>
      <c r="CQ120" s="40"/>
      <c r="CR120" s="5"/>
    </row>
    <row r="121">
      <c r="AL121" s="40"/>
      <c r="AM121" s="5"/>
      <c r="AO121" s="40"/>
      <c r="AP121" s="5"/>
      <c r="AR121" s="40"/>
      <c r="AS121" s="5"/>
      <c r="AU121" s="40"/>
      <c r="AV121" s="5"/>
      <c r="AX121" s="40"/>
      <c r="AY121" s="5"/>
      <c r="BA121" s="40"/>
      <c r="BB121" s="5"/>
      <c r="BD121" s="40"/>
      <c r="BE121" s="5"/>
      <c r="BG121" s="40"/>
      <c r="BH121" s="5"/>
      <c r="BJ121" s="40"/>
      <c r="BK121" s="5"/>
      <c r="BM121" s="40"/>
      <c r="BN121" s="5"/>
      <c r="BP121" s="40"/>
      <c r="BQ121" s="5"/>
      <c r="BS121" s="40"/>
      <c r="BT121" s="5"/>
      <c r="BV121" s="40"/>
      <c r="BW121" s="5"/>
      <c r="BY121" s="40"/>
      <c r="BZ121" s="5"/>
      <c r="CB121" s="40"/>
      <c r="CC121" s="5"/>
      <c r="CE121" s="40"/>
      <c r="CF121" s="5"/>
      <c r="CH121" s="40"/>
      <c r="CI121" s="5"/>
      <c r="CK121" s="40"/>
      <c r="CL121" s="5"/>
      <c r="CN121" s="40"/>
      <c r="CO121" s="5"/>
      <c r="CQ121" s="40"/>
      <c r="CR121" s="5"/>
    </row>
    <row r="122">
      <c r="AL122" s="40"/>
      <c r="AM122" s="5"/>
      <c r="AO122" s="40"/>
      <c r="AP122" s="5"/>
      <c r="AR122" s="40"/>
      <c r="AS122" s="5"/>
      <c r="AU122" s="40"/>
      <c r="AV122" s="5"/>
      <c r="AX122" s="40"/>
      <c r="AY122" s="5"/>
      <c r="BA122" s="40"/>
      <c r="BB122" s="5"/>
      <c r="BD122" s="40"/>
      <c r="BE122" s="5"/>
      <c r="BG122" s="40"/>
      <c r="BH122" s="5"/>
      <c r="BJ122" s="40"/>
      <c r="BK122" s="5"/>
      <c r="BM122" s="40"/>
      <c r="BN122" s="5"/>
      <c r="BP122" s="40"/>
      <c r="BQ122" s="5"/>
      <c r="BS122" s="40"/>
      <c r="BT122" s="5"/>
      <c r="BV122" s="40"/>
      <c r="BW122" s="5"/>
      <c r="BY122" s="40"/>
      <c r="BZ122" s="5"/>
      <c r="CB122" s="40"/>
      <c r="CC122" s="5"/>
      <c r="CE122" s="40"/>
      <c r="CF122" s="5"/>
      <c r="CH122" s="40"/>
      <c r="CI122" s="5"/>
      <c r="CK122" s="40"/>
      <c r="CL122" s="5"/>
      <c r="CN122" s="40"/>
      <c r="CO122" s="5"/>
      <c r="CQ122" s="40"/>
      <c r="CR122" s="5"/>
    </row>
    <row r="123">
      <c r="AL123" s="40"/>
      <c r="AM123" s="5"/>
      <c r="AO123" s="40"/>
      <c r="AP123" s="5"/>
      <c r="AR123" s="40"/>
      <c r="AS123" s="5"/>
      <c r="AU123" s="40"/>
      <c r="AV123" s="5"/>
      <c r="AX123" s="40"/>
      <c r="AY123" s="5"/>
      <c r="BA123" s="40"/>
      <c r="BB123" s="5"/>
      <c r="BD123" s="40"/>
      <c r="BE123" s="5"/>
      <c r="BG123" s="40"/>
      <c r="BH123" s="5"/>
      <c r="BJ123" s="40"/>
      <c r="BK123" s="5"/>
      <c r="BM123" s="40"/>
      <c r="BN123" s="5"/>
      <c r="BP123" s="40"/>
      <c r="BQ123" s="5"/>
      <c r="BS123" s="40"/>
      <c r="BT123" s="5"/>
      <c r="BV123" s="40"/>
      <c r="BW123" s="5"/>
      <c r="BY123" s="40"/>
      <c r="BZ123" s="5"/>
      <c r="CB123" s="40"/>
      <c r="CC123" s="5"/>
      <c r="CE123" s="40"/>
      <c r="CF123" s="5"/>
      <c r="CH123" s="40"/>
      <c r="CI123" s="5"/>
      <c r="CK123" s="40"/>
      <c r="CL123" s="5"/>
      <c r="CN123" s="40"/>
      <c r="CO123" s="5"/>
      <c r="CQ123" s="40"/>
      <c r="CR123" s="5"/>
    </row>
    <row r="124">
      <c r="AL124" s="40"/>
      <c r="AM124" s="5"/>
      <c r="AO124" s="40"/>
      <c r="AP124" s="5"/>
      <c r="AR124" s="40"/>
      <c r="AS124" s="5"/>
      <c r="AU124" s="40"/>
      <c r="AV124" s="5"/>
      <c r="AX124" s="40"/>
      <c r="AY124" s="5"/>
      <c r="BA124" s="40"/>
      <c r="BB124" s="5"/>
      <c r="BD124" s="40"/>
      <c r="BE124" s="5"/>
      <c r="BG124" s="40"/>
      <c r="BH124" s="5"/>
      <c r="BJ124" s="40"/>
      <c r="BK124" s="5"/>
      <c r="BM124" s="40"/>
      <c r="BN124" s="5"/>
      <c r="BP124" s="40"/>
      <c r="BQ124" s="5"/>
      <c r="BS124" s="40"/>
      <c r="BT124" s="5"/>
      <c r="BV124" s="40"/>
      <c r="BW124" s="5"/>
      <c r="BY124" s="40"/>
      <c r="BZ124" s="5"/>
      <c r="CB124" s="40"/>
      <c r="CC124" s="5"/>
      <c r="CE124" s="40"/>
      <c r="CF124" s="5"/>
      <c r="CH124" s="40"/>
      <c r="CI124" s="5"/>
      <c r="CK124" s="40"/>
      <c r="CL124" s="5"/>
      <c r="CN124" s="40"/>
      <c r="CO124" s="5"/>
      <c r="CQ124" s="40"/>
      <c r="CR124" s="5"/>
    </row>
    <row r="125">
      <c r="AL125" s="40"/>
      <c r="AM125" s="5"/>
      <c r="AO125" s="40"/>
      <c r="AP125" s="5"/>
      <c r="AR125" s="40"/>
      <c r="AS125" s="5"/>
      <c r="AU125" s="40"/>
      <c r="AV125" s="5"/>
      <c r="AX125" s="40"/>
      <c r="AY125" s="5"/>
      <c r="BA125" s="40"/>
      <c r="BB125" s="5"/>
      <c r="BD125" s="40"/>
      <c r="BE125" s="5"/>
      <c r="BG125" s="40"/>
      <c r="BH125" s="5"/>
      <c r="BJ125" s="40"/>
      <c r="BK125" s="5"/>
      <c r="BM125" s="40"/>
      <c r="BN125" s="5"/>
      <c r="BP125" s="40"/>
      <c r="BQ125" s="5"/>
      <c r="BS125" s="40"/>
      <c r="BT125" s="5"/>
      <c r="BV125" s="40"/>
      <c r="BW125" s="5"/>
      <c r="BY125" s="40"/>
      <c r="BZ125" s="5"/>
      <c r="CB125" s="40"/>
      <c r="CC125" s="5"/>
      <c r="CE125" s="40"/>
      <c r="CF125" s="5"/>
      <c r="CH125" s="40"/>
      <c r="CI125" s="5"/>
      <c r="CK125" s="40"/>
      <c r="CL125" s="5"/>
      <c r="CN125" s="40"/>
      <c r="CO125" s="5"/>
      <c r="CQ125" s="40"/>
      <c r="CR125" s="5"/>
    </row>
    <row r="126">
      <c r="AL126" s="40"/>
      <c r="AM126" s="5"/>
      <c r="AO126" s="40"/>
      <c r="AP126" s="5"/>
      <c r="AR126" s="40"/>
      <c r="AS126" s="5"/>
      <c r="AU126" s="40"/>
      <c r="AV126" s="5"/>
      <c r="AX126" s="40"/>
      <c r="AY126" s="5"/>
      <c r="BA126" s="40"/>
      <c r="BB126" s="5"/>
      <c r="BD126" s="40"/>
      <c r="BE126" s="5"/>
      <c r="BG126" s="40"/>
      <c r="BH126" s="5"/>
      <c r="BJ126" s="40"/>
      <c r="BK126" s="5"/>
      <c r="BM126" s="40"/>
      <c r="BN126" s="5"/>
      <c r="BP126" s="40"/>
      <c r="BQ126" s="5"/>
      <c r="BS126" s="40"/>
      <c r="BT126" s="5"/>
      <c r="BV126" s="40"/>
      <c r="BW126" s="5"/>
      <c r="BY126" s="40"/>
      <c r="BZ126" s="5"/>
      <c r="CB126" s="40"/>
      <c r="CC126" s="5"/>
      <c r="CE126" s="40"/>
      <c r="CF126" s="5"/>
      <c r="CH126" s="40"/>
      <c r="CI126" s="5"/>
      <c r="CK126" s="40"/>
      <c r="CL126" s="5"/>
      <c r="CN126" s="40"/>
      <c r="CO126" s="5"/>
      <c r="CQ126" s="40"/>
      <c r="CR126" s="5"/>
    </row>
    <row r="127">
      <c r="AL127" s="40"/>
      <c r="AM127" s="5"/>
      <c r="AO127" s="40"/>
      <c r="AP127" s="5"/>
      <c r="AR127" s="40"/>
      <c r="AS127" s="5"/>
      <c r="AU127" s="40"/>
      <c r="AV127" s="5"/>
      <c r="AX127" s="40"/>
      <c r="AY127" s="5"/>
      <c r="BA127" s="40"/>
      <c r="BB127" s="5"/>
      <c r="BD127" s="40"/>
      <c r="BE127" s="5"/>
      <c r="BG127" s="40"/>
      <c r="BH127" s="5"/>
      <c r="BJ127" s="40"/>
      <c r="BK127" s="5"/>
      <c r="BM127" s="40"/>
      <c r="BN127" s="5"/>
      <c r="BP127" s="40"/>
      <c r="BQ127" s="5"/>
      <c r="BS127" s="40"/>
      <c r="BT127" s="5"/>
      <c r="BV127" s="40"/>
      <c r="BW127" s="5"/>
      <c r="BY127" s="40"/>
      <c r="BZ127" s="5"/>
      <c r="CB127" s="40"/>
      <c r="CC127" s="5"/>
      <c r="CE127" s="40"/>
      <c r="CF127" s="5"/>
      <c r="CH127" s="40"/>
      <c r="CI127" s="5"/>
      <c r="CK127" s="40"/>
      <c r="CL127" s="5"/>
      <c r="CN127" s="40"/>
      <c r="CO127" s="5"/>
      <c r="CQ127" s="40"/>
      <c r="CR127" s="5"/>
    </row>
    <row r="128">
      <c r="AL128" s="40"/>
      <c r="AM128" s="5"/>
      <c r="AO128" s="40"/>
      <c r="AP128" s="5"/>
      <c r="AR128" s="40"/>
      <c r="AS128" s="5"/>
      <c r="AU128" s="40"/>
      <c r="AV128" s="5"/>
      <c r="AX128" s="40"/>
      <c r="AY128" s="5"/>
      <c r="BA128" s="40"/>
      <c r="BB128" s="5"/>
      <c r="BD128" s="40"/>
      <c r="BE128" s="5"/>
      <c r="BG128" s="40"/>
      <c r="BH128" s="5"/>
      <c r="BJ128" s="40"/>
      <c r="BK128" s="5"/>
      <c r="BM128" s="40"/>
      <c r="BN128" s="5"/>
      <c r="BP128" s="40"/>
      <c r="BQ128" s="5"/>
      <c r="BS128" s="40"/>
      <c r="BT128" s="5"/>
      <c r="BV128" s="40"/>
      <c r="BW128" s="5"/>
      <c r="BY128" s="40"/>
      <c r="BZ128" s="5"/>
      <c r="CB128" s="40"/>
      <c r="CC128" s="5"/>
      <c r="CE128" s="40"/>
      <c r="CF128" s="5"/>
      <c r="CH128" s="40"/>
      <c r="CI128" s="5"/>
      <c r="CK128" s="40"/>
      <c r="CL128" s="5"/>
      <c r="CN128" s="40"/>
      <c r="CO128" s="5"/>
      <c r="CQ128" s="40"/>
      <c r="CR128" s="5"/>
    </row>
    <row r="129">
      <c r="AL129" s="40"/>
      <c r="AM129" s="5"/>
      <c r="AO129" s="40"/>
      <c r="AP129" s="5"/>
      <c r="AR129" s="40"/>
      <c r="AS129" s="5"/>
      <c r="AU129" s="40"/>
      <c r="AV129" s="5"/>
      <c r="AX129" s="40"/>
      <c r="AY129" s="5"/>
      <c r="BA129" s="40"/>
      <c r="BB129" s="5"/>
      <c r="BD129" s="40"/>
      <c r="BE129" s="5"/>
      <c r="BG129" s="40"/>
      <c r="BH129" s="5"/>
      <c r="BJ129" s="40"/>
      <c r="BK129" s="5"/>
      <c r="BM129" s="40"/>
      <c r="BN129" s="5"/>
      <c r="BP129" s="40"/>
      <c r="BQ129" s="5"/>
      <c r="BS129" s="40"/>
      <c r="BT129" s="5"/>
      <c r="BV129" s="40"/>
      <c r="BW129" s="5"/>
      <c r="BY129" s="40"/>
      <c r="BZ129" s="5"/>
      <c r="CB129" s="40"/>
      <c r="CC129" s="5"/>
      <c r="CE129" s="40"/>
      <c r="CF129" s="5"/>
      <c r="CH129" s="40"/>
      <c r="CI129" s="5"/>
      <c r="CK129" s="40"/>
      <c r="CL129" s="5"/>
      <c r="CN129" s="40"/>
      <c r="CO129" s="5"/>
      <c r="CQ129" s="40"/>
      <c r="CR129" s="5"/>
    </row>
    <row r="130">
      <c r="AL130" s="40"/>
      <c r="AM130" s="5"/>
      <c r="AO130" s="40"/>
      <c r="AP130" s="5"/>
      <c r="AR130" s="40"/>
      <c r="AS130" s="5"/>
      <c r="AU130" s="40"/>
      <c r="AV130" s="5"/>
      <c r="AX130" s="40"/>
      <c r="AY130" s="5"/>
      <c r="BA130" s="40"/>
      <c r="BB130" s="5"/>
      <c r="BD130" s="40"/>
      <c r="BE130" s="5"/>
      <c r="BG130" s="40"/>
      <c r="BH130" s="5"/>
      <c r="BJ130" s="40"/>
      <c r="BK130" s="5"/>
      <c r="BM130" s="40"/>
      <c r="BN130" s="5"/>
      <c r="BP130" s="40"/>
      <c r="BQ130" s="5"/>
      <c r="BS130" s="40"/>
      <c r="BT130" s="5"/>
      <c r="BV130" s="40"/>
      <c r="BW130" s="5"/>
      <c r="BY130" s="40"/>
      <c r="BZ130" s="5"/>
      <c r="CB130" s="40"/>
      <c r="CC130" s="5"/>
      <c r="CE130" s="40"/>
      <c r="CF130" s="5"/>
      <c r="CH130" s="40"/>
      <c r="CI130" s="5"/>
      <c r="CK130" s="40"/>
      <c r="CL130" s="5"/>
      <c r="CN130" s="40"/>
      <c r="CO130" s="5"/>
      <c r="CQ130" s="40"/>
      <c r="CR130" s="5"/>
    </row>
    <row r="131">
      <c r="AL131" s="40"/>
      <c r="AM131" s="5"/>
      <c r="AO131" s="40"/>
      <c r="AP131" s="5"/>
      <c r="AR131" s="40"/>
      <c r="AS131" s="5"/>
      <c r="AU131" s="40"/>
      <c r="AV131" s="5"/>
      <c r="AX131" s="40"/>
      <c r="AY131" s="5"/>
      <c r="BA131" s="40"/>
      <c r="BB131" s="5"/>
      <c r="BD131" s="40"/>
      <c r="BE131" s="5"/>
      <c r="BG131" s="40"/>
      <c r="BH131" s="5"/>
      <c r="BJ131" s="40"/>
      <c r="BK131" s="5"/>
      <c r="BM131" s="40"/>
      <c r="BN131" s="5"/>
      <c r="BP131" s="40"/>
      <c r="BQ131" s="5"/>
      <c r="BS131" s="40"/>
      <c r="BT131" s="5"/>
      <c r="BV131" s="40"/>
      <c r="BW131" s="5"/>
      <c r="BY131" s="40"/>
      <c r="BZ131" s="5"/>
      <c r="CB131" s="40"/>
      <c r="CC131" s="5"/>
      <c r="CE131" s="40"/>
      <c r="CF131" s="5"/>
      <c r="CH131" s="40"/>
      <c r="CI131" s="5"/>
      <c r="CK131" s="40"/>
      <c r="CL131" s="5"/>
      <c r="CN131" s="40"/>
      <c r="CO131" s="5"/>
      <c r="CQ131" s="40"/>
      <c r="CR131" s="5"/>
    </row>
    <row r="132">
      <c r="AL132" s="40"/>
      <c r="AM132" s="5"/>
      <c r="AO132" s="40"/>
      <c r="AP132" s="5"/>
      <c r="AR132" s="40"/>
      <c r="AS132" s="5"/>
      <c r="AU132" s="40"/>
      <c r="AV132" s="5"/>
      <c r="AX132" s="40"/>
      <c r="AY132" s="5"/>
      <c r="BA132" s="40"/>
      <c r="BB132" s="5"/>
      <c r="BD132" s="40"/>
      <c r="BE132" s="5"/>
      <c r="BG132" s="40"/>
      <c r="BH132" s="5"/>
      <c r="BJ132" s="40"/>
      <c r="BK132" s="5"/>
      <c r="BM132" s="40"/>
      <c r="BN132" s="5"/>
      <c r="BP132" s="40"/>
      <c r="BQ132" s="5"/>
      <c r="BS132" s="40"/>
      <c r="BT132" s="5"/>
      <c r="BV132" s="40"/>
      <c r="BW132" s="5"/>
      <c r="BY132" s="40"/>
      <c r="BZ132" s="5"/>
      <c r="CB132" s="40"/>
      <c r="CC132" s="5"/>
      <c r="CE132" s="40"/>
      <c r="CF132" s="5"/>
      <c r="CH132" s="40"/>
      <c r="CI132" s="5"/>
      <c r="CK132" s="40"/>
      <c r="CL132" s="5"/>
      <c r="CN132" s="40"/>
      <c r="CO132" s="5"/>
      <c r="CQ132" s="40"/>
      <c r="CR132" s="5"/>
    </row>
    <row r="133">
      <c r="AL133" s="40"/>
      <c r="AM133" s="5"/>
      <c r="AO133" s="40"/>
      <c r="AP133" s="5"/>
      <c r="AR133" s="40"/>
      <c r="AS133" s="5"/>
      <c r="AU133" s="40"/>
      <c r="AV133" s="5"/>
      <c r="AX133" s="40"/>
      <c r="AY133" s="5"/>
      <c r="BA133" s="40"/>
      <c r="BB133" s="5"/>
      <c r="BD133" s="40"/>
      <c r="BE133" s="5"/>
      <c r="BG133" s="40"/>
      <c r="BH133" s="5"/>
      <c r="BJ133" s="40"/>
      <c r="BK133" s="5"/>
      <c r="BM133" s="40"/>
      <c r="BN133" s="5"/>
      <c r="BP133" s="40"/>
      <c r="BQ133" s="5"/>
      <c r="BS133" s="40"/>
      <c r="BT133" s="5"/>
      <c r="BV133" s="40"/>
      <c r="BW133" s="5"/>
      <c r="BY133" s="40"/>
      <c r="BZ133" s="5"/>
      <c r="CB133" s="40"/>
      <c r="CC133" s="5"/>
      <c r="CE133" s="40"/>
      <c r="CF133" s="5"/>
      <c r="CH133" s="40"/>
      <c r="CI133" s="5"/>
      <c r="CK133" s="40"/>
      <c r="CL133" s="5"/>
      <c r="CN133" s="40"/>
      <c r="CO133" s="5"/>
      <c r="CQ133" s="40"/>
      <c r="CR133" s="5"/>
    </row>
    <row r="134">
      <c r="AL134" s="40"/>
      <c r="AM134" s="5"/>
      <c r="AO134" s="40"/>
      <c r="AP134" s="5"/>
      <c r="AR134" s="40"/>
      <c r="AS134" s="5"/>
      <c r="AU134" s="40"/>
      <c r="AV134" s="5"/>
      <c r="AX134" s="40"/>
      <c r="AY134" s="5"/>
      <c r="BA134" s="40"/>
      <c r="BB134" s="5"/>
      <c r="BD134" s="40"/>
      <c r="BE134" s="5"/>
      <c r="BG134" s="40"/>
      <c r="BH134" s="5"/>
      <c r="BJ134" s="40"/>
      <c r="BK134" s="5"/>
      <c r="BM134" s="40"/>
      <c r="BN134" s="5"/>
      <c r="BP134" s="40"/>
      <c r="BQ134" s="5"/>
      <c r="BS134" s="40"/>
      <c r="BT134" s="5"/>
      <c r="BV134" s="40"/>
      <c r="BW134" s="5"/>
      <c r="BY134" s="40"/>
      <c r="BZ134" s="5"/>
      <c r="CB134" s="40"/>
      <c r="CC134" s="5"/>
      <c r="CE134" s="40"/>
      <c r="CF134" s="5"/>
      <c r="CH134" s="40"/>
      <c r="CI134" s="5"/>
      <c r="CK134" s="40"/>
      <c r="CL134" s="5"/>
      <c r="CN134" s="40"/>
      <c r="CO134" s="5"/>
      <c r="CQ134" s="40"/>
      <c r="CR134" s="5"/>
    </row>
    <row r="135">
      <c r="AL135" s="40"/>
      <c r="AM135" s="5"/>
      <c r="AO135" s="40"/>
      <c r="AP135" s="5"/>
      <c r="AR135" s="40"/>
      <c r="AS135" s="5"/>
      <c r="AU135" s="40"/>
      <c r="AV135" s="5"/>
      <c r="AX135" s="40"/>
      <c r="AY135" s="5"/>
      <c r="BA135" s="40"/>
      <c r="BB135" s="5"/>
      <c r="BD135" s="40"/>
      <c r="BE135" s="5"/>
      <c r="BG135" s="40"/>
      <c r="BH135" s="5"/>
      <c r="BJ135" s="40"/>
      <c r="BK135" s="5"/>
      <c r="BM135" s="40"/>
      <c r="BN135" s="5"/>
      <c r="BP135" s="40"/>
      <c r="BQ135" s="5"/>
      <c r="BS135" s="40"/>
      <c r="BT135" s="5"/>
      <c r="BV135" s="40"/>
      <c r="BW135" s="5"/>
      <c r="BY135" s="40"/>
      <c r="BZ135" s="5"/>
      <c r="CB135" s="40"/>
      <c r="CC135" s="5"/>
      <c r="CE135" s="40"/>
      <c r="CF135" s="5"/>
      <c r="CH135" s="40"/>
      <c r="CI135" s="5"/>
      <c r="CK135" s="40"/>
      <c r="CL135" s="5"/>
      <c r="CN135" s="40"/>
      <c r="CO135" s="5"/>
      <c r="CQ135" s="40"/>
      <c r="CR135" s="5"/>
    </row>
    <row r="136">
      <c r="AL136" s="40"/>
      <c r="AM136" s="5"/>
      <c r="AO136" s="40"/>
      <c r="AP136" s="5"/>
      <c r="AR136" s="40"/>
      <c r="AS136" s="5"/>
      <c r="AU136" s="40"/>
      <c r="AV136" s="5"/>
      <c r="AX136" s="40"/>
      <c r="AY136" s="5"/>
      <c r="BA136" s="40"/>
      <c r="BB136" s="5"/>
      <c r="BD136" s="40"/>
      <c r="BE136" s="5"/>
      <c r="BG136" s="40"/>
      <c r="BH136" s="5"/>
      <c r="BJ136" s="40"/>
      <c r="BK136" s="5"/>
      <c r="BM136" s="40"/>
      <c r="BN136" s="5"/>
      <c r="BP136" s="40"/>
      <c r="BQ136" s="5"/>
      <c r="BS136" s="40"/>
      <c r="BT136" s="5"/>
      <c r="BV136" s="40"/>
      <c r="BW136" s="5"/>
      <c r="BY136" s="40"/>
      <c r="BZ136" s="5"/>
      <c r="CB136" s="40"/>
      <c r="CC136" s="5"/>
      <c r="CE136" s="40"/>
      <c r="CF136" s="5"/>
      <c r="CH136" s="40"/>
      <c r="CI136" s="5"/>
      <c r="CK136" s="40"/>
      <c r="CL136" s="5"/>
      <c r="CN136" s="40"/>
      <c r="CO136" s="5"/>
      <c r="CQ136" s="40"/>
      <c r="CR136" s="5"/>
    </row>
    <row r="137">
      <c r="AL137" s="40"/>
      <c r="AM137" s="5"/>
      <c r="AO137" s="40"/>
      <c r="AP137" s="5"/>
      <c r="AR137" s="40"/>
      <c r="AS137" s="5"/>
      <c r="AU137" s="40"/>
      <c r="AV137" s="5"/>
      <c r="AX137" s="40"/>
      <c r="AY137" s="5"/>
      <c r="BA137" s="40"/>
      <c r="BB137" s="5"/>
      <c r="BD137" s="40"/>
      <c r="BE137" s="5"/>
      <c r="BG137" s="40"/>
      <c r="BH137" s="5"/>
      <c r="BJ137" s="40"/>
      <c r="BK137" s="5"/>
      <c r="BM137" s="40"/>
      <c r="BN137" s="5"/>
      <c r="BP137" s="40"/>
      <c r="BQ137" s="5"/>
      <c r="BS137" s="40"/>
      <c r="BT137" s="5"/>
      <c r="BV137" s="40"/>
      <c r="BW137" s="5"/>
      <c r="BY137" s="40"/>
      <c r="BZ137" s="5"/>
      <c r="CB137" s="40"/>
      <c r="CC137" s="5"/>
      <c r="CE137" s="40"/>
      <c r="CF137" s="5"/>
      <c r="CH137" s="40"/>
      <c r="CI137" s="5"/>
      <c r="CK137" s="40"/>
      <c r="CL137" s="5"/>
      <c r="CN137" s="40"/>
      <c r="CO137" s="5"/>
      <c r="CQ137" s="40"/>
      <c r="CR137" s="5"/>
    </row>
    <row r="138">
      <c r="AL138" s="40"/>
      <c r="AM138" s="5"/>
      <c r="AO138" s="40"/>
      <c r="AP138" s="5"/>
      <c r="AR138" s="40"/>
      <c r="AS138" s="5"/>
      <c r="AU138" s="40"/>
      <c r="AV138" s="5"/>
      <c r="AX138" s="40"/>
      <c r="AY138" s="5"/>
      <c r="BA138" s="40"/>
      <c r="BB138" s="5"/>
      <c r="BD138" s="40"/>
      <c r="BE138" s="5"/>
      <c r="BG138" s="40"/>
      <c r="BH138" s="5"/>
      <c r="BJ138" s="40"/>
      <c r="BK138" s="5"/>
      <c r="BM138" s="40"/>
      <c r="BN138" s="5"/>
      <c r="BP138" s="40"/>
      <c r="BQ138" s="5"/>
      <c r="BS138" s="40"/>
      <c r="BT138" s="5"/>
      <c r="BV138" s="40"/>
      <c r="BW138" s="5"/>
      <c r="BY138" s="40"/>
      <c r="BZ138" s="5"/>
      <c r="CB138" s="40"/>
      <c r="CC138" s="5"/>
      <c r="CE138" s="40"/>
      <c r="CF138" s="5"/>
      <c r="CH138" s="40"/>
      <c r="CI138" s="5"/>
      <c r="CK138" s="40"/>
      <c r="CL138" s="5"/>
      <c r="CN138" s="40"/>
      <c r="CO138" s="5"/>
      <c r="CQ138" s="40"/>
      <c r="CR138" s="5"/>
    </row>
    <row r="139">
      <c r="AL139" s="40"/>
      <c r="AM139" s="5"/>
      <c r="AO139" s="40"/>
      <c r="AP139" s="5"/>
      <c r="AR139" s="40"/>
      <c r="AS139" s="5"/>
      <c r="AU139" s="40"/>
      <c r="AV139" s="5"/>
      <c r="AX139" s="40"/>
      <c r="AY139" s="5"/>
      <c r="BA139" s="40"/>
      <c r="BB139" s="5"/>
      <c r="BD139" s="40"/>
      <c r="BE139" s="5"/>
      <c r="BG139" s="40"/>
      <c r="BH139" s="5"/>
      <c r="BJ139" s="40"/>
      <c r="BK139" s="5"/>
      <c r="BM139" s="40"/>
      <c r="BN139" s="5"/>
      <c r="BP139" s="40"/>
      <c r="BQ139" s="5"/>
      <c r="BS139" s="40"/>
      <c r="BT139" s="5"/>
      <c r="BV139" s="40"/>
      <c r="BW139" s="5"/>
      <c r="BY139" s="40"/>
      <c r="BZ139" s="5"/>
      <c r="CB139" s="40"/>
      <c r="CC139" s="5"/>
      <c r="CE139" s="40"/>
      <c r="CF139" s="5"/>
      <c r="CH139" s="40"/>
      <c r="CI139" s="5"/>
      <c r="CK139" s="40"/>
      <c r="CL139" s="5"/>
      <c r="CN139" s="40"/>
      <c r="CO139" s="5"/>
      <c r="CQ139" s="40"/>
      <c r="CR139" s="5"/>
    </row>
    <row r="140">
      <c r="AL140" s="40"/>
      <c r="AM140" s="5"/>
      <c r="AO140" s="40"/>
      <c r="AP140" s="5"/>
      <c r="AR140" s="40"/>
      <c r="AS140" s="5"/>
      <c r="AU140" s="40"/>
      <c r="AV140" s="5"/>
      <c r="AX140" s="40"/>
      <c r="AY140" s="5"/>
      <c r="BA140" s="40"/>
      <c r="BB140" s="5"/>
      <c r="BD140" s="40"/>
      <c r="BE140" s="5"/>
      <c r="BG140" s="40"/>
      <c r="BH140" s="5"/>
      <c r="BJ140" s="40"/>
      <c r="BK140" s="5"/>
      <c r="BM140" s="40"/>
      <c r="BN140" s="5"/>
      <c r="BP140" s="40"/>
      <c r="BQ140" s="5"/>
      <c r="BS140" s="40"/>
      <c r="BT140" s="5"/>
      <c r="BV140" s="40"/>
      <c r="BW140" s="5"/>
      <c r="BY140" s="40"/>
      <c r="BZ140" s="5"/>
      <c r="CB140" s="40"/>
      <c r="CC140" s="5"/>
      <c r="CE140" s="40"/>
      <c r="CF140" s="5"/>
      <c r="CH140" s="40"/>
      <c r="CI140" s="5"/>
      <c r="CK140" s="40"/>
      <c r="CL140" s="5"/>
      <c r="CN140" s="40"/>
      <c r="CO140" s="5"/>
      <c r="CQ140" s="40"/>
      <c r="CR140" s="5"/>
    </row>
    <row r="141">
      <c r="AL141" s="40"/>
      <c r="AM141" s="5"/>
      <c r="AO141" s="40"/>
      <c r="AP141" s="5"/>
      <c r="AR141" s="40"/>
      <c r="AS141" s="5"/>
      <c r="AU141" s="40"/>
      <c r="AV141" s="5"/>
      <c r="AX141" s="40"/>
      <c r="AY141" s="5"/>
      <c r="BA141" s="40"/>
      <c r="BB141" s="5"/>
      <c r="BD141" s="40"/>
      <c r="BE141" s="5"/>
      <c r="BG141" s="40"/>
      <c r="BH141" s="5"/>
      <c r="BJ141" s="40"/>
      <c r="BK141" s="5"/>
      <c r="BM141" s="40"/>
      <c r="BN141" s="5"/>
      <c r="BP141" s="40"/>
      <c r="BQ141" s="5"/>
      <c r="BS141" s="40"/>
      <c r="BT141" s="5"/>
      <c r="BV141" s="40"/>
      <c r="BW141" s="5"/>
      <c r="BY141" s="40"/>
      <c r="BZ141" s="5"/>
      <c r="CB141" s="40"/>
      <c r="CC141" s="5"/>
      <c r="CE141" s="40"/>
      <c r="CF141" s="5"/>
      <c r="CH141" s="40"/>
      <c r="CI141" s="5"/>
      <c r="CK141" s="40"/>
      <c r="CL141" s="5"/>
      <c r="CN141" s="40"/>
      <c r="CO141" s="5"/>
      <c r="CQ141" s="40"/>
      <c r="CR141" s="5"/>
    </row>
    <row r="142">
      <c r="AL142" s="40"/>
      <c r="AM142" s="5"/>
      <c r="AO142" s="40"/>
      <c r="AP142" s="5"/>
      <c r="AR142" s="40"/>
      <c r="AS142" s="5"/>
      <c r="AU142" s="40"/>
      <c r="AV142" s="5"/>
      <c r="AX142" s="40"/>
      <c r="AY142" s="5"/>
      <c r="BA142" s="40"/>
      <c r="BB142" s="5"/>
      <c r="BD142" s="40"/>
      <c r="BE142" s="5"/>
      <c r="BG142" s="40"/>
      <c r="BH142" s="5"/>
      <c r="BJ142" s="40"/>
      <c r="BK142" s="5"/>
      <c r="BM142" s="40"/>
      <c r="BN142" s="5"/>
      <c r="BP142" s="40"/>
      <c r="BQ142" s="5"/>
      <c r="BS142" s="40"/>
      <c r="BT142" s="5"/>
      <c r="BV142" s="40"/>
      <c r="BW142" s="5"/>
      <c r="BY142" s="40"/>
      <c r="BZ142" s="5"/>
      <c r="CB142" s="40"/>
      <c r="CC142" s="5"/>
      <c r="CE142" s="40"/>
      <c r="CF142" s="5"/>
      <c r="CH142" s="40"/>
      <c r="CI142" s="5"/>
      <c r="CK142" s="40"/>
      <c r="CL142" s="5"/>
      <c r="CN142" s="40"/>
      <c r="CO142" s="5"/>
      <c r="CQ142" s="40"/>
      <c r="CR142" s="5"/>
    </row>
    <row r="143">
      <c r="AL143" s="40"/>
      <c r="AM143" s="5"/>
      <c r="AO143" s="40"/>
      <c r="AP143" s="5"/>
      <c r="AR143" s="40"/>
      <c r="AS143" s="5"/>
      <c r="AU143" s="40"/>
      <c r="AV143" s="5"/>
      <c r="AX143" s="40"/>
      <c r="AY143" s="5"/>
      <c r="BA143" s="40"/>
      <c r="BB143" s="5"/>
      <c r="BD143" s="40"/>
      <c r="BE143" s="5"/>
      <c r="BG143" s="40"/>
      <c r="BH143" s="5"/>
      <c r="BJ143" s="40"/>
      <c r="BK143" s="5"/>
      <c r="BM143" s="40"/>
      <c r="BN143" s="5"/>
      <c r="BP143" s="40"/>
      <c r="BQ143" s="5"/>
      <c r="BS143" s="40"/>
      <c r="BT143" s="5"/>
      <c r="BV143" s="40"/>
      <c r="BW143" s="5"/>
      <c r="BY143" s="40"/>
      <c r="BZ143" s="5"/>
      <c r="CB143" s="40"/>
      <c r="CC143" s="5"/>
      <c r="CE143" s="40"/>
      <c r="CF143" s="5"/>
      <c r="CH143" s="40"/>
      <c r="CI143" s="5"/>
      <c r="CK143" s="40"/>
      <c r="CL143" s="5"/>
      <c r="CN143" s="40"/>
      <c r="CO143" s="5"/>
      <c r="CQ143" s="40"/>
      <c r="CR143" s="5"/>
    </row>
    <row r="144">
      <c r="AL144" s="40"/>
      <c r="AM144" s="5"/>
      <c r="AO144" s="40"/>
      <c r="AP144" s="5"/>
      <c r="AR144" s="40"/>
      <c r="AS144" s="5"/>
      <c r="AU144" s="40"/>
      <c r="AV144" s="5"/>
      <c r="AX144" s="40"/>
      <c r="AY144" s="5"/>
      <c r="BA144" s="40"/>
      <c r="BB144" s="5"/>
      <c r="BD144" s="40"/>
      <c r="BE144" s="5"/>
      <c r="BG144" s="40"/>
      <c r="BH144" s="5"/>
      <c r="BJ144" s="40"/>
      <c r="BK144" s="5"/>
      <c r="BM144" s="40"/>
      <c r="BN144" s="5"/>
      <c r="BP144" s="40"/>
      <c r="BQ144" s="5"/>
      <c r="BS144" s="40"/>
      <c r="BT144" s="5"/>
      <c r="BV144" s="40"/>
      <c r="BW144" s="5"/>
      <c r="BY144" s="40"/>
      <c r="BZ144" s="5"/>
      <c r="CB144" s="40"/>
      <c r="CC144" s="5"/>
      <c r="CE144" s="40"/>
      <c r="CF144" s="5"/>
      <c r="CH144" s="40"/>
      <c r="CI144" s="5"/>
      <c r="CK144" s="40"/>
      <c r="CL144" s="5"/>
      <c r="CN144" s="40"/>
      <c r="CO144" s="5"/>
      <c r="CQ144" s="40"/>
      <c r="CR144" s="5"/>
    </row>
    <row r="145">
      <c r="AL145" s="40"/>
      <c r="AM145" s="5"/>
      <c r="AO145" s="40"/>
      <c r="AP145" s="5"/>
      <c r="AR145" s="40"/>
      <c r="AS145" s="5"/>
      <c r="AU145" s="40"/>
      <c r="AV145" s="5"/>
      <c r="AX145" s="40"/>
      <c r="AY145" s="5"/>
      <c r="BA145" s="40"/>
      <c r="BB145" s="5"/>
      <c r="BD145" s="40"/>
      <c r="BE145" s="5"/>
      <c r="BG145" s="40"/>
      <c r="BH145" s="5"/>
      <c r="BJ145" s="40"/>
      <c r="BK145" s="5"/>
      <c r="BM145" s="40"/>
      <c r="BN145" s="5"/>
      <c r="BP145" s="40"/>
      <c r="BQ145" s="5"/>
      <c r="BS145" s="40"/>
      <c r="BT145" s="5"/>
      <c r="BV145" s="40"/>
      <c r="BW145" s="5"/>
      <c r="BY145" s="40"/>
      <c r="BZ145" s="5"/>
      <c r="CB145" s="40"/>
      <c r="CC145" s="5"/>
      <c r="CE145" s="40"/>
      <c r="CF145" s="5"/>
      <c r="CH145" s="40"/>
      <c r="CI145" s="5"/>
      <c r="CK145" s="40"/>
      <c r="CL145" s="5"/>
      <c r="CN145" s="40"/>
      <c r="CO145" s="5"/>
      <c r="CQ145" s="40"/>
      <c r="CR145" s="5"/>
    </row>
    <row r="146">
      <c r="AL146" s="40"/>
      <c r="AM146" s="5"/>
      <c r="AO146" s="40"/>
      <c r="AP146" s="5"/>
      <c r="AR146" s="40"/>
      <c r="AS146" s="5"/>
      <c r="AU146" s="40"/>
      <c r="AV146" s="5"/>
      <c r="AX146" s="40"/>
      <c r="AY146" s="5"/>
      <c r="BA146" s="40"/>
      <c r="BB146" s="5"/>
      <c r="BD146" s="40"/>
      <c r="BE146" s="5"/>
      <c r="BG146" s="40"/>
      <c r="BH146" s="5"/>
      <c r="BJ146" s="40"/>
      <c r="BK146" s="5"/>
      <c r="BM146" s="40"/>
      <c r="BN146" s="5"/>
      <c r="BP146" s="40"/>
      <c r="BQ146" s="5"/>
      <c r="BS146" s="40"/>
      <c r="BT146" s="5"/>
      <c r="BV146" s="40"/>
      <c r="BW146" s="5"/>
      <c r="BY146" s="40"/>
      <c r="BZ146" s="5"/>
      <c r="CB146" s="40"/>
      <c r="CC146" s="5"/>
      <c r="CE146" s="40"/>
      <c r="CF146" s="5"/>
      <c r="CH146" s="40"/>
      <c r="CI146" s="5"/>
      <c r="CK146" s="40"/>
      <c r="CL146" s="5"/>
      <c r="CN146" s="40"/>
      <c r="CO146" s="5"/>
      <c r="CQ146" s="40"/>
      <c r="CR146" s="5"/>
    </row>
    <row r="147">
      <c r="AL147" s="40"/>
      <c r="AM147" s="5"/>
      <c r="AO147" s="40"/>
      <c r="AP147" s="5"/>
      <c r="AR147" s="40"/>
      <c r="AS147" s="5"/>
      <c r="AU147" s="40"/>
      <c r="AV147" s="5"/>
      <c r="AX147" s="40"/>
      <c r="AY147" s="5"/>
      <c r="BA147" s="40"/>
      <c r="BB147" s="5"/>
      <c r="BD147" s="40"/>
      <c r="BE147" s="5"/>
      <c r="BG147" s="40"/>
      <c r="BH147" s="5"/>
      <c r="BJ147" s="40"/>
      <c r="BK147" s="5"/>
      <c r="BM147" s="40"/>
      <c r="BN147" s="5"/>
      <c r="BP147" s="40"/>
      <c r="BQ147" s="5"/>
      <c r="BS147" s="40"/>
      <c r="BT147" s="5"/>
      <c r="BV147" s="40"/>
      <c r="BW147" s="5"/>
      <c r="BY147" s="40"/>
      <c r="BZ147" s="5"/>
      <c r="CB147" s="40"/>
      <c r="CC147" s="5"/>
      <c r="CE147" s="40"/>
      <c r="CF147" s="5"/>
      <c r="CH147" s="40"/>
      <c r="CI147" s="5"/>
      <c r="CK147" s="40"/>
      <c r="CL147" s="5"/>
      <c r="CN147" s="40"/>
      <c r="CO147" s="5"/>
      <c r="CQ147" s="40"/>
      <c r="CR147" s="5"/>
    </row>
    <row r="148">
      <c r="AL148" s="40"/>
      <c r="AM148" s="5"/>
      <c r="AO148" s="40"/>
      <c r="AP148" s="5"/>
      <c r="AR148" s="40"/>
      <c r="AS148" s="5"/>
      <c r="AU148" s="40"/>
      <c r="AV148" s="5"/>
      <c r="AX148" s="40"/>
      <c r="AY148" s="5"/>
      <c r="BA148" s="40"/>
      <c r="BB148" s="5"/>
      <c r="BD148" s="40"/>
      <c r="BE148" s="5"/>
      <c r="BG148" s="40"/>
      <c r="BH148" s="5"/>
      <c r="BJ148" s="40"/>
      <c r="BK148" s="5"/>
      <c r="BM148" s="40"/>
      <c r="BN148" s="5"/>
      <c r="BP148" s="40"/>
      <c r="BQ148" s="5"/>
      <c r="BS148" s="40"/>
      <c r="BT148" s="5"/>
      <c r="BV148" s="40"/>
      <c r="BW148" s="5"/>
      <c r="BY148" s="40"/>
      <c r="BZ148" s="5"/>
      <c r="CB148" s="40"/>
      <c r="CC148" s="5"/>
      <c r="CE148" s="40"/>
      <c r="CF148" s="5"/>
      <c r="CH148" s="40"/>
      <c r="CI148" s="5"/>
      <c r="CK148" s="40"/>
      <c r="CL148" s="5"/>
      <c r="CN148" s="40"/>
      <c r="CO148" s="5"/>
      <c r="CQ148" s="40"/>
      <c r="CR148" s="5"/>
    </row>
    <row r="149">
      <c r="AL149" s="40"/>
      <c r="AM149" s="5"/>
      <c r="AO149" s="40"/>
      <c r="AP149" s="5"/>
      <c r="AR149" s="40"/>
      <c r="AS149" s="5"/>
      <c r="AU149" s="40"/>
      <c r="AV149" s="5"/>
      <c r="AX149" s="40"/>
      <c r="AY149" s="5"/>
      <c r="BA149" s="40"/>
      <c r="BB149" s="5"/>
      <c r="BD149" s="40"/>
      <c r="BE149" s="5"/>
      <c r="BG149" s="40"/>
      <c r="BH149" s="5"/>
      <c r="BJ149" s="40"/>
      <c r="BK149" s="5"/>
      <c r="BM149" s="40"/>
      <c r="BN149" s="5"/>
      <c r="BP149" s="40"/>
      <c r="BQ149" s="5"/>
      <c r="BS149" s="40"/>
      <c r="BT149" s="5"/>
      <c r="BV149" s="40"/>
      <c r="BW149" s="5"/>
      <c r="BY149" s="40"/>
      <c r="BZ149" s="5"/>
      <c r="CB149" s="40"/>
      <c r="CC149" s="5"/>
      <c r="CE149" s="40"/>
      <c r="CF149" s="5"/>
      <c r="CH149" s="40"/>
      <c r="CI149" s="5"/>
      <c r="CK149" s="40"/>
      <c r="CL149" s="5"/>
      <c r="CN149" s="40"/>
      <c r="CO149" s="5"/>
      <c r="CQ149" s="40"/>
      <c r="CR149" s="5"/>
    </row>
    <row r="150">
      <c r="AL150" s="40"/>
      <c r="AM150" s="5"/>
      <c r="AO150" s="40"/>
      <c r="AP150" s="5"/>
      <c r="AR150" s="40"/>
      <c r="AS150" s="5"/>
      <c r="AU150" s="40"/>
      <c r="AV150" s="5"/>
      <c r="AX150" s="40"/>
      <c r="AY150" s="5"/>
      <c r="BA150" s="40"/>
      <c r="BB150" s="5"/>
      <c r="BD150" s="40"/>
      <c r="BE150" s="5"/>
      <c r="BG150" s="40"/>
      <c r="BH150" s="5"/>
      <c r="BJ150" s="40"/>
      <c r="BK150" s="5"/>
      <c r="BM150" s="40"/>
      <c r="BN150" s="5"/>
      <c r="BP150" s="40"/>
      <c r="BQ150" s="5"/>
      <c r="BS150" s="40"/>
      <c r="BT150" s="5"/>
      <c r="BV150" s="40"/>
      <c r="BW150" s="5"/>
      <c r="BY150" s="40"/>
      <c r="BZ150" s="5"/>
      <c r="CB150" s="40"/>
      <c r="CC150" s="5"/>
      <c r="CE150" s="40"/>
      <c r="CF150" s="5"/>
      <c r="CH150" s="40"/>
      <c r="CI150" s="5"/>
      <c r="CK150" s="40"/>
      <c r="CL150" s="5"/>
      <c r="CN150" s="40"/>
      <c r="CO150" s="5"/>
      <c r="CQ150" s="40"/>
      <c r="CR150" s="5"/>
    </row>
    <row r="151">
      <c r="AL151" s="40"/>
      <c r="AM151" s="5"/>
      <c r="AO151" s="40"/>
      <c r="AP151" s="5"/>
      <c r="AR151" s="40"/>
      <c r="AS151" s="5"/>
      <c r="AU151" s="40"/>
      <c r="AV151" s="5"/>
      <c r="AX151" s="40"/>
      <c r="AY151" s="5"/>
      <c r="BA151" s="40"/>
      <c r="BB151" s="5"/>
      <c r="BD151" s="40"/>
      <c r="BE151" s="5"/>
      <c r="BG151" s="40"/>
      <c r="BH151" s="5"/>
      <c r="BJ151" s="40"/>
      <c r="BK151" s="5"/>
      <c r="BM151" s="40"/>
      <c r="BN151" s="5"/>
      <c r="BP151" s="40"/>
      <c r="BQ151" s="5"/>
      <c r="BS151" s="40"/>
      <c r="BT151" s="5"/>
      <c r="BV151" s="40"/>
      <c r="BW151" s="5"/>
      <c r="BY151" s="40"/>
      <c r="BZ151" s="5"/>
      <c r="CB151" s="40"/>
      <c r="CC151" s="5"/>
      <c r="CE151" s="40"/>
      <c r="CF151" s="5"/>
      <c r="CH151" s="40"/>
      <c r="CI151" s="5"/>
      <c r="CK151" s="40"/>
      <c r="CL151" s="5"/>
      <c r="CN151" s="40"/>
      <c r="CO151" s="5"/>
      <c r="CQ151" s="40"/>
      <c r="CR151" s="5"/>
    </row>
    <row r="152">
      <c r="AL152" s="40"/>
      <c r="AM152" s="5"/>
      <c r="AO152" s="40"/>
      <c r="AP152" s="5"/>
      <c r="AR152" s="40"/>
      <c r="AS152" s="5"/>
      <c r="AU152" s="40"/>
      <c r="AV152" s="5"/>
      <c r="AX152" s="40"/>
      <c r="AY152" s="5"/>
      <c r="BA152" s="40"/>
      <c r="BB152" s="5"/>
      <c r="BD152" s="40"/>
      <c r="BE152" s="5"/>
      <c r="BG152" s="40"/>
      <c r="BH152" s="5"/>
      <c r="BJ152" s="40"/>
      <c r="BK152" s="5"/>
      <c r="BM152" s="40"/>
      <c r="BN152" s="5"/>
      <c r="BP152" s="40"/>
      <c r="BQ152" s="5"/>
      <c r="BS152" s="40"/>
      <c r="BT152" s="5"/>
      <c r="BV152" s="40"/>
      <c r="BW152" s="5"/>
      <c r="BY152" s="40"/>
      <c r="BZ152" s="5"/>
      <c r="CB152" s="40"/>
      <c r="CC152" s="5"/>
      <c r="CE152" s="40"/>
      <c r="CF152" s="5"/>
      <c r="CH152" s="40"/>
      <c r="CI152" s="5"/>
      <c r="CK152" s="40"/>
      <c r="CL152" s="5"/>
      <c r="CN152" s="40"/>
      <c r="CO152" s="5"/>
      <c r="CQ152" s="40"/>
      <c r="CR152" s="5"/>
    </row>
    <row r="153">
      <c r="AL153" s="40"/>
      <c r="AM153" s="5"/>
      <c r="AO153" s="40"/>
      <c r="AP153" s="5"/>
      <c r="AR153" s="40"/>
      <c r="AS153" s="5"/>
      <c r="AU153" s="40"/>
      <c r="AV153" s="5"/>
      <c r="AX153" s="40"/>
      <c r="AY153" s="5"/>
      <c r="BA153" s="40"/>
      <c r="BB153" s="5"/>
      <c r="BD153" s="40"/>
      <c r="BE153" s="5"/>
      <c r="BG153" s="40"/>
      <c r="BH153" s="5"/>
      <c r="BJ153" s="40"/>
      <c r="BK153" s="5"/>
      <c r="BM153" s="40"/>
      <c r="BN153" s="5"/>
      <c r="BP153" s="40"/>
      <c r="BQ153" s="5"/>
      <c r="BS153" s="40"/>
      <c r="BT153" s="5"/>
      <c r="BV153" s="40"/>
      <c r="BW153" s="5"/>
      <c r="BY153" s="40"/>
      <c r="BZ153" s="5"/>
      <c r="CB153" s="40"/>
      <c r="CC153" s="5"/>
      <c r="CE153" s="40"/>
      <c r="CF153" s="5"/>
      <c r="CH153" s="40"/>
      <c r="CI153" s="5"/>
      <c r="CK153" s="40"/>
      <c r="CL153" s="5"/>
      <c r="CN153" s="40"/>
      <c r="CO153" s="5"/>
      <c r="CQ153" s="40"/>
      <c r="CR153" s="5"/>
    </row>
    <row r="154">
      <c r="AL154" s="40"/>
      <c r="AM154" s="5"/>
      <c r="AO154" s="40"/>
      <c r="AP154" s="5"/>
      <c r="AR154" s="40"/>
      <c r="AS154" s="5"/>
      <c r="AU154" s="40"/>
      <c r="AV154" s="5"/>
      <c r="AX154" s="40"/>
      <c r="AY154" s="5"/>
      <c r="BA154" s="40"/>
      <c r="BB154" s="5"/>
      <c r="BD154" s="40"/>
      <c r="BE154" s="5"/>
      <c r="BG154" s="40"/>
      <c r="BH154" s="5"/>
      <c r="BJ154" s="40"/>
      <c r="BK154" s="5"/>
      <c r="BM154" s="40"/>
      <c r="BN154" s="5"/>
      <c r="BP154" s="40"/>
      <c r="BQ154" s="5"/>
      <c r="BS154" s="40"/>
      <c r="BT154" s="5"/>
      <c r="BV154" s="40"/>
      <c r="BW154" s="5"/>
      <c r="BY154" s="40"/>
      <c r="BZ154" s="5"/>
      <c r="CB154" s="40"/>
      <c r="CC154" s="5"/>
      <c r="CE154" s="40"/>
      <c r="CF154" s="5"/>
      <c r="CH154" s="40"/>
      <c r="CI154" s="5"/>
      <c r="CK154" s="40"/>
      <c r="CL154" s="5"/>
      <c r="CN154" s="40"/>
      <c r="CO154" s="5"/>
      <c r="CQ154" s="40"/>
      <c r="CR154" s="5"/>
    </row>
    <row r="155">
      <c r="AL155" s="40"/>
      <c r="AM155" s="5"/>
      <c r="AO155" s="40"/>
      <c r="AP155" s="5"/>
      <c r="AR155" s="40"/>
      <c r="AS155" s="5"/>
      <c r="AU155" s="40"/>
      <c r="AV155" s="5"/>
      <c r="AX155" s="40"/>
      <c r="AY155" s="5"/>
      <c r="BA155" s="40"/>
      <c r="BB155" s="5"/>
      <c r="BD155" s="40"/>
      <c r="BE155" s="5"/>
      <c r="BG155" s="40"/>
      <c r="BH155" s="5"/>
      <c r="BJ155" s="40"/>
      <c r="BK155" s="5"/>
      <c r="BM155" s="40"/>
      <c r="BN155" s="5"/>
      <c r="BP155" s="40"/>
      <c r="BQ155" s="5"/>
      <c r="BS155" s="40"/>
      <c r="BT155" s="5"/>
      <c r="BV155" s="40"/>
      <c r="BW155" s="5"/>
      <c r="BY155" s="40"/>
      <c r="BZ155" s="5"/>
      <c r="CB155" s="40"/>
      <c r="CC155" s="5"/>
      <c r="CE155" s="40"/>
      <c r="CF155" s="5"/>
      <c r="CH155" s="40"/>
      <c r="CI155" s="5"/>
      <c r="CK155" s="40"/>
      <c r="CL155" s="5"/>
      <c r="CN155" s="40"/>
      <c r="CO155" s="5"/>
      <c r="CQ155" s="40"/>
      <c r="CR155" s="5"/>
    </row>
    <row r="156">
      <c r="AL156" s="40"/>
      <c r="AM156" s="5"/>
      <c r="AO156" s="40"/>
      <c r="AP156" s="5"/>
      <c r="AR156" s="40"/>
      <c r="AS156" s="5"/>
      <c r="AU156" s="40"/>
      <c r="AV156" s="5"/>
      <c r="AX156" s="40"/>
      <c r="AY156" s="5"/>
      <c r="BA156" s="40"/>
      <c r="BB156" s="5"/>
      <c r="BD156" s="40"/>
      <c r="BE156" s="5"/>
      <c r="BG156" s="40"/>
      <c r="BH156" s="5"/>
      <c r="BJ156" s="40"/>
      <c r="BK156" s="5"/>
      <c r="BM156" s="40"/>
      <c r="BN156" s="5"/>
      <c r="BP156" s="40"/>
      <c r="BQ156" s="5"/>
      <c r="BS156" s="40"/>
      <c r="BT156" s="5"/>
      <c r="BV156" s="40"/>
      <c r="BW156" s="5"/>
      <c r="BY156" s="40"/>
      <c r="BZ156" s="5"/>
      <c r="CB156" s="40"/>
      <c r="CC156" s="5"/>
      <c r="CE156" s="40"/>
      <c r="CF156" s="5"/>
      <c r="CH156" s="40"/>
      <c r="CI156" s="5"/>
      <c r="CK156" s="40"/>
      <c r="CL156" s="5"/>
      <c r="CN156" s="40"/>
      <c r="CO156" s="5"/>
      <c r="CQ156" s="40"/>
      <c r="CR156" s="5"/>
    </row>
    <row r="157">
      <c r="AL157" s="40"/>
      <c r="AM157" s="5"/>
      <c r="AO157" s="40"/>
      <c r="AP157" s="5"/>
      <c r="AR157" s="40"/>
      <c r="AS157" s="5"/>
      <c r="AU157" s="40"/>
      <c r="AV157" s="5"/>
      <c r="AX157" s="40"/>
      <c r="AY157" s="5"/>
      <c r="BA157" s="40"/>
      <c r="BB157" s="5"/>
      <c r="BD157" s="40"/>
      <c r="BE157" s="5"/>
      <c r="BG157" s="40"/>
      <c r="BH157" s="5"/>
      <c r="BJ157" s="40"/>
      <c r="BK157" s="5"/>
      <c r="BM157" s="40"/>
      <c r="BN157" s="5"/>
      <c r="BP157" s="40"/>
      <c r="BQ157" s="5"/>
      <c r="BS157" s="40"/>
      <c r="BT157" s="5"/>
      <c r="BV157" s="40"/>
      <c r="BW157" s="5"/>
      <c r="BY157" s="40"/>
      <c r="BZ157" s="5"/>
      <c r="CB157" s="40"/>
      <c r="CC157" s="5"/>
      <c r="CE157" s="40"/>
      <c r="CF157" s="5"/>
      <c r="CH157" s="40"/>
      <c r="CI157" s="5"/>
      <c r="CK157" s="40"/>
      <c r="CL157" s="5"/>
      <c r="CN157" s="40"/>
      <c r="CO157" s="5"/>
      <c r="CQ157" s="40"/>
      <c r="CR157" s="5"/>
    </row>
    <row r="158">
      <c r="AL158" s="40"/>
      <c r="AM158" s="5"/>
      <c r="AO158" s="40"/>
      <c r="AP158" s="5"/>
      <c r="AR158" s="40"/>
      <c r="AS158" s="5"/>
      <c r="AU158" s="40"/>
      <c r="AV158" s="5"/>
      <c r="AX158" s="40"/>
      <c r="AY158" s="5"/>
      <c r="BA158" s="40"/>
      <c r="BB158" s="5"/>
      <c r="BD158" s="40"/>
      <c r="BE158" s="5"/>
      <c r="BG158" s="40"/>
      <c r="BH158" s="5"/>
      <c r="BJ158" s="40"/>
      <c r="BK158" s="5"/>
      <c r="BM158" s="40"/>
      <c r="BN158" s="5"/>
      <c r="BP158" s="40"/>
      <c r="BQ158" s="5"/>
      <c r="BS158" s="40"/>
      <c r="BT158" s="5"/>
      <c r="BV158" s="40"/>
      <c r="BW158" s="5"/>
      <c r="BY158" s="40"/>
      <c r="BZ158" s="5"/>
      <c r="CB158" s="40"/>
      <c r="CC158" s="5"/>
      <c r="CE158" s="40"/>
      <c r="CF158" s="5"/>
      <c r="CH158" s="40"/>
      <c r="CI158" s="5"/>
      <c r="CK158" s="40"/>
      <c r="CL158" s="5"/>
      <c r="CN158" s="40"/>
      <c r="CO158" s="5"/>
      <c r="CQ158" s="40"/>
      <c r="CR158" s="5"/>
    </row>
    <row r="159">
      <c r="AL159" s="40"/>
      <c r="AM159" s="5"/>
      <c r="AO159" s="40"/>
      <c r="AP159" s="5"/>
      <c r="AR159" s="40"/>
      <c r="AS159" s="5"/>
      <c r="AU159" s="40"/>
      <c r="AV159" s="5"/>
      <c r="AX159" s="40"/>
      <c r="AY159" s="5"/>
      <c r="BA159" s="40"/>
      <c r="BB159" s="5"/>
      <c r="BD159" s="40"/>
      <c r="BE159" s="5"/>
      <c r="BG159" s="40"/>
      <c r="BH159" s="5"/>
      <c r="BJ159" s="40"/>
      <c r="BK159" s="5"/>
      <c r="BM159" s="40"/>
      <c r="BN159" s="5"/>
      <c r="BP159" s="40"/>
      <c r="BQ159" s="5"/>
      <c r="BS159" s="40"/>
      <c r="BT159" s="5"/>
      <c r="BV159" s="40"/>
      <c r="BW159" s="5"/>
      <c r="BY159" s="40"/>
      <c r="BZ159" s="5"/>
      <c r="CB159" s="40"/>
      <c r="CC159" s="5"/>
      <c r="CE159" s="40"/>
      <c r="CF159" s="5"/>
      <c r="CH159" s="40"/>
      <c r="CI159" s="5"/>
      <c r="CK159" s="40"/>
      <c r="CL159" s="5"/>
      <c r="CN159" s="40"/>
      <c r="CO159" s="5"/>
      <c r="CQ159" s="40"/>
      <c r="CR159" s="5"/>
    </row>
    <row r="160">
      <c r="AL160" s="40"/>
      <c r="AM160" s="5"/>
      <c r="AO160" s="40"/>
      <c r="AP160" s="5"/>
      <c r="AR160" s="40"/>
      <c r="AS160" s="5"/>
      <c r="AU160" s="40"/>
      <c r="AV160" s="5"/>
      <c r="AX160" s="40"/>
      <c r="AY160" s="5"/>
      <c r="BA160" s="40"/>
      <c r="BB160" s="5"/>
      <c r="BD160" s="40"/>
      <c r="BE160" s="5"/>
      <c r="BG160" s="40"/>
      <c r="BH160" s="5"/>
      <c r="BJ160" s="40"/>
      <c r="BK160" s="5"/>
      <c r="BM160" s="40"/>
      <c r="BN160" s="5"/>
      <c r="BP160" s="40"/>
      <c r="BQ160" s="5"/>
      <c r="BS160" s="40"/>
      <c r="BT160" s="5"/>
      <c r="BV160" s="40"/>
      <c r="BW160" s="5"/>
      <c r="BY160" s="40"/>
      <c r="BZ160" s="5"/>
      <c r="CB160" s="40"/>
      <c r="CC160" s="5"/>
      <c r="CE160" s="40"/>
      <c r="CF160" s="5"/>
      <c r="CH160" s="40"/>
      <c r="CI160" s="5"/>
      <c r="CK160" s="40"/>
      <c r="CL160" s="5"/>
      <c r="CN160" s="40"/>
      <c r="CO160" s="5"/>
      <c r="CQ160" s="40"/>
      <c r="CR160" s="5"/>
    </row>
    <row r="161">
      <c r="AL161" s="40"/>
      <c r="AM161" s="5"/>
      <c r="AO161" s="40"/>
      <c r="AP161" s="5"/>
      <c r="AR161" s="40"/>
      <c r="AS161" s="5"/>
      <c r="AU161" s="40"/>
      <c r="AV161" s="5"/>
      <c r="AX161" s="40"/>
      <c r="AY161" s="5"/>
      <c r="BA161" s="40"/>
      <c r="BB161" s="5"/>
      <c r="BD161" s="40"/>
      <c r="BE161" s="5"/>
      <c r="BG161" s="40"/>
      <c r="BH161" s="5"/>
      <c r="BJ161" s="40"/>
      <c r="BK161" s="5"/>
      <c r="BM161" s="40"/>
      <c r="BN161" s="5"/>
      <c r="BP161" s="40"/>
      <c r="BQ161" s="5"/>
      <c r="BS161" s="40"/>
      <c r="BT161" s="5"/>
      <c r="BV161" s="40"/>
      <c r="BW161" s="5"/>
      <c r="BY161" s="40"/>
      <c r="BZ161" s="5"/>
      <c r="CB161" s="40"/>
      <c r="CC161" s="5"/>
      <c r="CE161" s="40"/>
      <c r="CF161" s="5"/>
      <c r="CH161" s="40"/>
      <c r="CI161" s="5"/>
      <c r="CK161" s="40"/>
      <c r="CL161" s="5"/>
      <c r="CN161" s="40"/>
      <c r="CO161" s="5"/>
      <c r="CQ161" s="40"/>
      <c r="CR161" s="5"/>
    </row>
    <row r="162">
      <c r="AL162" s="40"/>
      <c r="AM162" s="5"/>
      <c r="AO162" s="40"/>
      <c r="AP162" s="5"/>
      <c r="AR162" s="40"/>
      <c r="AS162" s="5"/>
      <c r="AU162" s="40"/>
      <c r="AV162" s="5"/>
      <c r="AX162" s="40"/>
      <c r="AY162" s="5"/>
      <c r="BA162" s="40"/>
      <c r="BB162" s="5"/>
      <c r="BD162" s="40"/>
      <c r="BE162" s="5"/>
      <c r="BG162" s="40"/>
      <c r="BH162" s="5"/>
      <c r="BJ162" s="40"/>
      <c r="BK162" s="5"/>
      <c r="BM162" s="40"/>
      <c r="BN162" s="5"/>
      <c r="BP162" s="40"/>
      <c r="BQ162" s="5"/>
      <c r="BS162" s="40"/>
      <c r="BT162" s="5"/>
      <c r="BV162" s="40"/>
      <c r="BW162" s="5"/>
      <c r="BY162" s="40"/>
      <c r="BZ162" s="5"/>
      <c r="CB162" s="40"/>
      <c r="CC162" s="5"/>
      <c r="CE162" s="40"/>
      <c r="CF162" s="5"/>
      <c r="CH162" s="40"/>
      <c r="CI162" s="5"/>
      <c r="CK162" s="40"/>
      <c r="CL162" s="5"/>
      <c r="CN162" s="40"/>
      <c r="CO162" s="5"/>
      <c r="CQ162" s="40"/>
      <c r="CR162" s="5"/>
    </row>
    <row r="163">
      <c r="AL163" s="40"/>
      <c r="AM163" s="5"/>
      <c r="AO163" s="40"/>
      <c r="AP163" s="5"/>
      <c r="AR163" s="40"/>
      <c r="AS163" s="5"/>
      <c r="AU163" s="40"/>
      <c r="AV163" s="5"/>
      <c r="AX163" s="40"/>
      <c r="AY163" s="5"/>
      <c r="BA163" s="40"/>
      <c r="BB163" s="5"/>
      <c r="BD163" s="40"/>
      <c r="BE163" s="5"/>
      <c r="BG163" s="40"/>
      <c r="BH163" s="5"/>
      <c r="BJ163" s="40"/>
      <c r="BK163" s="5"/>
      <c r="BM163" s="40"/>
      <c r="BN163" s="5"/>
      <c r="BP163" s="40"/>
      <c r="BQ163" s="5"/>
      <c r="BS163" s="40"/>
      <c r="BT163" s="5"/>
      <c r="BV163" s="40"/>
      <c r="BW163" s="5"/>
      <c r="BY163" s="40"/>
      <c r="BZ163" s="5"/>
      <c r="CB163" s="40"/>
      <c r="CC163" s="5"/>
      <c r="CE163" s="40"/>
      <c r="CF163" s="5"/>
      <c r="CH163" s="40"/>
      <c r="CI163" s="5"/>
      <c r="CK163" s="40"/>
      <c r="CL163" s="5"/>
      <c r="CN163" s="40"/>
      <c r="CO163" s="5"/>
      <c r="CQ163" s="40"/>
      <c r="CR163" s="5"/>
    </row>
    <row r="164">
      <c r="AL164" s="40"/>
      <c r="AM164" s="5"/>
      <c r="AO164" s="40"/>
      <c r="AP164" s="5"/>
      <c r="AR164" s="40"/>
      <c r="AS164" s="5"/>
      <c r="AU164" s="40"/>
      <c r="AV164" s="5"/>
      <c r="AX164" s="40"/>
      <c r="AY164" s="5"/>
      <c r="BA164" s="40"/>
      <c r="BB164" s="5"/>
      <c r="BD164" s="40"/>
      <c r="BE164" s="5"/>
      <c r="BG164" s="40"/>
      <c r="BH164" s="5"/>
      <c r="BJ164" s="40"/>
      <c r="BK164" s="5"/>
      <c r="BM164" s="40"/>
      <c r="BN164" s="5"/>
      <c r="BP164" s="40"/>
      <c r="BQ164" s="5"/>
      <c r="BS164" s="40"/>
      <c r="BT164" s="5"/>
      <c r="BV164" s="40"/>
      <c r="BW164" s="5"/>
      <c r="BY164" s="40"/>
      <c r="BZ164" s="5"/>
      <c r="CB164" s="40"/>
      <c r="CC164" s="5"/>
      <c r="CE164" s="40"/>
      <c r="CF164" s="5"/>
      <c r="CH164" s="40"/>
      <c r="CI164" s="5"/>
      <c r="CK164" s="40"/>
      <c r="CL164" s="5"/>
      <c r="CN164" s="40"/>
      <c r="CO164" s="5"/>
      <c r="CQ164" s="40"/>
      <c r="CR164" s="5"/>
    </row>
    <row r="165">
      <c r="AL165" s="40"/>
      <c r="AM165" s="5"/>
      <c r="AO165" s="40"/>
      <c r="AP165" s="5"/>
      <c r="AR165" s="40"/>
      <c r="AS165" s="5"/>
      <c r="AU165" s="40"/>
      <c r="AV165" s="5"/>
      <c r="AX165" s="40"/>
      <c r="AY165" s="5"/>
      <c r="BA165" s="40"/>
      <c r="BB165" s="5"/>
      <c r="BD165" s="40"/>
      <c r="BE165" s="5"/>
      <c r="BG165" s="40"/>
      <c r="BH165" s="5"/>
      <c r="BJ165" s="40"/>
      <c r="BK165" s="5"/>
      <c r="BM165" s="40"/>
      <c r="BN165" s="5"/>
      <c r="BP165" s="40"/>
      <c r="BQ165" s="5"/>
      <c r="BS165" s="40"/>
      <c r="BT165" s="5"/>
      <c r="BV165" s="40"/>
      <c r="BW165" s="5"/>
      <c r="BY165" s="40"/>
      <c r="BZ165" s="5"/>
      <c r="CB165" s="40"/>
      <c r="CC165" s="5"/>
      <c r="CE165" s="40"/>
      <c r="CF165" s="5"/>
      <c r="CH165" s="40"/>
      <c r="CI165" s="5"/>
      <c r="CK165" s="40"/>
      <c r="CL165" s="5"/>
      <c r="CN165" s="40"/>
      <c r="CO165" s="5"/>
      <c r="CQ165" s="40"/>
      <c r="CR165" s="5"/>
    </row>
    <row r="166">
      <c r="AL166" s="40"/>
      <c r="AM166" s="5"/>
      <c r="AO166" s="40"/>
      <c r="AP166" s="5"/>
      <c r="AR166" s="40"/>
      <c r="AS166" s="5"/>
      <c r="AU166" s="40"/>
      <c r="AV166" s="5"/>
      <c r="AX166" s="40"/>
      <c r="AY166" s="5"/>
      <c r="BA166" s="40"/>
      <c r="BB166" s="5"/>
      <c r="BD166" s="40"/>
      <c r="BE166" s="5"/>
      <c r="BG166" s="40"/>
      <c r="BH166" s="5"/>
      <c r="BJ166" s="40"/>
      <c r="BK166" s="5"/>
      <c r="BM166" s="40"/>
      <c r="BN166" s="5"/>
      <c r="BP166" s="40"/>
      <c r="BQ166" s="5"/>
      <c r="BS166" s="40"/>
      <c r="BT166" s="5"/>
      <c r="BV166" s="40"/>
      <c r="BW166" s="5"/>
      <c r="BY166" s="40"/>
      <c r="BZ166" s="5"/>
      <c r="CB166" s="40"/>
      <c r="CC166" s="5"/>
      <c r="CE166" s="40"/>
      <c r="CF166" s="5"/>
      <c r="CH166" s="40"/>
      <c r="CI166" s="5"/>
      <c r="CK166" s="40"/>
      <c r="CL166" s="5"/>
      <c r="CN166" s="40"/>
      <c r="CO166" s="5"/>
      <c r="CQ166" s="40"/>
      <c r="CR166" s="5"/>
    </row>
    <row r="167">
      <c r="AL167" s="40"/>
      <c r="AM167" s="5"/>
      <c r="AO167" s="40"/>
      <c r="AP167" s="5"/>
      <c r="AR167" s="40"/>
      <c r="AS167" s="5"/>
      <c r="AU167" s="40"/>
      <c r="AV167" s="5"/>
      <c r="AX167" s="40"/>
      <c r="AY167" s="5"/>
      <c r="BA167" s="40"/>
      <c r="BB167" s="5"/>
      <c r="BD167" s="40"/>
      <c r="BE167" s="5"/>
      <c r="BG167" s="40"/>
      <c r="BH167" s="5"/>
      <c r="BJ167" s="40"/>
      <c r="BK167" s="5"/>
      <c r="BM167" s="40"/>
      <c r="BN167" s="5"/>
      <c r="BP167" s="40"/>
      <c r="BQ167" s="5"/>
      <c r="BS167" s="40"/>
      <c r="BT167" s="5"/>
      <c r="BV167" s="40"/>
      <c r="BW167" s="5"/>
      <c r="BY167" s="40"/>
      <c r="BZ167" s="5"/>
      <c r="CB167" s="40"/>
      <c r="CC167" s="5"/>
      <c r="CE167" s="40"/>
      <c r="CF167" s="5"/>
      <c r="CH167" s="40"/>
      <c r="CI167" s="5"/>
      <c r="CK167" s="40"/>
      <c r="CL167" s="5"/>
      <c r="CN167" s="40"/>
      <c r="CO167" s="5"/>
      <c r="CQ167" s="40"/>
      <c r="CR167" s="5"/>
    </row>
    <row r="168">
      <c r="AL168" s="40"/>
      <c r="AM168" s="5"/>
      <c r="AO168" s="40"/>
      <c r="AP168" s="5"/>
      <c r="AR168" s="40"/>
      <c r="AS168" s="5"/>
      <c r="AU168" s="40"/>
      <c r="AV168" s="5"/>
      <c r="AX168" s="40"/>
      <c r="AY168" s="5"/>
      <c r="BA168" s="40"/>
      <c r="BB168" s="5"/>
      <c r="BD168" s="40"/>
      <c r="BE168" s="5"/>
      <c r="BG168" s="40"/>
      <c r="BH168" s="5"/>
      <c r="BJ168" s="40"/>
      <c r="BK168" s="5"/>
      <c r="BM168" s="40"/>
      <c r="BN168" s="5"/>
      <c r="BP168" s="40"/>
      <c r="BQ168" s="5"/>
      <c r="BS168" s="40"/>
      <c r="BT168" s="5"/>
      <c r="BV168" s="40"/>
      <c r="BW168" s="5"/>
      <c r="BY168" s="40"/>
      <c r="BZ168" s="5"/>
      <c r="CB168" s="40"/>
      <c r="CC168" s="5"/>
      <c r="CE168" s="40"/>
      <c r="CF168" s="5"/>
      <c r="CH168" s="40"/>
      <c r="CI168" s="5"/>
      <c r="CK168" s="40"/>
      <c r="CL168" s="5"/>
      <c r="CN168" s="40"/>
      <c r="CO168" s="5"/>
      <c r="CQ168" s="40"/>
      <c r="CR168" s="5"/>
    </row>
    <row r="169">
      <c r="AL169" s="40"/>
      <c r="AM169" s="5"/>
      <c r="AO169" s="40"/>
      <c r="AP169" s="5"/>
      <c r="AR169" s="40"/>
      <c r="AS169" s="5"/>
      <c r="AU169" s="40"/>
      <c r="AV169" s="5"/>
      <c r="AX169" s="40"/>
      <c r="AY169" s="5"/>
      <c r="BA169" s="40"/>
      <c r="BB169" s="5"/>
      <c r="BD169" s="40"/>
      <c r="BE169" s="5"/>
      <c r="BG169" s="40"/>
      <c r="BH169" s="5"/>
      <c r="BJ169" s="40"/>
      <c r="BK169" s="5"/>
      <c r="BM169" s="40"/>
      <c r="BN169" s="5"/>
      <c r="BP169" s="40"/>
      <c r="BQ169" s="5"/>
      <c r="BS169" s="40"/>
      <c r="BT169" s="5"/>
      <c r="BV169" s="40"/>
      <c r="BW169" s="5"/>
      <c r="BY169" s="40"/>
      <c r="BZ169" s="5"/>
      <c r="CB169" s="40"/>
      <c r="CC169" s="5"/>
      <c r="CE169" s="40"/>
      <c r="CF169" s="5"/>
      <c r="CH169" s="40"/>
      <c r="CI169" s="5"/>
      <c r="CK169" s="40"/>
      <c r="CL169" s="5"/>
      <c r="CN169" s="40"/>
      <c r="CO169" s="5"/>
      <c r="CQ169" s="40"/>
      <c r="CR169" s="5"/>
    </row>
    <row r="170">
      <c r="AL170" s="40"/>
      <c r="AM170" s="5"/>
      <c r="AO170" s="40"/>
      <c r="AP170" s="5"/>
      <c r="AR170" s="40"/>
      <c r="AS170" s="5"/>
      <c r="AU170" s="40"/>
      <c r="AV170" s="5"/>
      <c r="AX170" s="40"/>
      <c r="AY170" s="5"/>
      <c r="BA170" s="40"/>
      <c r="BB170" s="5"/>
      <c r="BD170" s="40"/>
      <c r="BE170" s="5"/>
      <c r="BG170" s="40"/>
      <c r="BH170" s="5"/>
      <c r="BJ170" s="40"/>
      <c r="BK170" s="5"/>
      <c r="BM170" s="40"/>
      <c r="BN170" s="5"/>
      <c r="BP170" s="40"/>
      <c r="BQ170" s="5"/>
      <c r="BS170" s="40"/>
      <c r="BT170" s="5"/>
      <c r="BV170" s="40"/>
      <c r="BW170" s="5"/>
      <c r="BY170" s="40"/>
      <c r="BZ170" s="5"/>
      <c r="CB170" s="40"/>
      <c r="CC170" s="5"/>
      <c r="CE170" s="40"/>
      <c r="CF170" s="5"/>
      <c r="CH170" s="40"/>
      <c r="CI170" s="5"/>
      <c r="CK170" s="40"/>
      <c r="CL170" s="5"/>
      <c r="CN170" s="40"/>
      <c r="CO170" s="5"/>
      <c r="CQ170" s="40"/>
      <c r="CR170" s="5"/>
    </row>
    <row r="171">
      <c r="AL171" s="40"/>
      <c r="AM171" s="5"/>
      <c r="AO171" s="40"/>
      <c r="AP171" s="5"/>
      <c r="AR171" s="40"/>
      <c r="AS171" s="5"/>
      <c r="AU171" s="40"/>
      <c r="AV171" s="5"/>
      <c r="AX171" s="40"/>
      <c r="AY171" s="5"/>
      <c r="BA171" s="40"/>
      <c r="BB171" s="5"/>
      <c r="BD171" s="40"/>
      <c r="BE171" s="5"/>
      <c r="BG171" s="40"/>
      <c r="BH171" s="5"/>
      <c r="BJ171" s="40"/>
      <c r="BK171" s="5"/>
      <c r="BM171" s="40"/>
      <c r="BN171" s="5"/>
      <c r="BP171" s="40"/>
      <c r="BQ171" s="5"/>
      <c r="BS171" s="40"/>
      <c r="BT171" s="5"/>
      <c r="BV171" s="40"/>
      <c r="BW171" s="5"/>
      <c r="BY171" s="40"/>
      <c r="BZ171" s="5"/>
      <c r="CB171" s="40"/>
      <c r="CC171" s="5"/>
      <c r="CE171" s="40"/>
      <c r="CF171" s="5"/>
      <c r="CH171" s="40"/>
      <c r="CI171" s="5"/>
      <c r="CK171" s="40"/>
      <c r="CL171" s="5"/>
      <c r="CN171" s="40"/>
      <c r="CO171" s="5"/>
      <c r="CQ171" s="40"/>
      <c r="CR171" s="5"/>
    </row>
    <row r="172">
      <c r="AL172" s="40"/>
      <c r="AM172" s="5"/>
      <c r="AO172" s="40"/>
      <c r="AP172" s="5"/>
      <c r="AR172" s="40"/>
      <c r="AS172" s="5"/>
      <c r="AU172" s="40"/>
      <c r="AV172" s="5"/>
      <c r="AX172" s="40"/>
      <c r="AY172" s="5"/>
      <c r="BA172" s="40"/>
      <c r="BB172" s="5"/>
      <c r="BD172" s="40"/>
      <c r="BE172" s="5"/>
      <c r="BG172" s="40"/>
      <c r="BH172" s="5"/>
      <c r="BJ172" s="40"/>
      <c r="BK172" s="5"/>
      <c r="BM172" s="40"/>
      <c r="BN172" s="5"/>
      <c r="BP172" s="40"/>
      <c r="BQ172" s="5"/>
      <c r="BS172" s="40"/>
      <c r="BT172" s="5"/>
      <c r="BV172" s="40"/>
      <c r="BW172" s="5"/>
      <c r="BY172" s="40"/>
      <c r="BZ172" s="5"/>
      <c r="CB172" s="40"/>
      <c r="CC172" s="5"/>
      <c r="CE172" s="40"/>
      <c r="CF172" s="5"/>
      <c r="CH172" s="40"/>
      <c r="CI172" s="5"/>
      <c r="CK172" s="40"/>
      <c r="CL172" s="5"/>
      <c r="CN172" s="40"/>
      <c r="CO172" s="5"/>
      <c r="CQ172" s="40"/>
      <c r="CR172" s="5"/>
    </row>
    <row r="173">
      <c r="AL173" s="40"/>
      <c r="AM173" s="5"/>
      <c r="AO173" s="40"/>
      <c r="AP173" s="5"/>
      <c r="AR173" s="40"/>
      <c r="AS173" s="5"/>
      <c r="AU173" s="40"/>
      <c r="AV173" s="5"/>
      <c r="AX173" s="40"/>
      <c r="AY173" s="5"/>
      <c r="BA173" s="40"/>
      <c r="BB173" s="5"/>
      <c r="BD173" s="40"/>
      <c r="BE173" s="5"/>
      <c r="BG173" s="40"/>
      <c r="BH173" s="5"/>
      <c r="BJ173" s="40"/>
      <c r="BK173" s="5"/>
      <c r="BM173" s="40"/>
      <c r="BN173" s="5"/>
      <c r="BP173" s="40"/>
      <c r="BQ173" s="5"/>
      <c r="BS173" s="40"/>
      <c r="BT173" s="5"/>
      <c r="BV173" s="40"/>
      <c r="BW173" s="5"/>
      <c r="BY173" s="40"/>
      <c r="BZ173" s="5"/>
      <c r="CB173" s="40"/>
      <c r="CC173" s="5"/>
      <c r="CE173" s="40"/>
      <c r="CF173" s="5"/>
      <c r="CH173" s="40"/>
      <c r="CI173" s="5"/>
      <c r="CK173" s="40"/>
      <c r="CL173" s="5"/>
      <c r="CN173" s="40"/>
      <c r="CO173" s="5"/>
      <c r="CQ173" s="40"/>
      <c r="CR173" s="5"/>
    </row>
    <row r="174">
      <c r="AL174" s="40"/>
      <c r="AM174" s="5"/>
      <c r="AO174" s="40"/>
      <c r="AP174" s="5"/>
      <c r="AR174" s="40"/>
      <c r="AS174" s="5"/>
      <c r="AU174" s="40"/>
      <c r="AV174" s="5"/>
      <c r="AX174" s="40"/>
      <c r="AY174" s="5"/>
      <c r="BA174" s="40"/>
      <c r="BB174" s="5"/>
      <c r="BD174" s="40"/>
      <c r="BE174" s="5"/>
      <c r="BG174" s="40"/>
      <c r="BH174" s="5"/>
      <c r="BJ174" s="40"/>
      <c r="BK174" s="5"/>
      <c r="BM174" s="40"/>
      <c r="BN174" s="5"/>
      <c r="BP174" s="40"/>
      <c r="BQ174" s="5"/>
      <c r="BS174" s="40"/>
      <c r="BT174" s="5"/>
      <c r="BV174" s="40"/>
      <c r="BW174" s="5"/>
      <c r="BY174" s="40"/>
      <c r="BZ174" s="5"/>
      <c r="CB174" s="40"/>
      <c r="CC174" s="5"/>
      <c r="CE174" s="40"/>
      <c r="CF174" s="5"/>
      <c r="CH174" s="40"/>
      <c r="CI174" s="5"/>
      <c r="CK174" s="40"/>
      <c r="CL174" s="5"/>
      <c r="CN174" s="40"/>
      <c r="CO174" s="5"/>
      <c r="CQ174" s="40"/>
      <c r="CR174" s="5"/>
    </row>
    <row r="175">
      <c r="AL175" s="40"/>
      <c r="AM175" s="5"/>
      <c r="AO175" s="40"/>
      <c r="AP175" s="5"/>
      <c r="AR175" s="40"/>
      <c r="AS175" s="5"/>
      <c r="AU175" s="40"/>
      <c r="AV175" s="5"/>
      <c r="AX175" s="40"/>
      <c r="AY175" s="5"/>
      <c r="BA175" s="40"/>
      <c r="BB175" s="5"/>
      <c r="BD175" s="40"/>
      <c r="BE175" s="5"/>
      <c r="BG175" s="40"/>
      <c r="BH175" s="5"/>
      <c r="BJ175" s="40"/>
      <c r="BK175" s="5"/>
      <c r="BM175" s="40"/>
      <c r="BN175" s="5"/>
      <c r="BP175" s="40"/>
      <c r="BQ175" s="5"/>
      <c r="BS175" s="40"/>
      <c r="BT175" s="5"/>
      <c r="BV175" s="40"/>
      <c r="BW175" s="5"/>
      <c r="BY175" s="40"/>
      <c r="BZ175" s="5"/>
      <c r="CB175" s="40"/>
      <c r="CC175" s="5"/>
      <c r="CE175" s="40"/>
      <c r="CF175" s="5"/>
      <c r="CH175" s="40"/>
      <c r="CI175" s="5"/>
      <c r="CK175" s="40"/>
      <c r="CL175" s="5"/>
      <c r="CN175" s="40"/>
      <c r="CO175" s="5"/>
      <c r="CQ175" s="40"/>
      <c r="CR175" s="5"/>
    </row>
    <row r="176">
      <c r="AL176" s="40"/>
      <c r="AM176" s="5"/>
      <c r="AO176" s="40"/>
      <c r="AP176" s="5"/>
      <c r="AR176" s="40"/>
      <c r="AS176" s="5"/>
      <c r="AU176" s="40"/>
      <c r="AV176" s="5"/>
      <c r="AX176" s="40"/>
      <c r="AY176" s="5"/>
      <c r="BA176" s="40"/>
      <c r="BB176" s="5"/>
      <c r="BD176" s="40"/>
      <c r="BE176" s="5"/>
      <c r="BG176" s="40"/>
      <c r="BH176" s="5"/>
      <c r="BJ176" s="40"/>
      <c r="BK176" s="5"/>
      <c r="BM176" s="40"/>
      <c r="BN176" s="5"/>
      <c r="BP176" s="40"/>
      <c r="BQ176" s="5"/>
      <c r="BS176" s="40"/>
      <c r="BT176" s="5"/>
      <c r="BV176" s="40"/>
      <c r="BW176" s="5"/>
      <c r="BY176" s="40"/>
      <c r="BZ176" s="5"/>
      <c r="CB176" s="40"/>
      <c r="CC176" s="5"/>
      <c r="CE176" s="40"/>
      <c r="CF176" s="5"/>
      <c r="CH176" s="40"/>
      <c r="CI176" s="5"/>
      <c r="CK176" s="40"/>
      <c r="CL176" s="5"/>
      <c r="CN176" s="40"/>
      <c r="CO176" s="5"/>
      <c r="CQ176" s="40"/>
      <c r="CR176" s="5"/>
    </row>
    <row r="177">
      <c r="AL177" s="40"/>
      <c r="AM177" s="5"/>
      <c r="AO177" s="40"/>
      <c r="AP177" s="5"/>
      <c r="AR177" s="40"/>
      <c r="AS177" s="5"/>
      <c r="AU177" s="40"/>
      <c r="AV177" s="5"/>
      <c r="AX177" s="40"/>
      <c r="AY177" s="5"/>
      <c r="BA177" s="40"/>
      <c r="BB177" s="5"/>
      <c r="BD177" s="40"/>
      <c r="BE177" s="5"/>
      <c r="BG177" s="40"/>
      <c r="BH177" s="5"/>
      <c r="BJ177" s="40"/>
      <c r="BK177" s="5"/>
      <c r="BM177" s="40"/>
      <c r="BN177" s="5"/>
      <c r="BP177" s="40"/>
      <c r="BQ177" s="5"/>
      <c r="BS177" s="40"/>
      <c r="BT177" s="5"/>
      <c r="BV177" s="40"/>
      <c r="BW177" s="5"/>
      <c r="BY177" s="40"/>
      <c r="BZ177" s="5"/>
      <c r="CB177" s="40"/>
      <c r="CC177" s="5"/>
      <c r="CE177" s="40"/>
      <c r="CF177" s="5"/>
      <c r="CH177" s="40"/>
      <c r="CI177" s="5"/>
      <c r="CK177" s="40"/>
      <c r="CL177" s="5"/>
      <c r="CN177" s="40"/>
      <c r="CO177" s="5"/>
      <c r="CQ177" s="40"/>
      <c r="CR177" s="5"/>
    </row>
    <row r="178">
      <c r="AL178" s="40"/>
      <c r="AM178" s="5"/>
      <c r="AO178" s="40"/>
      <c r="AP178" s="5"/>
      <c r="AR178" s="40"/>
      <c r="AS178" s="5"/>
      <c r="AU178" s="40"/>
      <c r="AV178" s="5"/>
      <c r="AX178" s="40"/>
      <c r="AY178" s="5"/>
      <c r="BA178" s="40"/>
      <c r="BB178" s="5"/>
      <c r="BD178" s="40"/>
      <c r="BE178" s="5"/>
      <c r="BG178" s="40"/>
      <c r="BH178" s="5"/>
      <c r="BJ178" s="40"/>
      <c r="BK178" s="5"/>
      <c r="BM178" s="40"/>
      <c r="BN178" s="5"/>
      <c r="BP178" s="40"/>
      <c r="BQ178" s="5"/>
      <c r="BS178" s="40"/>
      <c r="BT178" s="5"/>
      <c r="BV178" s="40"/>
      <c r="BW178" s="5"/>
      <c r="BY178" s="40"/>
      <c r="BZ178" s="5"/>
      <c r="CB178" s="40"/>
      <c r="CC178" s="5"/>
      <c r="CE178" s="40"/>
      <c r="CF178" s="5"/>
      <c r="CH178" s="40"/>
      <c r="CI178" s="5"/>
      <c r="CK178" s="40"/>
      <c r="CL178" s="5"/>
      <c r="CN178" s="40"/>
      <c r="CO178" s="5"/>
      <c r="CQ178" s="40"/>
      <c r="CR178" s="5"/>
    </row>
    <row r="179">
      <c r="AL179" s="40"/>
      <c r="AM179" s="5"/>
      <c r="AO179" s="40"/>
      <c r="AP179" s="5"/>
      <c r="AR179" s="40"/>
      <c r="AS179" s="5"/>
      <c r="AU179" s="40"/>
      <c r="AV179" s="5"/>
      <c r="AX179" s="40"/>
      <c r="AY179" s="5"/>
      <c r="BA179" s="40"/>
      <c r="BB179" s="5"/>
      <c r="BD179" s="40"/>
      <c r="BE179" s="5"/>
      <c r="BG179" s="40"/>
      <c r="BH179" s="5"/>
      <c r="BJ179" s="40"/>
      <c r="BK179" s="5"/>
      <c r="BM179" s="40"/>
      <c r="BN179" s="5"/>
      <c r="BP179" s="40"/>
      <c r="BQ179" s="5"/>
      <c r="BS179" s="40"/>
      <c r="BT179" s="5"/>
      <c r="BV179" s="40"/>
      <c r="BW179" s="5"/>
      <c r="BY179" s="40"/>
      <c r="BZ179" s="5"/>
      <c r="CB179" s="40"/>
      <c r="CC179" s="5"/>
      <c r="CE179" s="40"/>
      <c r="CF179" s="5"/>
      <c r="CH179" s="40"/>
      <c r="CI179" s="5"/>
      <c r="CK179" s="40"/>
      <c r="CL179" s="5"/>
      <c r="CN179" s="40"/>
      <c r="CO179" s="5"/>
      <c r="CQ179" s="40"/>
      <c r="CR179" s="5"/>
    </row>
    <row r="180">
      <c r="AL180" s="40"/>
      <c r="AM180" s="5"/>
      <c r="AO180" s="40"/>
      <c r="AP180" s="5"/>
      <c r="AR180" s="40"/>
      <c r="AS180" s="5"/>
      <c r="AU180" s="40"/>
      <c r="AV180" s="5"/>
      <c r="AX180" s="40"/>
      <c r="AY180" s="5"/>
      <c r="BA180" s="40"/>
      <c r="BB180" s="5"/>
      <c r="BD180" s="40"/>
      <c r="BE180" s="5"/>
      <c r="BG180" s="40"/>
      <c r="BH180" s="5"/>
      <c r="BJ180" s="40"/>
      <c r="BK180" s="5"/>
      <c r="BM180" s="40"/>
      <c r="BN180" s="5"/>
      <c r="BP180" s="40"/>
      <c r="BQ180" s="5"/>
      <c r="BS180" s="40"/>
      <c r="BT180" s="5"/>
      <c r="BV180" s="40"/>
      <c r="BW180" s="5"/>
      <c r="BY180" s="40"/>
      <c r="BZ180" s="5"/>
      <c r="CB180" s="40"/>
      <c r="CC180" s="5"/>
      <c r="CE180" s="40"/>
      <c r="CF180" s="5"/>
      <c r="CH180" s="40"/>
      <c r="CI180" s="5"/>
      <c r="CK180" s="40"/>
      <c r="CL180" s="5"/>
      <c r="CN180" s="40"/>
      <c r="CO180" s="5"/>
      <c r="CQ180" s="40"/>
      <c r="CR180" s="5"/>
    </row>
    <row r="181">
      <c r="AL181" s="40"/>
      <c r="AM181" s="5"/>
      <c r="AO181" s="40"/>
      <c r="AP181" s="5"/>
      <c r="AR181" s="40"/>
      <c r="AS181" s="5"/>
      <c r="AU181" s="40"/>
      <c r="AV181" s="5"/>
      <c r="AX181" s="40"/>
      <c r="AY181" s="5"/>
      <c r="BA181" s="40"/>
      <c r="BB181" s="5"/>
      <c r="BD181" s="40"/>
      <c r="BE181" s="5"/>
      <c r="BG181" s="40"/>
      <c r="BH181" s="5"/>
      <c r="BJ181" s="40"/>
      <c r="BK181" s="5"/>
      <c r="BM181" s="40"/>
      <c r="BN181" s="5"/>
      <c r="BP181" s="40"/>
      <c r="BQ181" s="5"/>
      <c r="BS181" s="40"/>
      <c r="BT181" s="5"/>
      <c r="BV181" s="40"/>
      <c r="BW181" s="5"/>
      <c r="BY181" s="40"/>
      <c r="BZ181" s="5"/>
      <c r="CB181" s="40"/>
      <c r="CC181" s="5"/>
      <c r="CE181" s="40"/>
      <c r="CF181" s="5"/>
      <c r="CH181" s="40"/>
      <c r="CI181" s="5"/>
      <c r="CK181" s="40"/>
      <c r="CL181" s="5"/>
      <c r="CN181" s="40"/>
      <c r="CO181" s="5"/>
      <c r="CQ181" s="40"/>
      <c r="CR181" s="5"/>
    </row>
    <row r="182">
      <c r="AL182" s="40"/>
      <c r="AM182" s="5"/>
      <c r="AO182" s="40"/>
      <c r="AP182" s="5"/>
      <c r="AR182" s="40"/>
      <c r="AS182" s="5"/>
      <c r="AU182" s="40"/>
      <c r="AV182" s="5"/>
      <c r="AX182" s="40"/>
      <c r="AY182" s="5"/>
      <c r="BA182" s="40"/>
      <c r="BB182" s="5"/>
      <c r="BD182" s="40"/>
      <c r="BE182" s="5"/>
      <c r="BG182" s="40"/>
      <c r="BH182" s="5"/>
      <c r="BJ182" s="40"/>
      <c r="BK182" s="5"/>
      <c r="BM182" s="40"/>
      <c r="BN182" s="5"/>
      <c r="BP182" s="40"/>
      <c r="BQ182" s="5"/>
      <c r="BS182" s="40"/>
      <c r="BT182" s="5"/>
      <c r="BV182" s="40"/>
      <c r="BW182" s="5"/>
      <c r="BY182" s="40"/>
      <c r="BZ182" s="5"/>
      <c r="CB182" s="40"/>
      <c r="CC182" s="5"/>
      <c r="CE182" s="40"/>
      <c r="CF182" s="5"/>
      <c r="CH182" s="40"/>
      <c r="CI182" s="5"/>
      <c r="CK182" s="40"/>
      <c r="CL182" s="5"/>
      <c r="CN182" s="40"/>
      <c r="CO182" s="5"/>
      <c r="CQ182" s="40"/>
      <c r="CR182" s="5"/>
    </row>
    <row r="183">
      <c r="AL183" s="40"/>
      <c r="AM183" s="5"/>
      <c r="AO183" s="40"/>
      <c r="AP183" s="5"/>
      <c r="AR183" s="40"/>
      <c r="AS183" s="5"/>
      <c r="AU183" s="40"/>
      <c r="AV183" s="5"/>
      <c r="AX183" s="40"/>
      <c r="AY183" s="5"/>
      <c r="BA183" s="40"/>
      <c r="BB183" s="5"/>
      <c r="BD183" s="40"/>
      <c r="BE183" s="5"/>
      <c r="BG183" s="40"/>
      <c r="BH183" s="5"/>
      <c r="BJ183" s="40"/>
      <c r="BK183" s="5"/>
      <c r="BM183" s="40"/>
      <c r="BN183" s="5"/>
      <c r="BP183" s="40"/>
      <c r="BQ183" s="5"/>
      <c r="BS183" s="40"/>
      <c r="BT183" s="5"/>
      <c r="BV183" s="40"/>
      <c r="BW183" s="5"/>
      <c r="BY183" s="40"/>
      <c r="BZ183" s="5"/>
      <c r="CB183" s="40"/>
      <c r="CC183" s="5"/>
      <c r="CE183" s="40"/>
      <c r="CF183" s="5"/>
      <c r="CH183" s="40"/>
      <c r="CI183" s="5"/>
      <c r="CK183" s="40"/>
      <c r="CL183" s="5"/>
      <c r="CN183" s="40"/>
      <c r="CO183" s="5"/>
      <c r="CQ183" s="40"/>
      <c r="CR183" s="5"/>
    </row>
    <row r="184">
      <c r="AL184" s="40"/>
      <c r="AM184" s="5"/>
      <c r="AO184" s="40"/>
      <c r="AP184" s="5"/>
      <c r="AR184" s="40"/>
      <c r="AS184" s="5"/>
      <c r="AU184" s="40"/>
      <c r="AV184" s="5"/>
      <c r="AX184" s="40"/>
      <c r="AY184" s="5"/>
      <c r="BA184" s="40"/>
      <c r="BB184" s="5"/>
      <c r="BD184" s="40"/>
      <c r="BE184" s="5"/>
      <c r="BG184" s="40"/>
      <c r="BH184" s="5"/>
      <c r="BJ184" s="40"/>
      <c r="BK184" s="5"/>
      <c r="BM184" s="40"/>
      <c r="BN184" s="5"/>
      <c r="BP184" s="40"/>
      <c r="BQ184" s="5"/>
      <c r="BS184" s="40"/>
      <c r="BT184" s="5"/>
      <c r="BV184" s="40"/>
      <c r="BW184" s="5"/>
      <c r="BY184" s="40"/>
      <c r="BZ184" s="5"/>
      <c r="CB184" s="40"/>
      <c r="CC184" s="5"/>
      <c r="CE184" s="40"/>
      <c r="CF184" s="5"/>
      <c r="CH184" s="40"/>
      <c r="CI184" s="5"/>
      <c r="CK184" s="40"/>
      <c r="CL184" s="5"/>
      <c r="CN184" s="40"/>
      <c r="CO184" s="5"/>
      <c r="CQ184" s="40"/>
      <c r="CR184" s="5"/>
    </row>
    <row r="185">
      <c r="AL185" s="40"/>
      <c r="AM185" s="5"/>
      <c r="AO185" s="40"/>
      <c r="AP185" s="5"/>
      <c r="AR185" s="40"/>
      <c r="AS185" s="5"/>
      <c r="AU185" s="40"/>
      <c r="AV185" s="5"/>
      <c r="AX185" s="40"/>
      <c r="AY185" s="5"/>
      <c r="BA185" s="40"/>
      <c r="BB185" s="5"/>
      <c r="BD185" s="40"/>
      <c r="BE185" s="5"/>
      <c r="BG185" s="40"/>
      <c r="BH185" s="5"/>
      <c r="BJ185" s="40"/>
      <c r="BK185" s="5"/>
      <c r="BM185" s="40"/>
      <c r="BN185" s="5"/>
      <c r="BP185" s="40"/>
      <c r="BQ185" s="5"/>
      <c r="BS185" s="40"/>
      <c r="BT185" s="5"/>
      <c r="BV185" s="40"/>
      <c r="BW185" s="5"/>
      <c r="BY185" s="40"/>
      <c r="BZ185" s="5"/>
      <c r="CB185" s="40"/>
      <c r="CC185" s="5"/>
      <c r="CE185" s="40"/>
      <c r="CF185" s="5"/>
      <c r="CH185" s="40"/>
      <c r="CI185" s="5"/>
      <c r="CK185" s="40"/>
      <c r="CL185" s="5"/>
      <c r="CN185" s="40"/>
      <c r="CO185" s="5"/>
      <c r="CQ185" s="40"/>
      <c r="CR185" s="5"/>
    </row>
    <row r="186">
      <c r="AL186" s="40"/>
      <c r="AM186" s="5"/>
      <c r="AO186" s="40"/>
      <c r="AP186" s="5"/>
      <c r="AR186" s="40"/>
      <c r="AS186" s="5"/>
      <c r="AU186" s="40"/>
      <c r="AV186" s="5"/>
      <c r="AX186" s="40"/>
      <c r="AY186" s="5"/>
      <c r="BA186" s="40"/>
      <c r="BB186" s="5"/>
      <c r="BD186" s="40"/>
      <c r="BE186" s="5"/>
      <c r="BG186" s="40"/>
      <c r="BH186" s="5"/>
      <c r="BJ186" s="40"/>
      <c r="BK186" s="5"/>
      <c r="BM186" s="40"/>
      <c r="BN186" s="5"/>
      <c r="BP186" s="40"/>
      <c r="BQ186" s="5"/>
      <c r="BS186" s="40"/>
      <c r="BT186" s="5"/>
      <c r="BV186" s="40"/>
      <c r="BW186" s="5"/>
      <c r="BY186" s="40"/>
      <c r="BZ186" s="5"/>
      <c r="CB186" s="40"/>
      <c r="CC186" s="5"/>
      <c r="CE186" s="40"/>
      <c r="CF186" s="5"/>
      <c r="CH186" s="40"/>
      <c r="CI186" s="5"/>
      <c r="CK186" s="40"/>
      <c r="CL186" s="5"/>
      <c r="CN186" s="40"/>
      <c r="CO186" s="5"/>
      <c r="CQ186" s="40"/>
      <c r="CR186" s="5"/>
    </row>
    <row r="187">
      <c r="AL187" s="40"/>
      <c r="AM187" s="5"/>
      <c r="AO187" s="40"/>
      <c r="AP187" s="5"/>
      <c r="AR187" s="40"/>
      <c r="AS187" s="5"/>
      <c r="AU187" s="40"/>
      <c r="AV187" s="5"/>
      <c r="AX187" s="40"/>
      <c r="AY187" s="5"/>
      <c r="BA187" s="40"/>
      <c r="BB187" s="5"/>
      <c r="BD187" s="40"/>
      <c r="BE187" s="5"/>
      <c r="BG187" s="40"/>
      <c r="BH187" s="5"/>
      <c r="BJ187" s="40"/>
      <c r="BK187" s="5"/>
      <c r="BM187" s="40"/>
      <c r="BN187" s="5"/>
      <c r="BP187" s="40"/>
      <c r="BQ187" s="5"/>
      <c r="BS187" s="40"/>
      <c r="BT187" s="5"/>
      <c r="BV187" s="40"/>
      <c r="BW187" s="5"/>
      <c r="BY187" s="40"/>
      <c r="BZ187" s="5"/>
      <c r="CB187" s="40"/>
      <c r="CC187" s="5"/>
      <c r="CE187" s="40"/>
      <c r="CF187" s="5"/>
      <c r="CH187" s="40"/>
      <c r="CI187" s="5"/>
      <c r="CK187" s="40"/>
      <c r="CL187" s="5"/>
      <c r="CN187" s="40"/>
      <c r="CO187" s="5"/>
      <c r="CQ187" s="40"/>
      <c r="CR187" s="5"/>
    </row>
    <row r="188">
      <c r="AL188" s="40"/>
      <c r="AM188" s="5"/>
      <c r="AO188" s="40"/>
      <c r="AP188" s="5"/>
      <c r="AR188" s="40"/>
      <c r="AS188" s="5"/>
      <c r="AU188" s="40"/>
      <c r="AV188" s="5"/>
      <c r="AX188" s="40"/>
      <c r="AY188" s="5"/>
      <c r="BA188" s="40"/>
      <c r="BB188" s="5"/>
      <c r="BD188" s="40"/>
      <c r="BE188" s="5"/>
      <c r="BG188" s="40"/>
      <c r="BH188" s="5"/>
      <c r="BJ188" s="40"/>
      <c r="BK188" s="5"/>
      <c r="BM188" s="40"/>
      <c r="BN188" s="5"/>
      <c r="BP188" s="40"/>
      <c r="BQ188" s="5"/>
      <c r="BS188" s="40"/>
      <c r="BT188" s="5"/>
      <c r="BV188" s="40"/>
      <c r="BW188" s="5"/>
      <c r="BY188" s="40"/>
      <c r="BZ188" s="5"/>
      <c r="CB188" s="40"/>
      <c r="CC188" s="5"/>
      <c r="CE188" s="40"/>
      <c r="CF188" s="5"/>
      <c r="CH188" s="40"/>
      <c r="CI188" s="5"/>
      <c r="CK188" s="40"/>
      <c r="CL188" s="5"/>
      <c r="CN188" s="40"/>
      <c r="CO188" s="5"/>
      <c r="CQ188" s="40"/>
      <c r="CR188" s="5"/>
    </row>
    <row r="189">
      <c r="AL189" s="40"/>
      <c r="AM189" s="5"/>
      <c r="AO189" s="40"/>
      <c r="AP189" s="5"/>
      <c r="AR189" s="40"/>
      <c r="AS189" s="5"/>
      <c r="AU189" s="40"/>
      <c r="AV189" s="5"/>
      <c r="AX189" s="40"/>
      <c r="AY189" s="5"/>
      <c r="BA189" s="40"/>
      <c r="BB189" s="5"/>
      <c r="BD189" s="40"/>
      <c r="BE189" s="5"/>
      <c r="BG189" s="40"/>
      <c r="BH189" s="5"/>
      <c r="BJ189" s="40"/>
      <c r="BK189" s="5"/>
      <c r="BM189" s="40"/>
      <c r="BN189" s="5"/>
      <c r="BP189" s="40"/>
      <c r="BQ189" s="5"/>
      <c r="BS189" s="40"/>
      <c r="BT189" s="5"/>
      <c r="BV189" s="40"/>
      <c r="BW189" s="5"/>
      <c r="BY189" s="40"/>
      <c r="BZ189" s="5"/>
      <c r="CB189" s="40"/>
      <c r="CC189" s="5"/>
      <c r="CE189" s="40"/>
      <c r="CF189" s="5"/>
      <c r="CH189" s="40"/>
      <c r="CI189" s="5"/>
      <c r="CK189" s="40"/>
      <c r="CL189" s="5"/>
      <c r="CN189" s="40"/>
      <c r="CO189" s="5"/>
      <c r="CQ189" s="40"/>
      <c r="CR189" s="5"/>
    </row>
    <row r="190">
      <c r="AL190" s="40"/>
      <c r="AM190" s="5"/>
      <c r="AO190" s="40"/>
      <c r="AP190" s="5"/>
      <c r="AR190" s="40"/>
      <c r="AS190" s="5"/>
      <c r="AU190" s="40"/>
      <c r="AV190" s="5"/>
      <c r="AX190" s="40"/>
      <c r="AY190" s="5"/>
      <c r="BA190" s="40"/>
      <c r="BB190" s="5"/>
      <c r="BD190" s="40"/>
      <c r="BE190" s="5"/>
      <c r="BG190" s="40"/>
      <c r="BH190" s="5"/>
      <c r="BJ190" s="40"/>
      <c r="BK190" s="5"/>
      <c r="BM190" s="40"/>
      <c r="BN190" s="5"/>
      <c r="BP190" s="40"/>
      <c r="BQ190" s="5"/>
      <c r="BS190" s="40"/>
      <c r="BT190" s="5"/>
      <c r="BV190" s="40"/>
      <c r="BW190" s="5"/>
      <c r="BY190" s="40"/>
      <c r="BZ190" s="5"/>
      <c r="CB190" s="40"/>
      <c r="CC190" s="5"/>
      <c r="CE190" s="40"/>
      <c r="CF190" s="5"/>
      <c r="CH190" s="40"/>
      <c r="CI190" s="5"/>
      <c r="CK190" s="40"/>
      <c r="CL190" s="5"/>
      <c r="CN190" s="40"/>
      <c r="CO190" s="5"/>
      <c r="CQ190" s="40"/>
      <c r="CR190" s="5"/>
    </row>
    <row r="191">
      <c r="AL191" s="40"/>
      <c r="AM191" s="5"/>
      <c r="AO191" s="40"/>
      <c r="AP191" s="5"/>
      <c r="AR191" s="40"/>
      <c r="AS191" s="5"/>
      <c r="AU191" s="40"/>
      <c r="AV191" s="5"/>
      <c r="AX191" s="40"/>
      <c r="AY191" s="5"/>
      <c r="BA191" s="40"/>
      <c r="BB191" s="5"/>
      <c r="BD191" s="40"/>
      <c r="BE191" s="5"/>
      <c r="BG191" s="40"/>
      <c r="BH191" s="5"/>
      <c r="BJ191" s="40"/>
      <c r="BK191" s="5"/>
      <c r="BM191" s="40"/>
      <c r="BN191" s="5"/>
      <c r="BP191" s="40"/>
      <c r="BQ191" s="5"/>
      <c r="BS191" s="40"/>
      <c r="BT191" s="5"/>
      <c r="BV191" s="40"/>
      <c r="BW191" s="5"/>
      <c r="BY191" s="40"/>
      <c r="BZ191" s="5"/>
      <c r="CB191" s="40"/>
      <c r="CC191" s="5"/>
      <c r="CE191" s="40"/>
      <c r="CF191" s="5"/>
      <c r="CH191" s="40"/>
      <c r="CI191" s="5"/>
      <c r="CK191" s="40"/>
      <c r="CL191" s="5"/>
      <c r="CN191" s="40"/>
      <c r="CO191" s="5"/>
      <c r="CQ191" s="40"/>
      <c r="CR191" s="5"/>
    </row>
    <row r="192">
      <c r="AL192" s="40"/>
      <c r="AM192" s="5"/>
      <c r="AO192" s="40"/>
      <c r="AP192" s="5"/>
      <c r="AR192" s="40"/>
      <c r="AS192" s="5"/>
      <c r="AU192" s="40"/>
      <c r="AV192" s="5"/>
      <c r="AX192" s="40"/>
      <c r="AY192" s="5"/>
      <c r="BA192" s="40"/>
      <c r="BB192" s="5"/>
      <c r="BD192" s="40"/>
      <c r="BE192" s="5"/>
      <c r="BG192" s="40"/>
      <c r="BH192" s="5"/>
      <c r="BJ192" s="40"/>
      <c r="BK192" s="5"/>
      <c r="BM192" s="40"/>
      <c r="BN192" s="5"/>
      <c r="BP192" s="40"/>
      <c r="BQ192" s="5"/>
      <c r="BS192" s="40"/>
      <c r="BT192" s="5"/>
      <c r="BV192" s="40"/>
      <c r="BW192" s="5"/>
      <c r="BY192" s="40"/>
      <c r="BZ192" s="5"/>
      <c r="CB192" s="40"/>
      <c r="CC192" s="5"/>
      <c r="CE192" s="40"/>
      <c r="CF192" s="5"/>
      <c r="CH192" s="40"/>
      <c r="CI192" s="5"/>
      <c r="CK192" s="40"/>
      <c r="CL192" s="5"/>
      <c r="CN192" s="40"/>
      <c r="CO192" s="5"/>
      <c r="CQ192" s="40"/>
      <c r="CR192" s="5"/>
    </row>
    <row r="193">
      <c r="AL193" s="40"/>
      <c r="AM193" s="5"/>
      <c r="AO193" s="40"/>
      <c r="AP193" s="5"/>
      <c r="AR193" s="40"/>
      <c r="AS193" s="5"/>
      <c r="AU193" s="40"/>
      <c r="AV193" s="5"/>
      <c r="AX193" s="40"/>
      <c r="AY193" s="5"/>
      <c r="BA193" s="40"/>
      <c r="BB193" s="5"/>
      <c r="BD193" s="40"/>
      <c r="BE193" s="5"/>
      <c r="BG193" s="40"/>
      <c r="BH193" s="5"/>
      <c r="BJ193" s="40"/>
      <c r="BK193" s="5"/>
      <c r="BM193" s="40"/>
      <c r="BN193" s="5"/>
      <c r="BP193" s="40"/>
      <c r="BQ193" s="5"/>
      <c r="BS193" s="40"/>
      <c r="BT193" s="5"/>
      <c r="BV193" s="40"/>
      <c r="BW193" s="5"/>
      <c r="BY193" s="40"/>
      <c r="BZ193" s="5"/>
      <c r="CB193" s="40"/>
      <c r="CC193" s="5"/>
      <c r="CE193" s="40"/>
      <c r="CF193" s="5"/>
      <c r="CH193" s="40"/>
      <c r="CI193" s="5"/>
      <c r="CK193" s="40"/>
      <c r="CL193" s="5"/>
      <c r="CN193" s="40"/>
      <c r="CO193" s="5"/>
      <c r="CQ193" s="40"/>
      <c r="CR193" s="5"/>
    </row>
    <row r="194">
      <c r="AL194" s="40"/>
      <c r="AM194" s="5"/>
      <c r="AO194" s="40"/>
      <c r="AP194" s="5"/>
      <c r="AR194" s="40"/>
      <c r="AS194" s="5"/>
      <c r="AU194" s="40"/>
      <c r="AV194" s="5"/>
      <c r="AX194" s="40"/>
      <c r="AY194" s="5"/>
      <c r="BA194" s="40"/>
      <c r="BB194" s="5"/>
      <c r="BD194" s="40"/>
      <c r="BE194" s="5"/>
      <c r="BG194" s="40"/>
      <c r="BH194" s="5"/>
      <c r="BJ194" s="40"/>
      <c r="BK194" s="5"/>
      <c r="BM194" s="40"/>
      <c r="BN194" s="5"/>
      <c r="BP194" s="40"/>
      <c r="BQ194" s="5"/>
      <c r="BS194" s="40"/>
      <c r="BT194" s="5"/>
      <c r="BV194" s="40"/>
      <c r="BW194" s="5"/>
      <c r="BY194" s="40"/>
      <c r="BZ194" s="5"/>
      <c r="CB194" s="40"/>
      <c r="CC194" s="5"/>
      <c r="CE194" s="40"/>
      <c r="CF194" s="5"/>
      <c r="CH194" s="40"/>
      <c r="CI194" s="5"/>
      <c r="CK194" s="40"/>
      <c r="CL194" s="5"/>
      <c r="CN194" s="40"/>
      <c r="CO194" s="5"/>
      <c r="CQ194" s="40"/>
      <c r="CR194" s="5"/>
    </row>
    <row r="195">
      <c r="AL195" s="40"/>
      <c r="AM195" s="5"/>
      <c r="AO195" s="40"/>
      <c r="AP195" s="5"/>
      <c r="AR195" s="40"/>
      <c r="AS195" s="5"/>
      <c r="AU195" s="40"/>
      <c r="AV195" s="5"/>
      <c r="AX195" s="40"/>
      <c r="AY195" s="5"/>
      <c r="BA195" s="40"/>
      <c r="BB195" s="5"/>
      <c r="BD195" s="40"/>
      <c r="BE195" s="5"/>
      <c r="BG195" s="40"/>
      <c r="BH195" s="5"/>
      <c r="BJ195" s="40"/>
      <c r="BK195" s="5"/>
      <c r="BM195" s="40"/>
      <c r="BN195" s="5"/>
      <c r="BP195" s="40"/>
      <c r="BQ195" s="5"/>
      <c r="BS195" s="40"/>
      <c r="BT195" s="5"/>
      <c r="BV195" s="40"/>
      <c r="BW195" s="5"/>
      <c r="BY195" s="40"/>
      <c r="BZ195" s="5"/>
      <c r="CB195" s="40"/>
      <c r="CC195" s="5"/>
      <c r="CE195" s="40"/>
      <c r="CF195" s="5"/>
      <c r="CH195" s="40"/>
      <c r="CI195" s="5"/>
      <c r="CK195" s="40"/>
      <c r="CL195" s="5"/>
      <c r="CN195" s="40"/>
      <c r="CO195" s="5"/>
      <c r="CQ195" s="40"/>
      <c r="CR195" s="5"/>
    </row>
    <row r="196">
      <c r="AL196" s="40"/>
      <c r="AM196" s="5"/>
      <c r="AO196" s="40"/>
      <c r="AP196" s="5"/>
      <c r="AR196" s="40"/>
      <c r="AS196" s="5"/>
      <c r="AU196" s="40"/>
      <c r="AV196" s="5"/>
      <c r="AX196" s="40"/>
      <c r="AY196" s="5"/>
      <c r="BA196" s="40"/>
      <c r="BB196" s="5"/>
      <c r="BD196" s="40"/>
      <c r="BE196" s="5"/>
      <c r="BG196" s="40"/>
      <c r="BH196" s="5"/>
      <c r="BJ196" s="40"/>
      <c r="BK196" s="5"/>
      <c r="BM196" s="40"/>
      <c r="BN196" s="5"/>
      <c r="BP196" s="40"/>
      <c r="BQ196" s="5"/>
      <c r="BS196" s="40"/>
      <c r="BT196" s="5"/>
      <c r="BV196" s="40"/>
      <c r="BW196" s="5"/>
      <c r="BY196" s="40"/>
      <c r="BZ196" s="5"/>
      <c r="CB196" s="40"/>
      <c r="CC196" s="5"/>
      <c r="CE196" s="40"/>
      <c r="CF196" s="5"/>
      <c r="CH196" s="40"/>
      <c r="CI196" s="5"/>
      <c r="CK196" s="40"/>
      <c r="CL196" s="5"/>
      <c r="CN196" s="40"/>
      <c r="CO196" s="5"/>
      <c r="CQ196" s="40"/>
      <c r="CR196" s="5"/>
    </row>
    <row r="197">
      <c r="AL197" s="40"/>
      <c r="AM197" s="5"/>
      <c r="AO197" s="40"/>
      <c r="AP197" s="5"/>
      <c r="AR197" s="40"/>
      <c r="AS197" s="5"/>
      <c r="AU197" s="40"/>
      <c r="AV197" s="5"/>
      <c r="AX197" s="40"/>
      <c r="AY197" s="5"/>
      <c r="BA197" s="40"/>
      <c r="BB197" s="5"/>
      <c r="BD197" s="40"/>
      <c r="BE197" s="5"/>
      <c r="BG197" s="40"/>
      <c r="BH197" s="5"/>
      <c r="BJ197" s="40"/>
      <c r="BK197" s="5"/>
      <c r="BM197" s="40"/>
      <c r="BN197" s="5"/>
      <c r="BP197" s="40"/>
      <c r="BQ197" s="5"/>
      <c r="BS197" s="40"/>
      <c r="BT197" s="5"/>
      <c r="BV197" s="40"/>
      <c r="BW197" s="5"/>
      <c r="BY197" s="40"/>
      <c r="BZ197" s="5"/>
      <c r="CB197" s="40"/>
      <c r="CC197" s="5"/>
      <c r="CE197" s="40"/>
      <c r="CF197" s="5"/>
      <c r="CH197" s="40"/>
      <c r="CI197" s="5"/>
      <c r="CK197" s="40"/>
      <c r="CL197" s="5"/>
      <c r="CN197" s="40"/>
      <c r="CO197" s="5"/>
      <c r="CQ197" s="40"/>
      <c r="CR197" s="5"/>
    </row>
    <row r="198">
      <c r="AL198" s="40"/>
      <c r="AM198" s="5"/>
      <c r="AO198" s="40"/>
      <c r="AP198" s="5"/>
      <c r="AR198" s="40"/>
      <c r="AS198" s="5"/>
      <c r="AU198" s="40"/>
      <c r="AV198" s="5"/>
      <c r="AX198" s="40"/>
      <c r="AY198" s="5"/>
      <c r="BA198" s="40"/>
      <c r="BB198" s="5"/>
      <c r="BD198" s="40"/>
      <c r="BE198" s="5"/>
      <c r="BG198" s="40"/>
      <c r="BH198" s="5"/>
      <c r="BJ198" s="40"/>
      <c r="BK198" s="5"/>
      <c r="BM198" s="40"/>
      <c r="BN198" s="5"/>
      <c r="BP198" s="40"/>
      <c r="BQ198" s="5"/>
      <c r="BS198" s="40"/>
      <c r="BT198" s="5"/>
      <c r="BV198" s="40"/>
      <c r="BW198" s="5"/>
      <c r="BY198" s="40"/>
      <c r="BZ198" s="5"/>
      <c r="CB198" s="40"/>
      <c r="CC198" s="5"/>
      <c r="CE198" s="40"/>
      <c r="CF198" s="5"/>
      <c r="CH198" s="40"/>
      <c r="CI198" s="5"/>
      <c r="CK198" s="40"/>
      <c r="CL198" s="5"/>
      <c r="CN198" s="40"/>
      <c r="CO198" s="5"/>
      <c r="CQ198" s="40"/>
      <c r="CR198" s="5"/>
    </row>
    <row r="199">
      <c r="AL199" s="40"/>
      <c r="AM199" s="5"/>
      <c r="AO199" s="40"/>
      <c r="AP199" s="5"/>
      <c r="AR199" s="40"/>
      <c r="AS199" s="5"/>
      <c r="AU199" s="40"/>
      <c r="AV199" s="5"/>
      <c r="AX199" s="40"/>
      <c r="AY199" s="5"/>
      <c r="BA199" s="40"/>
      <c r="BB199" s="5"/>
      <c r="BD199" s="40"/>
      <c r="BE199" s="5"/>
      <c r="BG199" s="40"/>
      <c r="BH199" s="5"/>
      <c r="BJ199" s="40"/>
      <c r="BK199" s="5"/>
      <c r="BM199" s="40"/>
      <c r="BN199" s="5"/>
      <c r="BP199" s="40"/>
      <c r="BQ199" s="5"/>
      <c r="BS199" s="40"/>
      <c r="BT199" s="5"/>
      <c r="BV199" s="40"/>
      <c r="BW199" s="5"/>
      <c r="BY199" s="40"/>
      <c r="BZ199" s="5"/>
      <c r="CB199" s="40"/>
      <c r="CC199" s="5"/>
      <c r="CE199" s="40"/>
      <c r="CF199" s="5"/>
      <c r="CH199" s="40"/>
      <c r="CI199" s="5"/>
      <c r="CK199" s="40"/>
      <c r="CL199" s="5"/>
      <c r="CN199" s="40"/>
      <c r="CO199" s="5"/>
      <c r="CQ199" s="40"/>
      <c r="CR199" s="5"/>
    </row>
    <row r="200">
      <c r="AL200" s="40"/>
      <c r="AM200" s="5"/>
      <c r="AO200" s="40"/>
      <c r="AP200" s="5"/>
      <c r="AR200" s="40"/>
      <c r="AS200" s="5"/>
      <c r="AU200" s="40"/>
      <c r="AV200" s="5"/>
      <c r="AX200" s="40"/>
      <c r="AY200" s="5"/>
      <c r="BA200" s="40"/>
      <c r="BB200" s="5"/>
      <c r="BD200" s="40"/>
      <c r="BE200" s="5"/>
      <c r="BG200" s="40"/>
      <c r="BH200" s="5"/>
      <c r="BJ200" s="40"/>
      <c r="BK200" s="5"/>
      <c r="BM200" s="40"/>
      <c r="BN200" s="5"/>
      <c r="BP200" s="40"/>
      <c r="BQ200" s="5"/>
      <c r="BS200" s="40"/>
      <c r="BT200" s="5"/>
      <c r="BV200" s="40"/>
      <c r="BW200" s="5"/>
      <c r="BY200" s="40"/>
      <c r="BZ200" s="5"/>
      <c r="CB200" s="40"/>
      <c r="CC200" s="5"/>
      <c r="CE200" s="40"/>
      <c r="CF200" s="5"/>
      <c r="CH200" s="40"/>
      <c r="CI200" s="5"/>
      <c r="CK200" s="40"/>
      <c r="CL200" s="5"/>
      <c r="CN200" s="40"/>
      <c r="CO200" s="5"/>
      <c r="CQ200" s="40"/>
      <c r="CR200" s="5"/>
    </row>
    <row r="201">
      <c r="AL201" s="40"/>
      <c r="AM201" s="5"/>
      <c r="AO201" s="40"/>
      <c r="AP201" s="5"/>
      <c r="AR201" s="40"/>
      <c r="AS201" s="5"/>
      <c r="AU201" s="40"/>
      <c r="AV201" s="5"/>
      <c r="AX201" s="40"/>
      <c r="AY201" s="5"/>
      <c r="BA201" s="40"/>
      <c r="BB201" s="5"/>
      <c r="BD201" s="40"/>
      <c r="BE201" s="5"/>
      <c r="BG201" s="40"/>
      <c r="BH201" s="5"/>
      <c r="BJ201" s="40"/>
      <c r="BK201" s="5"/>
      <c r="BM201" s="40"/>
      <c r="BN201" s="5"/>
      <c r="BP201" s="40"/>
      <c r="BQ201" s="5"/>
      <c r="BS201" s="40"/>
      <c r="BT201" s="5"/>
      <c r="BV201" s="40"/>
      <c r="BW201" s="5"/>
      <c r="BY201" s="40"/>
      <c r="BZ201" s="5"/>
      <c r="CB201" s="40"/>
      <c r="CC201" s="5"/>
      <c r="CE201" s="40"/>
      <c r="CF201" s="5"/>
      <c r="CH201" s="40"/>
      <c r="CI201" s="5"/>
      <c r="CK201" s="40"/>
      <c r="CL201" s="5"/>
      <c r="CN201" s="40"/>
      <c r="CO201" s="5"/>
      <c r="CQ201" s="40"/>
      <c r="CR201" s="5"/>
    </row>
    <row r="202">
      <c r="AL202" s="40"/>
      <c r="AM202" s="5"/>
      <c r="AO202" s="40"/>
      <c r="AP202" s="5"/>
      <c r="AR202" s="40"/>
      <c r="AS202" s="5"/>
      <c r="AU202" s="40"/>
      <c r="AV202" s="5"/>
      <c r="AX202" s="40"/>
      <c r="AY202" s="5"/>
      <c r="BA202" s="40"/>
      <c r="BB202" s="5"/>
      <c r="BD202" s="40"/>
      <c r="BE202" s="5"/>
      <c r="BG202" s="40"/>
      <c r="BH202" s="5"/>
      <c r="BJ202" s="40"/>
      <c r="BK202" s="5"/>
      <c r="BM202" s="40"/>
      <c r="BN202" s="5"/>
      <c r="BP202" s="40"/>
      <c r="BQ202" s="5"/>
      <c r="BS202" s="40"/>
      <c r="BT202" s="5"/>
      <c r="BV202" s="40"/>
      <c r="BW202" s="5"/>
      <c r="BY202" s="40"/>
      <c r="BZ202" s="5"/>
      <c r="CB202" s="40"/>
      <c r="CC202" s="5"/>
      <c r="CE202" s="40"/>
      <c r="CF202" s="5"/>
      <c r="CH202" s="40"/>
      <c r="CI202" s="5"/>
      <c r="CK202" s="40"/>
      <c r="CL202" s="5"/>
      <c r="CN202" s="40"/>
      <c r="CO202" s="5"/>
      <c r="CQ202" s="40"/>
      <c r="CR202" s="5"/>
    </row>
    <row r="203">
      <c r="AL203" s="40"/>
      <c r="AM203" s="5"/>
      <c r="AO203" s="40"/>
      <c r="AP203" s="5"/>
      <c r="AR203" s="40"/>
      <c r="AS203" s="5"/>
      <c r="AU203" s="40"/>
      <c r="AV203" s="5"/>
      <c r="AX203" s="40"/>
      <c r="AY203" s="5"/>
      <c r="BA203" s="40"/>
      <c r="BB203" s="5"/>
      <c r="BD203" s="40"/>
      <c r="BE203" s="5"/>
      <c r="BG203" s="40"/>
      <c r="BH203" s="5"/>
      <c r="BJ203" s="40"/>
      <c r="BK203" s="5"/>
      <c r="BM203" s="40"/>
      <c r="BN203" s="5"/>
      <c r="BP203" s="40"/>
      <c r="BQ203" s="5"/>
      <c r="BS203" s="40"/>
      <c r="BT203" s="5"/>
      <c r="BV203" s="40"/>
      <c r="BW203" s="5"/>
      <c r="BY203" s="40"/>
      <c r="BZ203" s="5"/>
      <c r="CB203" s="40"/>
      <c r="CC203" s="5"/>
      <c r="CE203" s="40"/>
      <c r="CF203" s="5"/>
      <c r="CH203" s="40"/>
      <c r="CI203" s="5"/>
      <c r="CK203" s="40"/>
      <c r="CL203" s="5"/>
      <c r="CN203" s="40"/>
      <c r="CO203" s="5"/>
      <c r="CQ203" s="40"/>
      <c r="CR203" s="5"/>
    </row>
    <row r="204">
      <c r="AL204" s="40"/>
      <c r="AM204" s="5"/>
      <c r="AO204" s="40"/>
      <c r="AP204" s="5"/>
      <c r="AR204" s="40"/>
      <c r="AS204" s="5"/>
      <c r="AU204" s="40"/>
      <c r="AV204" s="5"/>
      <c r="AX204" s="40"/>
      <c r="AY204" s="5"/>
      <c r="BA204" s="40"/>
      <c r="BB204" s="5"/>
      <c r="BD204" s="40"/>
      <c r="BE204" s="5"/>
      <c r="BG204" s="40"/>
      <c r="BH204" s="5"/>
      <c r="BJ204" s="40"/>
      <c r="BK204" s="5"/>
      <c r="BM204" s="40"/>
      <c r="BN204" s="5"/>
      <c r="BP204" s="40"/>
      <c r="BQ204" s="5"/>
      <c r="BS204" s="40"/>
      <c r="BT204" s="5"/>
      <c r="BV204" s="40"/>
      <c r="BW204" s="5"/>
      <c r="BY204" s="40"/>
      <c r="BZ204" s="5"/>
      <c r="CB204" s="40"/>
      <c r="CC204" s="5"/>
      <c r="CE204" s="40"/>
      <c r="CF204" s="5"/>
      <c r="CH204" s="40"/>
      <c r="CI204" s="5"/>
      <c r="CK204" s="40"/>
      <c r="CL204" s="5"/>
      <c r="CN204" s="40"/>
      <c r="CO204" s="5"/>
      <c r="CQ204" s="40"/>
      <c r="CR204" s="5"/>
    </row>
    <row r="205">
      <c r="AL205" s="40"/>
      <c r="AM205" s="5"/>
      <c r="AO205" s="40"/>
      <c r="AP205" s="5"/>
      <c r="AR205" s="40"/>
      <c r="AS205" s="5"/>
      <c r="AU205" s="40"/>
      <c r="AV205" s="5"/>
      <c r="AX205" s="40"/>
      <c r="AY205" s="5"/>
      <c r="BA205" s="40"/>
      <c r="BB205" s="5"/>
      <c r="BD205" s="40"/>
      <c r="BE205" s="5"/>
      <c r="BG205" s="40"/>
      <c r="BH205" s="5"/>
      <c r="BJ205" s="40"/>
      <c r="BK205" s="5"/>
      <c r="BM205" s="40"/>
      <c r="BN205" s="5"/>
      <c r="BP205" s="40"/>
      <c r="BQ205" s="5"/>
      <c r="BS205" s="40"/>
      <c r="BT205" s="5"/>
      <c r="BV205" s="40"/>
      <c r="BW205" s="5"/>
      <c r="BY205" s="40"/>
      <c r="BZ205" s="5"/>
      <c r="CB205" s="40"/>
      <c r="CC205" s="5"/>
      <c r="CE205" s="40"/>
      <c r="CF205" s="5"/>
      <c r="CH205" s="40"/>
      <c r="CI205" s="5"/>
      <c r="CK205" s="40"/>
      <c r="CL205" s="5"/>
      <c r="CN205" s="40"/>
      <c r="CO205" s="5"/>
      <c r="CQ205" s="40"/>
      <c r="CR205" s="5"/>
    </row>
    <row r="206">
      <c r="AL206" s="40"/>
      <c r="AM206" s="5"/>
      <c r="AO206" s="40"/>
      <c r="AP206" s="5"/>
      <c r="AR206" s="40"/>
      <c r="AS206" s="5"/>
      <c r="AU206" s="40"/>
      <c r="AV206" s="5"/>
      <c r="AX206" s="40"/>
      <c r="AY206" s="5"/>
      <c r="BA206" s="40"/>
      <c r="BB206" s="5"/>
      <c r="BD206" s="40"/>
      <c r="BE206" s="5"/>
      <c r="BG206" s="40"/>
      <c r="BH206" s="5"/>
      <c r="BJ206" s="40"/>
      <c r="BK206" s="5"/>
      <c r="BM206" s="40"/>
      <c r="BN206" s="5"/>
      <c r="BP206" s="40"/>
      <c r="BQ206" s="5"/>
      <c r="BS206" s="40"/>
      <c r="BT206" s="5"/>
      <c r="BV206" s="40"/>
      <c r="BW206" s="5"/>
      <c r="BY206" s="40"/>
      <c r="BZ206" s="5"/>
      <c r="CB206" s="40"/>
      <c r="CC206" s="5"/>
      <c r="CE206" s="40"/>
      <c r="CF206" s="5"/>
      <c r="CH206" s="40"/>
      <c r="CI206" s="5"/>
      <c r="CK206" s="40"/>
      <c r="CL206" s="5"/>
      <c r="CN206" s="40"/>
      <c r="CO206" s="5"/>
      <c r="CQ206" s="40"/>
      <c r="CR206" s="5"/>
    </row>
    <row r="207">
      <c r="AL207" s="40"/>
      <c r="AM207" s="5"/>
      <c r="AO207" s="40"/>
      <c r="AP207" s="5"/>
      <c r="AR207" s="40"/>
      <c r="AS207" s="5"/>
      <c r="AU207" s="40"/>
      <c r="AV207" s="5"/>
      <c r="AX207" s="40"/>
      <c r="AY207" s="5"/>
      <c r="BA207" s="40"/>
      <c r="BB207" s="5"/>
      <c r="BD207" s="40"/>
      <c r="BE207" s="5"/>
      <c r="BG207" s="40"/>
      <c r="BH207" s="5"/>
      <c r="BJ207" s="40"/>
      <c r="BK207" s="5"/>
      <c r="BM207" s="40"/>
      <c r="BN207" s="5"/>
      <c r="BP207" s="40"/>
      <c r="BQ207" s="5"/>
      <c r="BS207" s="40"/>
      <c r="BT207" s="5"/>
      <c r="BV207" s="40"/>
      <c r="BW207" s="5"/>
      <c r="BY207" s="40"/>
      <c r="BZ207" s="5"/>
      <c r="CB207" s="40"/>
      <c r="CC207" s="5"/>
      <c r="CE207" s="40"/>
      <c r="CF207" s="5"/>
      <c r="CH207" s="40"/>
      <c r="CI207" s="5"/>
      <c r="CK207" s="40"/>
      <c r="CL207" s="5"/>
      <c r="CN207" s="40"/>
      <c r="CO207" s="5"/>
      <c r="CQ207" s="40"/>
      <c r="CR207" s="5"/>
    </row>
    <row r="208">
      <c r="AL208" s="40"/>
      <c r="AM208" s="5"/>
      <c r="AO208" s="40"/>
      <c r="AP208" s="5"/>
      <c r="AR208" s="40"/>
      <c r="AS208" s="5"/>
      <c r="AU208" s="40"/>
      <c r="AV208" s="5"/>
      <c r="AX208" s="40"/>
      <c r="AY208" s="5"/>
      <c r="BA208" s="40"/>
      <c r="BB208" s="5"/>
      <c r="BD208" s="40"/>
      <c r="BE208" s="5"/>
      <c r="BG208" s="40"/>
      <c r="BH208" s="5"/>
      <c r="BJ208" s="40"/>
      <c r="BK208" s="5"/>
      <c r="BM208" s="40"/>
      <c r="BN208" s="5"/>
      <c r="BP208" s="40"/>
      <c r="BQ208" s="5"/>
      <c r="BS208" s="40"/>
      <c r="BT208" s="5"/>
      <c r="BV208" s="40"/>
      <c r="BW208" s="5"/>
      <c r="BY208" s="40"/>
      <c r="BZ208" s="5"/>
      <c r="CB208" s="40"/>
      <c r="CC208" s="5"/>
      <c r="CE208" s="40"/>
      <c r="CF208" s="5"/>
      <c r="CH208" s="40"/>
      <c r="CI208" s="5"/>
      <c r="CK208" s="40"/>
      <c r="CL208" s="5"/>
      <c r="CN208" s="40"/>
      <c r="CO208" s="5"/>
      <c r="CQ208" s="40"/>
      <c r="CR208" s="5"/>
    </row>
    <row r="209">
      <c r="AL209" s="40"/>
      <c r="AM209" s="5"/>
      <c r="AO209" s="40"/>
      <c r="AP209" s="5"/>
      <c r="AR209" s="40"/>
      <c r="AS209" s="5"/>
      <c r="AU209" s="40"/>
      <c r="AV209" s="5"/>
      <c r="AX209" s="40"/>
      <c r="AY209" s="5"/>
      <c r="BA209" s="40"/>
      <c r="BB209" s="5"/>
      <c r="BD209" s="40"/>
      <c r="BE209" s="5"/>
      <c r="BG209" s="40"/>
      <c r="BH209" s="5"/>
      <c r="BJ209" s="40"/>
      <c r="BK209" s="5"/>
      <c r="BM209" s="40"/>
      <c r="BN209" s="5"/>
      <c r="BP209" s="40"/>
      <c r="BQ209" s="5"/>
      <c r="BS209" s="40"/>
      <c r="BT209" s="5"/>
      <c r="BV209" s="40"/>
      <c r="BW209" s="5"/>
      <c r="BY209" s="40"/>
      <c r="BZ209" s="5"/>
      <c r="CB209" s="40"/>
      <c r="CC209" s="5"/>
      <c r="CE209" s="40"/>
      <c r="CF209" s="5"/>
      <c r="CH209" s="40"/>
      <c r="CI209" s="5"/>
      <c r="CK209" s="40"/>
      <c r="CL209" s="5"/>
      <c r="CN209" s="40"/>
      <c r="CO209" s="5"/>
      <c r="CQ209" s="40"/>
      <c r="CR209" s="5"/>
    </row>
    <row r="210">
      <c r="AL210" s="40"/>
      <c r="AM210" s="5"/>
      <c r="AO210" s="40"/>
      <c r="AP210" s="5"/>
      <c r="AR210" s="40"/>
      <c r="AS210" s="5"/>
      <c r="AU210" s="40"/>
      <c r="AV210" s="5"/>
      <c r="AX210" s="40"/>
      <c r="AY210" s="5"/>
      <c r="BA210" s="40"/>
      <c r="BB210" s="5"/>
      <c r="BD210" s="40"/>
      <c r="BE210" s="5"/>
      <c r="BG210" s="40"/>
      <c r="BH210" s="5"/>
      <c r="BJ210" s="40"/>
      <c r="BK210" s="5"/>
      <c r="BM210" s="40"/>
      <c r="BN210" s="5"/>
      <c r="BP210" s="40"/>
      <c r="BQ210" s="5"/>
      <c r="BS210" s="40"/>
      <c r="BT210" s="5"/>
      <c r="BV210" s="40"/>
      <c r="BW210" s="5"/>
      <c r="BY210" s="40"/>
      <c r="BZ210" s="5"/>
      <c r="CB210" s="40"/>
      <c r="CC210" s="5"/>
      <c r="CE210" s="40"/>
      <c r="CF210" s="5"/>
      <c r="CH210" s="40"/>
      <c r="CI210" s="5"/>
      <c r="CK210" s="40"/>
      <c r="CL210" s="5"/>
      <c r="CN210" s="40"/>
      <c r="CO210" s="5"/>
      <c r="CQ210" s="40"/>
      <c r="CR210" s="5"/>
    </row>
    <row r="211">
      <c r="AL211" s="40"/>
      <c r="AM211" s="5"/>
      <c r="AO211" s="40"/>
      <c r="AP211" s="5"/>
      <c r="AR211" s="40"/>
      <c r="AS211" s="5"/>
      <c r="AU211" s="40"/>
      <c r="AV211" s="5"/>
      <c r="AX211" s="40"/>
      <c r="AY211" s="5"/>
      <c r="BA211" s="40"/>
      <c r="BB211" s="5"/>
      <c r="BD211" s="40"/>
      <c r="BE211" s="5"/>
      <c r="BG211" s="40"/>
      <c r="BH211" s="5"/>
      <c r="BJ211" s="40"/>
      <c r="BK211" s="5"/>
      <c r="BM211" s="40"/>
      <c r="BN211" s="5"/>
      <c r="BP211" s="40"/>
      <c r="BQ211" s="5"/>
      <c r="BS211" s="40"/>
      <c r="BT211" s="5"/>
      <c r="BV211" s="40"/>
      <c r="BW211" s="5"/>
      <c r="BY211" s="40"/>
      <c r="BZ211" s="5"/>
      <c r="CB211" s="40"/>
      <c r="CC211" s="5"/>
      <c r="CE211" s="40"/>
      <c r="CF211" s="5"/>
      <c r="CH211" s="40"/>
      <c r="CI211" s="5"/>
      <c r="CK211" s="40"/>
      <c r="CL211" s="5"/>
      <c r="CN211" s="40"/>
      <c r="CO211" s="5"/>
      <c r="CQ211" s="40"/>
      <c r="CR211" s="5"/>
    </row>
    <row r="212">
      <c r="AL212" s="40"/>
      <c r="AM212" s="5"/>
      <c r="AO212" s="40"/>
      <c r="AP212" s="5"/>
      <c r="AR212" s="40"/>
      <c r="AS212" s="5"/>
      <c r="AU212" s="40"/>
      <c r="AV212" s="5"/>
      <c r="AX212" s="40"/>
      <c r="AY212" s="5"/>
      <c r="BA212" s="40"/>
      <c r="BB212" s="5"/>
      <c r="BD212" s="40"/>
      <c r="BE212" s="5"/>
      <c r="BG212" s="40"/>
      <c r="BH212" s="5"/>
      <c r="BJ212" s="40"/>
      <c r="BK212" s="5"/>
      <c r="BM212" s="40"/>
      <c r="BN212" s="5"/>
      <c r="BP212" s="40"/>
      <c r="BQ212" s="5"/>
      <c r="BS212" s="40"/>
      <c r="BT212" s="5"/>
      <c r="BV212" s="40"/>
      <c r="BW212" s="5"/>
      <c r="BY212" s="40"/>
      <c r="BZ212" s="5"/>
      <c r="CB212" s="40"/>
      <c r="CC212" s="5"/>
      <c r="CE212" s="40"/>
      <c r="CF212" s="5"/>
      <c r="CH212" s="40"/>
      <c r="CI212" s="5"/>
      <c r="CK212" s="40"/>
      <c r="CL212" s="5"/>
      <c r="CN212" s="40"/>
      <c r="CO212" s="5"/>
      <c r="CQ212" s="40"/>
      <c r="CR212" s="5"/>
    </row>
    <row r="213">
      <c r="AL213" s="40"/>
      <c r="AM213" s="5"/>
      <c r="AO213" s="40"/>
      <c r="AP213" s="5"/>
      <c r="AR213" s="40"/>
      <c r="AS213" s="5"/>
      <c r="AU213" s="40"/>
      <c r="AV213" s="5"/>
      <c r="AX213" s="40"/>
      <c r="AY213" s="5"/>
      <c r="BA213" s="40"/>
      <c r="BB213" s="5"/>
      <c r="BD213" s="40"/>
      <c r="BE213" s="5"/>
      <c r="BG213" s="40"/>
      <c r="BH213" s="5"/>
      <c r="BJ213" s="40"/>
      <c r="BK213" s="5"/>
      <c r="BM213" s="40"/>
      <c r="BN213" s="5"/>
      <c r="BP213" s="40"/>
      <c r="BQ213" s="5"/>
      <c r="BS213" s="40"/>
      <c r="BT213" s="5"/>
      <c r="BV213" s="40"/>
      <c r="BW213" s="5"/>
      <c r="BY213" s="40"/>
      <c r="BZ213" s="5"/>
      <c r="CB213" s="40"/>
      <c r="CC213" s="5"/>
      <c r="CE213" s="40"/>
      <c r="CF213" s="5"/>
      <c r="CH213" s="40"/>
      <c r="CI213" s="5"/>
      <c r="CK213" s="40"/>
      <c r="CL213" s="5"/>
      <c r="CN213" s="40"/>
      <c r="CO213" s="5"/>
      <c r="CQ213" s="40"/>
      <c r="CR213" s="5"/>
    </row>
    <row r="214">
      <c r="AL214" s="40"/>
      <c r="AM214" s="5"/>
      <c r="AO214" s="40"/>
      <c r="AP214" s="5"/>
      <c r="AR214" s="40"/>
      <c r="AS214" s="5"/>
      <c r="AU214" s="40"/>
      <c r="AV214" s="5"/>
      <c r="AX214" s="40"/>
      <c r="AY214" s="5"/>
      <c r="BA214" s="40"/>
      <c r="BB214" s="5"/>
      <c r="BD214" s="40"/>
      <c r="BE214" s="5"/>
      <c r="BG214" s="40"/>
      <c r="BH214" s="5"/>
      <c r="BJ214" s="40"/>
      <c r="BK214" s="5"/>
      <c r="BM214" s="40"/>
      <c r="BN214" s="5"/>
      <c r="BP214" s="40"/>
      <c r="BQ214" s="5"/>
      <c r="BS214" s="40"/>
      <c r="BT214" s="5"/>
      <c r="BV214" s="40"/>
      <c r="BW214" s="5"/>
      <c r="BY214" s="40"/>
      <c r="BZ214" s="5"/>
      <c r="CB214" s="40"/>
      <c r="CC214" s="5"/>
      <c r="CE214" s="40"/>
      <c r="CF214" s="5"/>
      <c r="CH214" s="40"/>
      <c r="CI214" s="5"/>
      <c r="CK214" s="40"/>
      <c r="CL214" s="5"/>
      <c r="CN214" s="40"/>
      <c r="CO214" s="5"/>
      <c r="CQ214" s="40"/>
      <c r="CR214" s="5"/>
    </row>
    <row r="215">
      <c r="AL215" s="40"/>
      <c r="AM215" s="5"/>
      <c r="AO215" s="40"/>
      <c r="AP215" s="5"/>
      <c r="AR215" s="40"/>
      <c r="AS215" s="5"/>
      <c r="AU215" s="40"/>
      <c r="AV215" s="5"/>
      <c r="AX215" s="40"/>
      <c r="AY215" s="5"/>
      <c r="BA215" s="40"/>
      <c r="BB215" s="5"/>
      <c r="BD215" s="40"/>
      <c r="BE215" s="5"/>
      <c r="BG215" s="40"/>
      <c r="BH215" s="5"/>
      <c r="BJ215" s="40"/>
      <c r="BK215" s="5"/>
      <c r="BM215" s="40"/>
      <c r="BN215" s="5"/>
      <c r="BP215" s="40"/>
      <c r="BQ215" s="5"/>
      <c r="BS215" s="40"/>
      <c r="BT215" s="5"/>
      <c r="BV215" s="40"/>
      <c r="BW215" s="5"/>
      <c r="BY215" s="40"/>
      <c r="BZ215" s="5"/>
      <c r="CB215" s="40"/>
      <c r="CC215" s="5"/>
      <c r="CE215" s="40"/>
      <c r="CF215" s="5"/>
      <c r="CH215" s="40"/>
      <c r="CI215" s="5"/>
      <c r="CK215" s="40"/>
      <c r="CL215" s="5"/>
      <c r="CN215" s="40"/>
      <c r="CO215" s="5"/>
      <c r="CQ215" s="40"/>
      <c r="CR215" s="5"/>
    </row>
    <row r="216">
      <c r="AL216" s="40"/>
      <c r="AM216" s="5"/>
      <c r="AO216" s="40"/>
      <c r="AP216" s="5"/>
      <c r="AR216" s="40"/>
      <c r="AS216" s="5"/>
      <c r="AU216" s="40"/>
      <c r="AV216" s="5"/>
      <c r="AX216" s="40"/>
      <c r="AY216" s="5"/>
      <c r="BA216" s="40"/>
      <c r="BB216" s="5"/>
      <c r="BD216" s="40"/>
      <c r="BE216" s="5"/>
      <c r="BG216" s="40"/>
      <c r="BH216" s="5"/>
      <c r="BJ216" s="40"/>
      <c r="BK216" s="5"/>
      <c r="BM216" s="40"/>
      <c r="BN216" s="5"/>
      <c r="BP216" s="40"/>
      <c r="BQ216" s="5"/>
      <c r="BS216" s="40"/>
      <c r="BT216" s="5"/>
      <c r="BV216" s="40"/>
      <c r="BW216" s="5"/>
      <c r="BY216" s="40"/>
      <c r="BZ216" s="5"/>
      <c r="CB216" s="40"/>
      <c r="CC216" s="5"/>
      <c r="CE216" s="40"/>
      <c r="CF216" s="5"/>
      <c r="CH216" s="40"/>
      <c r="CI216" s="5"/>
      <c r="CK216" s="40"/>
      <c r="CL216" s="5"/>
      <c r="CN216" s="40"/>
      <c r="CO216" s="5"/>
      <c r="CQ216" s="40"/>
      <c r="CR216" s="5"/>
    </row>
    <row r="217">
      <c r="AL217" s="40"/>
      <c r="AM217" s="5"/>
      <c r="AO217" s="40"/>
      <c r="AP217" s="5"/>
      <c r="AR217" s="40"/>
      <c r="AS217" s="5"/>
      <c r="AU217" s="40"/>
      <c r="AV217" s="5"/>
      <c r="AX217" s="40"/>
      <c r="AY217" s="5"/>
      <c r="BA217" s="40"/>
      <c r="BB217" s="5"/>
      <c r="BD217" s="40"/>
      <c r="BE217" s="5"/>
      <c r="BG217" s="40"/>
      <c r="BH217" s="5"/>
      <c r="BJ217" s="40"/>
      <c r="BK217" s="5"/>
      <c r="BM217" s="40"/>
      <c r="BN217" s="5"/>
      <c r="BP217" s="40"/>
      <c r="BQ217" s="5"/>
      <c r="BS217" s="40"/>
      <c r="BT217" s="5"/>
      <c r="BV217" s="40"/>
      <c r="BW217" s="5"/>
      <c r="BY217" s="40"/>
      <c r="BZ217" s="5"/>
      <c r="CB217" s="40"/>
      <c r="CC217" s="5"/>
      <c r="CE217" s="40"/>
      <c r="CF217" s="5"/>
      <c r="CH217" s="40"/>
      <c r="CI217" s="5"/>
      <c r="CK217" s="40"/>
      <c r="CL217" s="5"/>
      <c r="CN217" s="40"/>
      <c r="CO217" s="5"/>
      <c r="CQ217" s="40"/>
      <c r="CR217" s="5"/>
    </row>
    <row r="218">
      <c r="AL218" s="40"/>
      <c r="AM218" s="5"/>
      <c r="AO218" s="40"/>
      <c r="AP218" s="5"/>
      <c r="AR218" s="40"/>
      <c r="AS218" s="5"/>
      <c r="AU218" s="40"/>
      <c r="AV218" s="5"/>
      <c r="AX218" s="40"/>
      <c r="AY218" s="5"/>
      <c r="BA218" s="40"/>
      <c r="BB218" s="5"/>
      <c r="BD218" s="40"/>
      <c r="BE218" s="5"/>
      <c r="BG218" s="40"/>
      <c r="BH218" s="5"/>
      <c r="BJ218" s="40"/>
      <c r="BK218" s="5"/>
      <c r="BM218" s="40"/>
      <c r="BN218" s="5"/>
      <c r="BP218" s="40"/>
      <c r="BQ218" s="5"/>
      <c r="BS218" s="40"/>
      <c r="BT218" s="5"/>
      <c r="BV218" s="40"/>
      <c r="BW218" s="5"/>
      <c r="BY218" s="40"/>
      <c r="BZ218" s="5"/>
      <c r="CB218" s="40"/>
      <c r="CC218" s="5"/>
      <c r="CE218" s="40"/>
      <c r="CF218" s="5"/>
      <c r="CH218" s="40"/>
      <c r="CI218" s="5"/>
      <c r="CK218" s="40"/>
      <c r="CL218" s="5"/>
      <c r="CN218" s="40"/>
      <c r="CO218" s="5"/>
      <c r="CQ218" s="40"/>
      <c r="CR218" s="5"/>
    </row>
    <row r="219">
      <c r="AL219" s="40"/>
      <c r="AM219" s="5"/>
      <c r="AO219" s="40"/>
      <c r="AP219" s="5"/>
      <c r="AR219" s="40"/>
      <c r="AS219" s="5"/>
      <c r="AU219" s="40"/>
      <c r="AV219" s="5"/>
      <c r="AX219" s="40"/>
      <c r="AY219" s="5"/>
      <c r="BA219" s="40"/>
      <c r="BB219" s="5"/>
      <c r="BD219" s="40"/>
      <c r="BE219" s="5"/>
      <c r="BG219" s="40"/>
      <c r="BH219" s="5"/>
      <c r="BJ219" s="40"/>
      <c r="BK219" s="5"/>
      <c r="BM219" s="40"/>
      <c r="BN219" s="5"/>
      <c r="BP219" s="40"/>
      <c r="BQ219" s="5"/>
      <c r="BS219" s="40"/>
      <c r="BT219" s="5"/>
      <c r="BV219" s="40"/>
      <c r="BW219" s="5"/>
      <c r="BY219" s="40"/>
      <c r="BZ219" s="5"/>
      <c r="CB219" s="40"/>
      <c r="CC219" s="5"/>
      <c r="CE219" s="40"/>
      <c r="CF219" s="5"/>
      <c r="CH219" s="40"/>
      <c r="CI219" s="5"/>
      <c r="CK219" s="40"/>
      <c r="CL219" s="5"/>
      <c r="CN219" s="40"/>
      <c r="CO219" s="5"/>
      <c r="CQ219" s="40"/>
      <c r="CR219" s="5"/>
    </row>
    <row r="220">
      <c r="AL220" s="40"/>
      <c r="AM220" s="5"/>
      <c r="AO220" s="40"/>
      <c r="AP220" s="5"/>
      <c r="AR220" s="40"/>
      <c r="AS220" s="5"/>
      <c r="AU220" s="40"/>
      <c r="AV220" s="5"/>
      <c r="AX220" s="40"/>
      <c r="AY220" s="5"/>
      <c r="BA220" s="40"/>
      <c r="BB220" s="5"/>
      <c r="BD220" s="40"/>
      <c r="BE220" s="5"/>
      <c r="BG220" s="40"/>
      <c r="BH220" s="5"/>
      <c r="BJ220" s="40"/>
      <c r="BK220" s="5"/>
      <c r="BM220" s="40"/>
      <c r="BN220" s="5"/>
      <c r="BP220" s="40"/>
      <c r="BQ220" s="5"/>
      <c r="BS220" s="40"/>
      <c r="BT220" s="5"/>
      <c r="BV220" s="40"/>
      <c r="BW220" s="5"/>
      <c r="BY220" s="40"/>
      <c r="BZ220" s="5"/>
      <c r="CB220" s="40"/>
      <c r="CC220" s="5"/>
      <c r="CE220" s="40"/>
      <c r="CF220" s="5"/>
      <c r="CH220" s="40"/>
      <c r="CI220" s="5"/>
      <c r="CK220" s="40"/>
      <c r="CL220" s="5"/>
      <c r="CN220" s="40"/>
      <c r="CO220" s="5"/>
      <c r="CQ220" s="40"/>
      <c r="CR220" s="5"/>
    </row>
    <row r="221">
      <c r="AL221" s="40"/>
      <c r="AM221" s="5"/>
      <c r="AO221" s="40"/>
      <c r="AP221" s="5"/>
      <c r="AR221" s="40"/>
      <c r="AS221" s="5"/>
      <c r="AU221" s="40"/>
      <c r="AV221" s="5"/>
      <c r="AX221" s="40"/>
      <c r="AY221" s="5"/>
      <c r="BA221" s="40"/>
      <c r="BB221" s="5"/>
      <c r="BD221" s="40"/>
      <c r="BE221" s="5"/>
      <c r="BG221" s="40"/>
      <c r="BH221" s="5"/>
      <c r="BJ221" s="40"/>
      <c r="BK221" s="5"/>
      <c r="BM221" s="40"/>
      <c r="BN221" s="5"/>
      <c r="BP221" s="40"/>
      <c r="BQ221" s="5"/>
      <c r="BS221" s="40"/>
      <c r="BT221" s="5"/>
      <c r="BV221" s="40"/>
      <c r="BW221" s="5"/>
      <c r="BY221" s="40"/>
      <c r="BZ221" s="5"/>
      <c r="CB221" s="40"/>
      <c r="CC221" s="5"/>
      <c r="CE221" s="40"/>
      <c r="CF221" s="5"/>
      <c r="CH221" s="40"/>
      <c r="CI221" s="5"/>
      <c r="CK221" s="40"/>
      <c r="CL221" s="5"/>
      <c r="CN221" s="40"/>
      <c r="CO221" s="5"/>
      <c r="CQ221" s="40"/>
      <c r="CR221" s="5"/>
    </row>
    <row r="222">
      <c r="AL222" s="40"/>
      <c r="AM222" s="5"/>
      <c r="AO222" s="40"/>
      <c r="AP222" s="5"/>
      <c r="AR222" s="40"/>
      <c r="AS222" s="5"/>
      <c r="AU222" s="40"/>
      <c r="AV222" s="5"/>
      <c r="AX222" s="40"/>
      <c r="AY222" s="5"/>
      <c r="BA222" s="40"/>
      <c r="BB222" s="5"/>
      <c r="BD222" s="40"/>
      <c r="BE222" s="5"/>
      <c r="BG222" s="40"/>
      <c r="BH222" s="5"/>
      <c r="BJ222" s="40"/>
      <c r="BK222" s="5"/>
      <c r="BM222" s="40"/>
      <c r="BN222" s="5"/>
      <c r="BP222" s="40"/>
      <c r="BQ222" s="5"/>
      <c r="BS222" s="40"/>
      <c r="BT222" s="5"/>
      <c r="BV222" s="40"/>
      <c r="BW222" s="5"/>
      <c r="BY222" s="40"/>
      <c r="BZ222" s="5"/>
      <c r="CB222" s="40"/>
      <c r="CC222" s="5"/>
      <c r="CE222" s="40"/>
      <c r="CF222" s="5"/>
      <c r="CH222" s="40"/>
      <c r="CI222" s="5"/>
      <c r="CK222" s="40"/>
      <c r="CL222" s="5"/>
      <c r="CN222" s="40"/>
      <c r="CO222" s="5"/>
      <c r="CQ222" s="40"/>
      <c r="CR222" s="5"/>
    </row>
    <row r="223">
      <c r="AL223" s="40"/>
      <c r="AM223" s="5"/>
      <c r="AO223" s="40"/>
      <c r="AP223" s="5"/>
      <c r="AR223" s="40"/>
      <c r="AS223" s="5"/>
      <c r="AU223" s="40"/>
      <c r="AV223" s="5"/>
      <c r="AX223" s="40"/>
      <c r="AY223" s="5"/>
      <c r="BA223" s="40"/>
      <c r="BB223" s="5"/>
      <c r="BD223" s="40"/>
      <c r="BE223" s="5"/>
      <c r="BG223" s="40"/>
      <c r="BH223" s="5"/>
      <c r="BJ223" s="40"/>
      <c r="BK223" s="5"/>
      <c r="BM223" s="40"/>
      <c r="BN223" s="5"/>
      <c r="BP223" s="40"/>
      <c r="BQ223" s="5"/>
      <c r="BS223" s="40"/>
      <c r="BT223" s="5"/>
      <c r="BV223" s="40"/>
      <c r="BW223" s="5"/>
      <c r="BY223" s="40"/>
      <c r="BZ223" s="5"/>
      <c r="CB223" s="40"/>
      <c r="CC223" s="5"/>
      <c r="CE223" s="40"/>
      <c r="CF223" s="5"/>
      <c r="CH223" s="40"/>
      <c r="CI223" s="5"/>
      <c r="CK223" s="40"/>
      <c r="CL223" s="5"/>
      <c r="CN223" s="40"/>
      <c r="CO223" s="5"/>
      <c r="CQ223" s="40"/>
      <c r="CR223" s="5"/>
    </row>
    <row r="224">
      <c r="AL224" s="40"/>
      <c r="AM224" s="5"/>
      <c r="AO224" s="40"/>
      <c r="AP224" s="5"/>
      <c r="AR224" s="40"/>
      <c r="AS224" s="5"/>
      <c r="AU224" s="40"/>
      <c r="AV224" s="5"/>
      <c r="AX224" s="40"/>
      <c r="AY224" s="5"/>
      <c r="BA224" s="40"/>
      <c r="BB224" s="5"/>
      <c r="BD224" s="40"/>
      <c r="BE224" s="5"/>
      <c r="BG224" s="40"/>
      <c r="BH224" s="5"/>
      <c r="BJ224" s="40"/>
      <c r="BK224" s="5"/>
      <c r="BM224" s="40"/>
      <c r="BN224" s="5"/>
      <c r="BP224" s="40"/>
      <c r="BQ224" s="5"/>
      <c r="BS224" s="40"/>
      <c r="BT224" s="5"/>
      <c r="BV224" s="40"/>
      <c r="BW224" s="5"/>
      <c r="BY224" s="40"/>
      <c r="BZ224" s="5"/>
      <c r="CB224" s="40"/>
      <c r="CC224" s="5"/>
      <c r="CE224" s="40"/>
      <c r="CF224" s="5"/>
      <c r="CH224" s="40"/>
      <c r="CI224" s="5"/>
      <c r="CK224" s="40"/>
      <c r="CL224" s="5"/>
      <c r="CN224" s="40"/>
      <c r="CO224" s="5"/>
      <c r="CQ224" s="40"/>
      <c r="CR224" s="5"/>
    </row>
    <row r="225">
      <c r="AL225" s="40"/>
      <c r="AM225" s="5"/>
      <c r="AO225" s="40"/>
      <c r="AP225" s="5"/>
      <c r="AR225" s="40"/>
      <c r="AS225" s="5"/>
      <c r="AU225" s="40"/>
      <c r="AV225" s="5"/>
      <c r="AX225" s="40"/>
      <c r="AY225" s="5"/>
      <c r="BA225" s="40"/>
      <c r="BB225" s="5"/>
      <c r="BD225" s="40"/>
      <c r="BE225" s="5"/>
      <c r="BG225" s="40"/>
      <c r="BH225" s="5"/>
      <c r="BJ225" s="40"/>
      <c r="BK225" s="5"/>
      <c r="BM225" s="40"/>
      <c r="BN225" s="5"/>
      <c r="BP225" s="40"/>
      <c r="BQ225" s="5"/>
      <c r="BS225" s="40"/>
      <c r="BT225" s="5"/>
      <c r="BV225" s="40"/>
      <c r="BW225" s="5"/>
      <c r="BY225" s="40"/>
      <c r="BZ225" s="5"/>
      <c r="CB225" s="40"/>
      <c r="CC225" s="5"/>
      <c r="CE225" s="40"/>
      <c r="CF225" s="5"/>
      <c r="CH225" s="40"/>
      <c r="CI225" s="5"/>
      <c r="CK225" s="40"/>
      <c r="CL225" s="5"/>
      <c r="CN225" s="40"/>
      <c r="CO225" s="5"/>
      <c r="CQ225" s="40"/>
      <c r="CR225" s="5"/>
    </row>
    <row r="226">
      <c r="AL226" s="40"/>
      <c r="AM226" s="5"/>
      <c r="AO226" s="40"/>
      <c r="AP226" s="5"/>
      <c r="AR226" s="40"/>
      <c r="AS226" s="5"/>
      <c r="AU226" s="40"/>
      <c r="AV226" s="5"/>
      <c r="AX226" s="40"/>
      <c r="AY226" s="5"/>
      <c r="BA226" s="40"/>
      <c r="BB226" s="5"/>
      <c r="BD226" s="40"/>
      <c r="BE226" s="5"/>
      <c r="BG226" s="40"/>
      <c r="BH226" s="5"/>
      <c r="BJ226" s="40"/>
      <c r="BK226" s="5"/>
      <c r="BM226" s="40"/>
      <c r="BN226" s="5"/>
      <c r="BP226" s="40"/>
      <c r="BQ226" s="5"/>
      <c r="BS226" s="40"/>
      <c r="BT226" s="5"/>
      <c r="BV226" s="40"/>
      <c r="BW226" s="5"/>
      <c r="BY226" s="40"/>
      <c r="BZ226" s="5"/>
      <c r="CB226" s="40"/>
      <c r="CC226" s="5"/>
      <c r="CE226" s="40"/>
      <c r="CF226" s="5"/>
      <c r="CH226" s="40"/>
      <c r="CI226" s="5"/>
      <c r="CK226" s="40"/>
      <c r="CL226" s="5"/>
      <c r="CN226" s="40"/>
      <c r="CO226" s="5"/>
      <c r="CQ226" s="40"/>
      <c r="CR226" s="5"/>
    </row>
    <row r="227">
      <c r="AL227" s="40"/>
      <c r="AM227" s="5"/>
      <c r="AO227" s="40"/>
      <c r="AP227" s="5"/>
      <c r="AR227" s="40"/>
      <c r="AS227" s="5"/>
      <c r="AU227" s="40"/>
      <c r="AV227" s="5"/>
      <c r="AX227" s="40"/>
      <c r="AY227" s="5"/>
      <c r="BA227" s="40"/>
      <c r="BB227" s="5"/>
      <c r="BD227" s="40"/>
      <c r="BE227" s="5"/>
      <c r="BG227" s="40"/>
      <c r="BH227" s="5"/>
      <c r="BJ227" s="40"/>
      <c r="BK227" s="5"/>
      <c r="BM227" s="40"/>
      <c r="BN227" s="5"/>
      <c r="BP227" s="40"/>
      <c r="BQ227" s="5"/>
      <c r="BS227" s="40"/>
      <c r="BT227" s="5"/>
      <c r="BV227" s="40"/>
      <c r="BW227" s="5"/>
      <c r="BY227" s="40"/>
      <c r="BZ227" s="5"/>
      <c r="CB227" s="40"/>
      <c r="CC227" s="5"/>
      <c r="CE227" s="40"/>
      <c r="CF227" s="5"/>
      <c r="CH227" s="40"/>
      <c r="CI227" s="5"/>
      <c r="CK227" s="40"/>
      <c r="CL227" s="5"/>
      <c r="CN227" s="40"/>
      <c r="CO227" s="5"/>
      <c r="CQ227" s="40"/>
      <c r="CR227" s="5"/>
    </row>
    <row r="228">
      <c r="AL228" s="40"/>
      <c r="AM228" s="5"/>
      <c r="AO228" s="40"/>
      <c r="AP228" s="5"/>
      <c r="AR228" s="40"/>
      <c r="AS228" s="5"/>
      <c r="AU228" s="40"/>
      <c r="AV228" s="5"/>
      <c r="AX228" s="40"/>
      <c r="AY228" s="5"/>
      <c r="BA228" s="40"/>
      <c r="BB228" s="5"/>
      <c r="BD228" s="40"/>
      <c r="BE228" s="5"/>
      <c r="BG228" s="40"/>
      <c r="BH228" s="5"/>
      <c r="BJ228" s="40"/>
      <c r="BK228" s="5"/>
      <c r="BM228" s="40"/>
      <c r="BN228" s="5"/>
      <c r="BP228" s="40"/>
      <c r="BQ228" s="5"/>
      <c r="BS228" s="40"/>
      <c r="BT228" s="5"/>
      <c r="BV228" s="40"/>
      <c r="BW228" s="5"/>
      <c r="BY228" s="40"/>
      <c r="BZ228" s="5"/>
      <c r="CB228" s="40"/>
      <c r="CC228" s="5"/>
      <c r="CE228" s="40"/>
      <c r="CF228" s="5"/>
      <c r="CH228" s="40"/>
      <c r="CI228" s="5"/>
      <c r="CK228" s="40"/>
      <c r="CL228" s="5"/>
      <c r="CN228" s="40"/>
      <c r="CO228" s="5"/>
      <c r="CQ228" s="40"/>
      <c r="CR228" s="5"/>
    </row>
    <row r="229">
      <c r="AL229" s="40"/>
      <c r="AM229" s="5"/>
      <c r="AO229" s="40"/>
      <c r="AP229" s="5"/>
      <c r="AR229" s="40"/>
      <c r="AS229" s="5"/>
      <c r="AU229" s="40"/>
      <c r="AV229" s="5"/>
      <c r="AX229" s="40"/>
      <c r="AY229" s="5"/>
      <c r="BA229" s="40"/>
      <c r="BB229" s="5"/>
      <c r="BD229" s="40"/>
      <c r="BE229" s="5"/>
      <c r="BG229" s="40"/>
      <c r="BH229" s="5"/>
      <c r="BJ229" s="40"/>
      <c r="BK229" s="5"/>
      <c r="BM229" s="40"/>
      <c r="BN229" s="5"/>
      <c r="BP229" s="40"/>
      <c r="BQ229" s="5"/>
      <c r="BS229" s="40"/>
      <c r="BT229" s="5"/>
      <c r="BV229" s="40"/>
      <c r="BW229" s="5"/>
      <c r="BY229" s="40"/>
      <c r="BZ229" s="5"/>
      <c r="CB229" s="40"/>
      <c r="CC229" s="5"/>
      <c r="CE229" s="40"/>
      <c r="CF229" s="5"/>
      <c r="CH229" s="40"/>
      <c r="CI229" s="5"/>
      <c r="CK229" s="40"/>
      <c r="CL229" s="5"/>
      <c r="CN229" s="40"/>
      <c r="CO229" s="5"/>
      <c r="CQ229" s="40"/>
      <c r="CR229" s="5"/>
    </row>
    <row r="230">
      <c r="AL230" s="40"/>
      <c r="AM230" s="5"/>
      <c r="AO230" s="40"/>
      <c r="AP230" s="5"/>
      <c r="AR230" s="40"/>
      <c r="AS230" s="5"/>
      <c r="AU230" s="40"/>
      <c r="AV230" s="5"/>
      <c r="AX230" s="40"/>
      <c r="AY230" s="5"/>
      <c r="BA230" s="40"/>
      <c r="BB230" s="5"/>
      <c r="BD230" s="40"/>
      <c r="BE230" s="5"/>
      <c r="BG230" s="40"/>
      <c r="BH230" s="5"/>
      <c r="BJ230" s="40"/>
      <c r="BK230" s="5"/>
      <c r="BM230" s="40"/>
      <c r="BN230" s="5"/>
      <c r="BP230" s="40"/>
      <c r="BQ230" s="5"/>
      <c r="BS230" s="40"/>
      <c r="BT230" s="5"/>
      <c r="BV230" s="40"/>
      <c r="BW230" s="5"/>
      <c r="BY230" s="40"/>
      <c r="BZ230" s="5"/>
      <c r="CB230" s="40"/>
      <c r="CC230" s="5"/>
      <c r="CE230" s="40"/>
      <c r="CF230" s="5"/>
      <c r="CH230" s="40"/>
      <c r="CI230" s="5"/>
      <c r="CK230" s="40"/>
      <c r="CL230" s="5"/>
      <c r="CN230" s="40"/>
      <c r="CO230" s="5"/>
      <c r="CQ230" s="40"/>
      <c r="CR230" s="5"/>
    </row>
    <row r="231">
      <c r="AL231" s="40"/>
      <c r="AM231" s="5"/>
      <c r="AO231" s="40"/>
      <c r="AP231" s="5"/>
      <c r="AR231" s="40"/>
      <c r="AS231" s="5"/>
      <c r="AU231" s="40"/>
      <c r="AV231" s="5"/>
      <c r="AX231" s="40"/>
      <c r="AY231" s="5"/>
      <c r="BA231" s="40"/>
      <c r="BB231" s="5"/>
      <c r="BD231" s="40"/>
      <c r="BE231" s="5"/>
      <c r="BG231" s="40"/>
      <c r="BH231" s="5"/>
      <c r="BJ231" s="40"/>
      <c r="BK231" s="5"/>
      <c r="BM231" s="40"/>
      <c r="BN231" s="5"/>
      <c r="BP231" s="40"/>
      <c r="BQ231" s="5"/>
      <c r="BS231" s="40"/>
      <c r="BT231" s="5"/>
      <c r="BV231" s="40"/>
      <c r="BW231" s="5"/>
      <c r="BY231" s="40"/>
      <c r="BZ231" s="5"/>
      <c r="CB231" s="40"/>
      <c r="CC231" s="5"/>
      <c r="CE231" s="40"/>
      <c r="CF231" s="5"/>
      <c r="CH231" s="40"/>
      <c r="CI231" s="5"/>
      <c r="CK231" s="40"/>
      <c r="CL231" s="5"/>
      <c r="CN231" s="40"/>
      <c r="CO231" s="5"/>
      <c r="CQ231" s="40"/>
      <c r="CR231" s="5"/>
    </row>
    <row r="232">
      <c r="AL232" s="40"/>
      <c r="AM232" s="5"/>
      <c r="AO232" s="40"/>
      <c r="AP232" s="5"/>
      <c r="AR232" s="40"/>
      <c r="AS232" s="5"/>
      <c r="AU232" s="40"/>
      <c r="AV232" s="5"/>
      <c r="AX232" s="40"/>
      <c r="AY232" s="5"/>
      <c r="BA232" s="40"/>
      <c r="BB232" s="5"/>
      <c r="BD232" s="40"/>
      <c r="BE232" s="5"/>
      <c r="BG232" s="40"/>
      <c r="BH232" s="5"/>
      <c r="BJ232" s="40"/>
      <c r="BK232" s="5"/>
      <c r="BM232" s="40"/>
      <c r="BN232" s="5"/>
      <c r="BP232" s="40"/>
      <c r="BQ232" s="5"/>
      <c r="BS232" s="40"/>
      <c r="BT232" s="5"/>
      <c r="BV232" s="40"/>
      <c r="BW232" s="5"/>
      <c r="BY232" s="40"/>
      <c r="BZ232" s="5"/>
      <c r="CB232" s="40"/>
      <c r="CC232" s="5"/>
      <c r="CE232" s="40"/>
      <c r="CF232" s="5"/>
      <c r="CH232" s="40"/>
      <c r="CI232" s="5"/>
      <c r="CK232" s="40"/>
      <c r="CL232" s="5"/>
      <c r="CN232" s="40"/>
      <c r="CO232" s="5"/>
      <c r="CQ232" s="40"/>
      <c r="CR232" s="5"/>
    </row>
    <row r="233">
      <c r="AL233" s="40"/>
      <c r="AM233" s="5"/>
      <c r="AO233" s="40"/>
      <c r="AP233" s="5"/>
      <c r="AR233" s="40"/>
      <c r="AS233" s="5"/>
      <c r="AU233" s="40"/>
      <c r="AV233" s="5"/>
      <c r="AX233" s="40"/>
      <c r="AY233" s="5"/>
      <c r="BA233" s="40"/>
      <c r="BB233" s="5"/>
      <c r="BD233" s="40"/>
      <c r="BE233" s="5"/>
      <c r="BG233" s="40"/>
      <c r="BH233" s="5"/>
      <c r="BJ233" s="40"/>
      <c r="BK233" s="5"/>
      <c r="BM233" s="40"/>
      <c r="BN233" s="5"/>
      <c r="BP233" s="40"/>
      <c r="BQ233" s="5"/>
      <c r="BS233" s="40"/>
      <c r="BT233" s="5"/>
      <c r="BV233" s="40"/>
      <c r="BW233" s="5"/>
      <c r="BY233" s="40"/>
      <c r="BZ233" s="5"/>
      <c r="CB233" s="40"/>
      <c r="CC233" s="5"/>
      <c r="CE233" s="40"/>
      <c r="CF233" s="5"/>
      <c r="CH233" s="40"/>
      <c r="CI233" s="5"/>
      <c r="CK233" s="40"/>
      <c r="CL233" s="5"/>
      <c r="CN233" s="40"/>
      <c r="CO233" s="5"/>
      <c r="CQ233" s="40"/>
      <c r="CR233" s="5"/>
    </row>
    <row r="234">
      <c r="AL234" s="40"/>
      <c r="AM234" s="5"/>
      <c r="AO234" s="40"/>
      <c r="AP234" s="5"/>
      <c r="AR234" s="40"/>
      <c r="AS234" s="5"/>
      <c r="AU234" s="40"/>
      <c r="AV234" s="5"/>
      <c r="AX234" s="40"/>
      <c r="AY234" s="5"/>
      <c r="BA234" s="40"/>
      <c r="BB234" s="5"/>
      <c r="BD234" s="40"/>
      <c r="BE234" s="5"/>
      <c r="BG234" s="40"/>
      <c r="BH234" s="5"/>
      <c r="BJ234" s="40"/>
      <c r="BK234" s="5"/>
      <c r="BM234" s="40"/>
      <c r="BN234" s="5"/>
      <c r="BP234" s="40"/>
      <c r="BQ234" s="5"/>
      <c r="BS234" s="40"/>
      <c r="BT234" s="5"/>
      <c r="BV234" s="40"/>
      <c r="BW234" s="5"/>
      <c r="BY234" s="40"/>
      <c r="BZ234" s="5"/>
      <c r="CB234" s="40"/>
      <c r="CC234" s="5"/>
      <c r="CE234" s="40"/>
      <c r="CF234" s="5"/>
      <c r="CH234" s="40"/>
      <c r="CI234" s="5"/>
      <c r="CK234" s="40"/>
      <c r="CL234" s="5"/>
      <c r="CN234" s="40"/>
      <c r="CO234" s="5"/>
      <c r="CQ234" s="40"/>
      <c r="CR234" s="5"/>
    </row>
    <row r="235">
      <c r="AL235" s="40"/>
      <c r="AM235" s="5"/>
      <c r="AO235" s="40"/>
      <c r="AP235" s="5"/>
      <c r="AR235" s="40"/>
      <c r="AS235" s="5"/>
      <c r="AU235" s="40"/>
      <c r="AV235" s="5"/>
      <c r="AX235" s="40"/>
      <c r="AY235" s="5"/>
      <c r="BA235" s="40"/>
      <c r="BB235" s="5"/>
      <c r="BD235" s="40"/>
      <c r="BE235" s="5"/>
      <c r="BG235" s="40"/>
      <c r="BH235" s="5"/>
      <c r="BJ235" s="40"/>
      <c r="BK235" s="5"/>
      <c r="BM235" s="40"/>
      <c r="BN235" s="5"/>
      <c r="BP235" s="40"/>
      <c r="BQ235" s="5"/>
      <c r="BS235" s="40"/>
      <c r="BT235" s="5"/>
      <c r="BV235" s="40"/>
      <c r="BW235" s="5"/>
      <c r="BY235" s="40"/>
      <c r="BZ235" s="5"/>
      <c r="CB235" s="40"/>
      <c r="CC235" s="5"/>
      <c r="CE235" s="40"/>
      <c r="CF235" s="5"/>
      <c r="CH235" s="40"/>
      <c r="CI235" s="5"/>
      <c r="CK235" s="40"/>
      <c r="CL235" s="5"/>
      <c r="CN235" s="40"/>
      <c r="CO235" s="5"/>
      <c r="CQ235" s="40"/>
      <c r="CR235" s="5"/>
    </row>
    <row r="236">
      <c r="AL236" s="40"/>
      <c r="AM236" s="5"/>
      <c r="AO236" s="40"/>
      <c r="AP236" s="5"/>
      <c r="AR236" s="40"/>
      <c r="AS236" s="5"/>
      <c r="AU236" s="40"/>
      <c r="AV236" s="5"/>
      <c r="AX236" s="40"/>
      <c r="AY236" s="5"/>
      <c r="BA236" s="40"/>
      <c r="BB236" s="5"/>
      <c r="BD236" s="40"/>
      <c r="BE236" s="5"/>
      <c r="BG236" s="40"/>
      <c r="BH236" s="5"/>
      <c r="BJ236" s="40"/>
      <c r="BK236" s="5"/>
      <c r="BM236" s="40"/>
      <c r="BN236" s="5"/>
      <c r="BP236" s="40"/>
      <c r="BQ236" s="5"/>
      <c r="BS236" s="40"/>
      <c r="BT236" s="5"/>
      <c r="BV236" s="40"/>
      <c r="BW236" s="5"/>
      <c r="BY236" s="40"/>
      <c r="BZ236" s="5"/>
      <c r="CB236" s="40"/>
      <c r="CC236" s="5"/>
      <c r="CE236" s="40"/>
      <c r="CF236" s="5"/>
      <c r="CH236" s="40"/>
      <c r="CI236" s="5"/>
      <c r="CK236" s="40"/>
      <c r="CL236" s="5"/>
      <c r="CN236" s="40"/>
      <c r="CO236" s="5"/>
      <c r="CQ236" s="40"/>
      <c r="CR236" s="5"/>
    </row>
    <row r="237">
      <c r="AL237" s="40"/>
      <c r="AM237" s="5"/>
      <c r="AO237" s="40"/>
      <c r="AP237" s="5"/>
      <c r="AR237" s="40"/>
      <c r="AS237" s="5"/>
      <c r="AU237" s="40"/>
      <c r="AV237" s="5"/>
      <c r="AX237" s="40"/>
      <c r="AY237" s="5"/>
      <c r="BA237" s="40"/>
      <c r="BB237" s="5"/>
      <c r="BD237" s="40"/>
      <c r="BE237" s="5"/>
      <c r="BG237" s="40"/>
      <c r="BH237" s="5"/>
      <c r="BJ237" s="40"/>
      <c r="BK237" s="5"/>
      <c r="BM237" s="40"/>
      <c r="BN237" s="5"/>
      <c r="BP237" s="40"/>
      <c r="BQ237" s="5"/>
      <c r="BS237" s="40"/>
      <c r="BT237" s="5"/>
      <c r="BV237" s="40"/>
      <c r="BW237" s="5"/>
      <c r="BY237" s="40"/>
      <c r="BZ237" s="5"/>
      <c r="CB237" s="40"/>
      <c r="CC237" s="5"/>
      <c r="CE237" s="40"/>
      <c r="CF237" s="5"/>
      <c r="CH237" s="40"/>
      <c r="CI237" s="5"/>
      <c r="CK237" s="40"/>
      <c r="CL237" s="5"/>
      <c r="CN237" s="40"/>
      <c r="CO237" s="5"/>
      <c r="CQ237" s="40"/>
      <c r="CR237" s="5"/>
    </row>
    <row r="238">
      <c r="AL238" s="40"/>
      <c r="AM238" s="5"/>
      <c r="AO238" s="40"/>
      <c r="AP238" s="5"/>
      <c r="AR238" s="40"/>
      <c r="AS238" s="5"/>
      <c r="AU238" s="40"/>
      <c r="AV238" s="5"/>
      <c r="AX238" s="40"/>
      <c r="AY238" s="5"/>
      <c r="BA238" s="40"/>
      <c r="BB238" s="5"/>
      <c r="BD238" s="40"/>
      <c r="BE238" s="5"/>
      <c r="BG238" s="40"/>
      <c r="BH238" s="5"/>
      <c r="BJ238" s="40"/>
      <c r="BK238" s="5"/>
      <c r="BM238" s="40"/>
      <c r="BN238" s="5"/>
      <c r="BP238" s="40"/>
      <c r="BQ238" s="5"/>
      <c r="BS238" s="40"/>
      <c r="BT238" s="5"/>
      <c r="BV238" s="40"/>
      <c r="BW238" s="5"/>
      <c r="BY238" s="40"/>
      <c r="BZ238" s="5"/>
      <c r="CB238" s="40"/>
      <c r="CC238" s="5"/>
      <c r="CE238" s="40"/>
      <c r="CF238" s="5"/>
      <c r="CH238" s="40"/>
      <c r="CI238" s="5"/>
      <c r="CK238" s="40"/>
      <c r="CL238" s="5"/>
      <c r="CN238" s="40"/>
      <c r="CO238" s="5"/>
      <c r="CQ238" s="40"/>
      <c r="CR238" s="5"/>
    </row>
    <row r="239">
      <c r="AL239" s="40"/>
      <c r="AM239" s="5"/>
      <c r="AO239" s="40"/>
      <c r="AP239" s="5"/>
      <c r="AR239" s="40"/>
      <c r="AS239" s="5"/>
      <c r="AU239" s="40"/>
      <c r="AV239" s="5"/>
      <c r="AX239" s="40"/>
      <c r="AY239" s="5"/>
      <c r="BA239" s="40"/>
      <c r="BB239" s="5"/>
      <c r="BD239" s="40"/>
      <c r="BE239" s="5"/>
      <c r="BG239" s="40"/>
      <c r="BH239" s="5"/>
      <c r="BJ239" s="40"/>
      <c r="BK239" s="5"/>
      <c r="BM239" s="40"/>
      <c r="BN239" s="5"/>
      <c r="BP239" s="40"/>
      <c r="BQ239" s="5"/>
      <c r="BS239" s="40"/>
      <c r="BT239" s="5"/>
      <c r="BV239" s="40"/>
      <c r="BW239" s="5"/>
      <c r="BY239" s="40"/>
      <c r="BZ239" s="5"/>
      <c r="CB239" s="40"/>
      <c r="CC239" s="5"/>
      <c r="CE239" s="40"/>
      <c r="CF239" s="5"/>
      <c r="CH239" s="40"/>
      <c r="CI239" s="5"/>
      <c r="CK239" s="40"/>
      <c r="CL239" s="5"/>
      <c r="CN239" s="40"/>
      <c r="CO239" s="5"/>
      <c r="CQ239" s="40"/>
      <c r="CR239" s="5"/>
    </row>
    <row r="240">
      <c r="AL240" s="40"/>
      <c r="AM240" s="5"/>
      <c r="AO240" s="40"/>
      <c r="AP240" s="5"/>
      <c r="AR240" s="40"/>
      <c r="AS240" s="5"/>
      <c r="AU240" s="40"/>
      <c r="AV240" s="5"/>
      <c r="AX240" s="40"/>
      <c r="AY240" s="5"/>
      <c r="BA240" s="40"/>
      <c r="BB240" s="5"/>
      <c r="BD240" s="40"/>
      <c r="BE240" s="5"/>
      <c r="BG240" s="40"/>
      <c r="BH240" s="5"/>
      <c r="BJ240" s="40"/>
      <c r="BK240" s="5"/>
      <c r="BM240" s="40"/>
      <c r="BN240" s="5"/>
      <c r="BP240" s="40"/>
      <c r="BQ240" s="5"/>
      <c r="BS240" s="40"/>
      <c r="BT240" s="5"/>
      <c r="BV240" s="40"/>
      <c r="BW240" s="5"/>
      <c r="BY240" s="40"/>
      <c r="BZ240" s="5"/>
      <c r="CB240" s="40"/>
      <c r="CC240" s="5"/>
      <c r="CE240" s="40"/>
      <c r="CF240" s="5"/>
      <c r="CH240" s="40"/>
      <c r="CI240" s="5"/>
      <c r="CK240" s="40"/>
      <c r="CL240" s="5"/>
      <c r="CN240" s="40"/>
      <c r="CO240" s="5"/>
      <c r="CQ240" s="40"/>
      <c r="CR240" s="5"/>
    </row>
    <row r="241">
      <c r="AL241" s="40"/>
      <c r="AM241" s="5"/>
      <c r="AO241" s="40"/>
      <c r="AP241" s="5"/>
      <c r="AR241" s="40"/>
      <c r="AS241" s="5"/>
      <c r="AU241" s="40"/>
      <c r="AV241" s="5"/>
      <c r="AX241" s="40"/>
      <c r="AY241" s="5"/>
      <c r="BA241" s="40"/>
      <c r="BB241" s="5"/>
      <c r="BD241" s="40"/>
      <c r="BE241" s="5"/>
      <c r="BG241" s="40"/>
      <c r="BH241" s="5"/>
      <c r="BJ241" s="40"/>
      <c r="BK241" s="5"/>
      <c r="BM241" s="40"/>
      <c r="BN241" s="5"/>
      <c r="BP241" s="40"/>
      <c r="BQ241" s="5"/>
      <c r="BS241" s="40"/>
      <c r="BT241" s="5"/>
      <c r="BV241" s="40"/>
      <c r="BW241" s="5"/>
      <c r="BY241" s="40"/>
      <c r="BZ241" s="5"/>
      <c r="CB241" s="40"/>
      <c r="CC241" s="5"/>
      <c r="CE241" s="40"/>
      <c r="CF241" s="5"/>
      <c r="CH241" s="40"/>
      <c r="CI241" s="5"/>
      <c r="CK241" s="40"/>
      <c r="CL241" s="5"/>
      <c r="CN241" s="40"/>
      <c r="CO241" s="5"/>
      <c r="CQ241" s="40"/>
      <c r="CR241" s="5"/>
    </row>
    <row r="242">
      <c r="AL242" s="40"/>
      <c r="AM242" s="5"/>
      <c r="AO242" s="40"/>
      <c r="AP242" s="5"/>
      <c r="AR242" s="40"/>
      <c r="AS242" s="5"/>
      <c r="AU242" s="40"/>
      <c r="AV242" s="5"/>
      <c r="AX242" s="40"/>
      <c r="AY242" s="5"/>
      <c r="BA242" s="40"/>
      <c r="BB242" s="5"/>
      <c r="BD242" s="40"/>
      <c r="BE242" s="5"/>
      <c r="BG242" s="40"/>
      <c r="BH242" s="5"/>
      <c r="BJ242" s="40"/>
      <c r="BK242" s="5"/>
      <c r="BM242" s="40"/>
      <c r="BN242" s="5"/>
      <c r="BP242" s="40"/>
      <c r="BQ242" s="5"/>
      <c r="BS242" s="40"/>
      <c r="BT242" s="5"/>
      <c r="BV242" s="40"/>
      <c r="BW242" s="5"/>
      <c r="BY242" s="40"/>
      <c r="BZ242" s="5"/>
      <c r="CB242" s="40"/>
      <c r="CC242" s="5"/>
      <c r="CE242" s="40"/>
      <c r="CF242" s="5"/>
      <c r="CH242" s="40"/>
      <c r="CI242" s="5"/>
      <c r="CK242" s="40"/>
      <c r="CL242" s="5"/>
      <c r="CN242" s="40"/>
      <c r="CO242" s="5"/>
      <c r="CQ242" s="40"/>
      <c r="CR242" s="5"/>
    </row>
    <row r="243">
      <c r="AL243" s="40"/>
      <c r="AM243" s="5"/>
      <c r="AO243" s="40"/>
      <c r="AP243" s="5"/>
      <c r="AR243" s="40"/>
      <c r="AS243" s="5"/>
      <c r="AU243" s="40"/>
      <c r="AV243" s="5"/>
      <c r="AX243" s="40"/>
      <c r="AY243" s="5"/>
      <c r="BA243" s="40"/>
      <c r="BB243" s="5"/>
      <c r="BD243" s="40"/>
      <c r="BE243" s="5"/>
      <c r="BG243" s="40"/>
      <c r="BH243" s="5"/>
      <c r="BJ243" s="40"/>
      <c r="BK243" s="5"/>
      <c r="BM243" s="40"/>
      <c r="BN243" s="5"/>
      <c r="BP243" s="40"/>
      <c r="BQ243" s="5"/>
      <c r="BS243" s="40"/>
      <c r="BT243" s="5"/>
      <c r="BV243" s="40"/>
      <c r="BW243" s="5"/>
      <c r="BY243" s="40"/>
      <c r="BZ243" s="5"/>
      <c r="CB243" s="40"/>
      <c r="CC243" s="5"/>
      <c r="CE243" s="40"/>
      <c r="CF243" s="5"/>
      <c r="CH243" s="40"/>
      <c r="CI243" s="5"/>
      <c r="CK243" s="40"/>
      <c r="CL243" s="5"/>
      <c r="CN243" s="40"/>
      <c r="CO243" s="5"/>
      <c r="CQ243" s="40"/>
      <c r="CR243" s="5"/>
    </row>
    <row r="244">
      <c r="AL244" s="40"/>
      <c r="AM244" s="5"/>
      <c r="AO244" s="40"/>
      <c r="AP244" s="5"/>
      <c r="AR244" s="40"/>
      <c r="AS244" s="5"/>
      <c r="AU244" s="40"/>
      <c r="AV244" s="5"/>
      <c r="AX244" s="40"/>
      <c r="AY244" s="5"/>
      <c r="BA244" s="40"/>
      <c r="BB244" s="5"/>
      <c r="BD244" s="40"/>
      <c r="BE244" s="5"/>
      <c r="BG244" s="40"/>
      <c r="BH244" s="5"/>
      <c r="BJ244" s="40"/>
      <c r="BK244" s="5"/>
      <c r="BM244" s="40"/>
      <c r="BN244" s="5"/>
      <c r="BP244" s="40"/>
      <c r="BQ244" s="5"/>
      <c r="BS244" s="40"/>
      <c r="BT244" s="5"/>
      <c r="BV244" s="40"/>
      <c r="BW244" s="5"/>
      <c r="BY244" s="40"/>
      <c r="BZ244" s="5"/>
      <c r="CB244" s="40"/>
      <c r="CC244" s="5"/>
      <c r="CE244" s="40"/>
      <c r="CF244" s="5"/>
      <c r="CH244" s="40"/>
      <c r="CI244" s="5"/>
      <c r="CK244" s="40"/>
      <c r="CL244" s="5"/>
      <c r="CN244" s="40"/>
      <c r="CO244" s="5"/>
      <c r="CQ244" s="40"/>
      <c r="CR244" s="5"/>
    </row>
    <row r="245">
      <c r="AL245" s="40"/>
      <c r="AM245" s="5"/>
      <c r="AO245" s="40"/>
      <c r="AP245" s="5"/>
      <c r="AR245" s="40"/>
      <c r="AS245" s="5"/>
      <c r="AU245" s="40"/>
      <c r="AV245" s="5"/>
      <c r="AX245" s="40"/>
      <c r="AY245" s="5"/>
      <c r="BA245" s="40"/>
      <c r="BB245" s="5"/>
      <c r="BD245" s="40"/>
      <c r="BE245" s="5"/>
      <c r="BG245" s="40"/>
      <c r="BH245" s="5"/>
      <c r="BJ245" s="40"/>
      <c r="BK245" s="5"/>
      <c r="BM245" s="40"/>
      <c r="BN245" s="5"/>
      <c r="BP245" s="40"/>
      <c r="BQ245" s="5"/>
      <c r="BS245" s="40"/>
      <c r="BT245" s="5"/>
      <c r="BV245" s="40"/>
      <c r="BW245" s="5"/>
      <c r="BY245" s="40"/>
      <c r="BZ245" s="5"/>
      <c r="CB245" s="40"/>
      <c r="CC245" s="5"/>
      <c r="CE245" s="40"/>
      <c r="CF245" s="5"/>
      <c r="CH245" s="40"/>
      <c r="CI245" s="5"/>
      <c r="CK245" s="40"/>
      <c r="CL245" s="5"/>
      <c r="CN245" s="40"/>
      <c r="CO245" s="5"/>
      <c r="CQ245" s="40"/>
      <c r="CR245" s="5"/>
    </row>
    <row r="246">
      <c r="AL246" s="40"/>
      <c r="AM246" s="5"/>
      <c r="AO246" s="40"/>
      <c r="AP246" s="5"/>
      <c r="AR246" s="40"/>
      <c r="AS246" s="5"/>
      <c r="AU246" s="40"/>
      <c r="AV246" s="5"/>
      <c r="AX246" s="40"/>
      <c r="AY246" s="5"/>
      <c r="BA246" s="40"/>
      <c r="BB246" s="5"/>
      <c r="BD246" s="40"/>
      <c r="BE246" s="5"/>
      <c r="BG246" s="40"/>
      <c r="BH246" s="5"/>
      <c r="BJ246" s="40"/>
      <c r="BK246" s="5"/>
      <c r="BM246" s="40"/>
      <c r="BN246" s="5"/>
      <c r="BP246" s="40"/>
      <c r="BQ246" s="5"/>
      <c r="BS246" s="40"/>
      <c r="BT246" s="5"/>
      <c r="BV246" s="40"/>
      <c r="BW246" s="5"/>
      <c r="BY246" s="40"/>
      <c r="BZ246" s="5"/>
      <c r="CB246" s="40"/>
      <c r="CC246" s="5"/>
      <c r="CE246" s="40"/>
      <c r="CF246" s="5"/>
      <c r="CH246" s="40"/>
      <c r="CI246" s="5"/>
      <c r="CK246" s="40"/>
      <c r="CL246" s="5"/>
      <c r="CN246" s="40"/>
      <c r="CO246" s="5"/>
      <c r="CQ246" s="40"/>
      <c r="CR246" s="5"/>
    </row>
    <row r="247">
      <c r="AL247" s="40"/>
      <c r="AM247" s="5"/>
      <c r="AO247" s="40"/>
      <c r="AP247" s="5"/>
      <c r="AR247" s="40"/>
      <c r="AS247" s="5"/>
      <c r="AU247" s="40"/>
      <c r="AV247" s="5"/>
      <c r="AX247" s="40"/>
      <c r="AY247" s="5"/>
      <c r="BA247" s="40"/>
      <c r="BB247" s="5"/>
      <c r="BD247" s="40"/>
      <c r="BE247" s="5"/>
      <c r="BG247" s="40"/>
      <c r="BH247" s="5"/>
      <c r="BJ247" s="40"/>
      <c r="BK247" s="5"/>
      <c r="BM247" s="40"/>
      <c r="BN247" s="5"/>
      <c r="BP247" s="40"/>
      <c r="BQ247" s="5"/>
      <c r="BS247" s="40"/>
      <c r="BT247" s="5"/>
      <c r="BV247" s="40"/>
      <c r="BW247" s="5"/>
      <c r="BY247" s="40"/>
      <c r="BZ247" s="5"/>
      <c r="CB247" s="40"/>
      <c r="CC247" s="5"/>
      <c r="CE247" s="40"/>
      <c r="CF247" s="5"/>
      <c r="CH247" s="40"/>
      <c r="CI247" s="5"/>
      <c r="CK247" s="40"/>
      <c r="CL247" s="5"/>
      <c r="CN247" s="40"/>
      <c r="CO247" s="5"/>
      <c r="CQ247" s="40"/>
      <c r="CR247" s="5"/>
    </row>
    <row r="248">
      <c r="AL248" s="40"/>
      <c r="AM248" s="5"/>
      <c r="AO248" s="40"/>
      <c r="AP248" s="5"/>
      <c r="AR248" s="40"/>
      <c r="AS248" s="5"/>
      <c r="AU248" s="40"/>
      <c r="AV248" s="5"/>
      <c r="AX248" s="40"/>
      <c r="AY248" s="5"/>
      <c r="BA248" s="40"/>
      <c r="BB248" s="5"/>
      <c r="BD248" s="40"/>
      <c r="BE248" s="5"/>
      <c r="BG248" s="40"/>
      <c r="BH248" s="5"/>
      <c r="BJ248" s="40"/>
      <c r="BK248" s="5"/>
      <c r="BM248" s="40"/>
      <c r="BN248" s="5"/>
      <c r="BP248" s="40"/>
      <c r="BQ248" s="5"/>
      <c r="BS248" s="40"/>
      <c r="BT248" s="5"/>
      <c r="BV248" s="40"/>
      <c r="BW248" s="5"/>
      <c r="BY248" s="40"/>
      <c r="BZ248" s="5"/>
      <c r="CB248" s="40"/>
      <c r="CC248" s="5"/>
      <c r="CE248" s="40"/>
      <c r="CF248" s="5"/>
      <c r="CH248" s="40"/>
      <c r="CI248" s="5"/>
      <c r="CK248" s="40"/>
      <c r="CL248" s="5"/>
      <c r="CN248" s="40"/>
      <c r="CO248" s="5"/>
      <c r="CQ248" s="40"/>
      <c r="CR248" s="5"/>
    </row>
    <row r="249">
      <c r="AL249" s="40"/>
      <c r="AM249" s="5"/>
      <c r="AO249" s="40"/>
      <c r="AP249" s="5"/>
      <c r="AR249" s="40"/>
      <c r="AS249" s="5"/>
      <c r="AU249" s="40"/>
      <c r="AV249" s="5"/>
      <c r="AX249" s="40"/>
      <c r="AY249" s="5"/>
      <c r="BA249" s="40"/>
      <c r="BB249" s="5"/>
      <c r="BD249" s="40"/>
      <c r="BE249" s="5"/>
      <c r="BG249" s="40"/>
      <c r="BH249" s="5"/>
      <c r="BJ249" s="40"/>
      <c r="BK249" s="5"/>
      <c r="BM249" s="40"/>
      <c r="BN249" s="5"/>
      <c r="BP249" s="40"/>
      <c r="BQ249" s="5"/>
      <c r="BS249" s="40"/>
      <c r="BT249" s="5"/>
      <c r="BV249" s="40"/>
      <c r="BW249" s="5"/>
      <c r="BY249" s="40"/>
      <c r="BZ249" s="5"/>
      <c r="CB249" s="40"/>
      <c r="CC249" s="5"/>
      <c r="CE249" s="40"/>
      <c r="CF249" s="5"/>
      <c r="CH249" s="40"/>
      <c r="CI249" s="5"/>
      <c r="CK249" s="40"/>
      <c r="CL249" s="5"/>
      <c r="CN249" s="40"/>
      <c r="CO249" s="5"/>
      <c r="CQ249" s="40"/>
      <c r="CR249" s="5"/>
    </row>
    <row r="250">
      <c r="AL250" s="40"/>
      <c r="AM250" s="5"/>
      <c r="AO250" s="40"/>
      <c r="AP250" s="5"/>
      <c r="AR250" s="40"/>
      <c r="AS250" s="5"/>
      <c r="AU250" s="40"/>
      <c r="AV250" s="5"/>
      <c r="AX250" s="40"/>
      <c r="AY250" s="5"/>
      <c r="BA250" s="40"/>
      <c r="BB250" s="5"/>
      <c r="BD250" s="40"/>
      <c r="BE250" s="5"/>
      <c r="BG250" s="40"/>
      <c r="BH250" s="5"/>
      <c r="BJ250" s="40"/>
      <c r="BK250" s="5"/>
      <c r="BM250" s="40"/>
      <c r="BN250" s="5"/>
      <c r="BP250" s="40"/>
      <c r="BQ250" s="5"/>
      <c r="BS250" s="40"/>
      <c r="BT250" s="5"/>
      <c r="BV250" s="40"/>
      <c r="BW250" s="5"/>
      <c r="BY250" s="40"/>
      <c r="BZ250" s="5"/>
      <c r="CB250" s="40"/>
      <c r="CC250" s="5"/>
      <c r="CE250" s="40"/>
      <c r="CF250" s="5"/>
      <c r="CH250" s="40"/>
      <c r="CI250" s="5"/>
      <c r="CK250" s="40"/>
      <c r="CL250" s="5"/>
      <c r="CN250" s="40"/>
      <c r="CO250" s="5"/>
      <c r="CQ250" s="40"/>
      <c r="CR250" s="5"/>
    </row>
    <row r="251">
      <c r="AL251" s="40"/>
      <c r="AM251" s="5"/>
      <c r="AO251" s="40"/>
      <c r="AP251" s="5"/>
      <c r="AR251" s="40"/>
      <c r="AS251" s="5"/>
      <c r="AU251" s="40"/>
      <c r="AV251" s="5"/>
      <c r="AX251" s="40"/>
      <c r="AY251" s="5"/>
      <c r="BA251" s="40"/>
      <c r="BB251" s="5"/>
      <c r="BD251" s="40"/>
      <c r="BE251" s="5"/>
      <c r="BG251" s="40"/>
      <c r="BH251" s="5"/>
      <c r="BJ251" s="40"/>
      <c r="BK251" s="5"/>
      <c r="BM251" s="40"/>
      <c r="BN251" s="5"/>
      <c r="BP251" s="40"/>
      <c r="BQ251" s="5"/>
      <c r="BS251" s="40"/>
      <c r="BT251" s="5"/>
      <c r="BV251" s="40"/>
      <c r="BW251" s="5"/>
      <c r="BY251" s="40"/>
      <c r="BZ251" s="5"/>
      <c r="CB251" s="40"/>
      <c r="CC251" s="5"/>
      <c r="CE251" s="40"/>
      <c r="CF251" s="5"/>
      <c r="CH251" s="40"/>
      <c r="CI251" s="5"/>
      <c r="CK251" s="40"/>
      <c r="CL251" s="5"/>
      <c r="CN251" s="40"/>
      <c r="CO251" s="5"/>
      <c r="CQ251" s="40"/>
      <c r="CR251" s="5"/>
    </row>
    <row r="252">
      <c r="AL252" s="40"/>
      <c r="AM252" s="5"/>
      <c r="AO252" s="40"/>
      <c r="AP252" s="5"/>
      <c r="AR252" s="40"/>
      <c r="AS252" s="5"/>
      <c r="AU252" s="40"/>
      <c r="AV252" s="5"/>
      <c r="AX252" s="40"/>
      <c r="AY252" s="5"/>
      <c r="BA252" s="40"/>
      <c r="BB252" s="5"/>
      <c r="BD252" s="40"/>
      <c r="BE252" s="5"/>
      <c r="BG252" s="40"/>
      <c r="BH252" s="5"/>
      <c r="BJ252" s="40"/>
      <c r="BK252" s="5"/>
      <c r="BM252" s="40"/>
      <c r="BN252" s="5"/>
      <c r="BP252" s="40"/>
      <c r="BQ252" s="5"/>
      <c r="BS252" s="40"/>
      <c r="BT252" s="5"/>
      <c r="BV252" s="40"/>
      <c r="BW252" s="5"/>
      <c r="BY252" s="40"/>
      <c r="BZ252" s="5"/>
      <c r="CB252" s="40"/>
      <c r="CC252" s="5"/>
      <c r="CE252" s="40"/>
      <c r="CF252" s="5"/>
      <c r="CH252" s="40"/>
      <c r="CI252" s="5"/>
      <c r="CK252" s="40"/>
      <c r="CL252" s="5"/>
      <c r="CN252" s="40"/>
      <c r="CO252" s="5"/>
      <c r="CQ252" s="40"/>
      <c r="CR252" s="5"/>
    </row>
    <row r="253">
      <c r="AL253" s="40"/>
      <c r="AM253" s="5"/>
      <c r="AO253" s="40"/>
      <c r="AP253" s="5"/>
      <c r="AR253" s="40"/>
      <c r="AS253" s="5"/>
      <c r="AU253" s="40"/>
      <c r="AV253" s="5"/>
      <c r="AX253" s="40"/>
      <c r="AY253" s="5"/>
      <c r="BA253" s="40"/>
      <c r="BB253" s="5"/>
      <c r="BD253" s="40"/>
      <c r="BE253" s="5"/>
      <c r="BG253" s="40"/>
      <c r="BH253" s="5"/>
      <c r="BJ253" s="40"/>
      <c r="BK253" s="5"/>
      <c r="BM253" s="40"/>
      <c r="BN253" s="5"/>
      <c r="BP253" s="40"/>
      <c r="BQ253" s="5"/>
      <c r="BS253" s="40"/>
      <c r="BT253" s="5"/>
      <c r="BV253" s="40"/>
      <c r="BW253" s="5"/>
      <c r="BY253" s="40"/>
      <c r="BZ253" s="5"/>
      <c r="CB253" s="40"/>
      <c r="CC253" s="5"/>
      <c r="CE253" s="40"/>
      <c r="CF253" s="5"/>
      <c r="CH253" s="40"/>
      <c r="CI253" s="5"/>
      <c r="CK253" s="40"/>
      <c r="CL253" s="5"/>
      <c r="CN253" s="40"/>
      <c r="CO253" s="5"/>
      <c r="CQ253" s="40"/>
      <c r="CR253" s="5"/>
    </row>
    <row r="254">
      <c r="AL254" s="40"/>
      <c r="AM254" s="5"/>
      <c r="AO254" s="40"/>
      <c r="AP254" s="5"/>
      <c r="AR254" s="40"/>
      <c r="AS254" s="5"/>
      <c r="AU254" s="40"/>
      <c r="AV254" s="5"/>
      <c r="AX254" s="40"/>
      <c r="AY254" s="5"/>
      <c r="BA254" s="40"/>
      <c r="BB254" s="5"/>
      <c r="BD254" s="40"/>
      <c r="BE254" s="5"/>
      <c r="BG254" s="40"/>
      <c r="BH254" s="5"/>
      <c r="BJ254" s="40"/>
      <c r="BK254" s="5"/>
      <c r="BM254" s="40"/>
      <c r="BN254" s="5"/>
      <c r="BP254" s="40"/>
      <c r="BQ254" s="5"/>
      <c r="BS254" s="40"/>
      <c r="BT254" s="5"/>
      <c r="BV254" s="40"/>
      <c r="BW254" s="5"/>
      <c r="BY254" s="40"/>
      <c r="BZ254" s="5"/>
      <c r="CB254" s="40"/>
      <c r="CC254" s="5"/>
      <c r="CE254" s="40"/>
      <c r="CF254" s="5"/>
      <c r="CH254" s="40"/>
      <c r="CI254" s="5"/>
      <c r="CK254" s="40"/>
      <c r="CL254" s="5"/>
      <c r="CN254" s="40"/>
      <c r="CO254" s="5"/>
      <c r="CQ254" s="40"/>
      <c r="CR254" s="5"/>
    </row>
    <row r="255">
      <c r="AL255" s="40"/>
      <c r="AM255" s="5"/>
      <c r="AO255" s="40"/>
      <c r="AP255" s="5"/>
      <c r="AR255" s="40"/>
      <c r="AS255" s="5"/>
      <c r="AU255" s="40"/>
      <c r="AV255" s="5"/>
      <c r="AX255" s="40"/>
      <c r="AY255" s="5"/>
      <c r="BA255" s="40"/>
      <c r="BB255" s="5"/>
      <c r="BD255" s="40"/>
      <c r="BE255" s="5"/>
      <c r="BG255" s="40"/>
      <c r="BH255" s="5"/>
      <c r="BJ255" s="40"/>
      <c r="BK255" s="5"/>
      <c r="BM255" s="40"/>
      <c r="BN255" s="5"/>
      <c r="BP255" s="40"/>
      <c r="BQ255" s="5"/>
      <c r="BS255" s="40"/>
      <c r="BT255" s="5"/>
      <c r="BV255" s="40"/>
      <c r="BW255" s="5"/>
      <c r="BY255" s="40"/>
      <c r="BZ255" s="5"/>
      <c r="CB255" s="40"/>
      <c r="CC255" s="5"/>
      <c r="CE255" s="40"/>
      <c r="CF255" s="5"/>
      <c r="CH255" s="40"/>
      <c r="CI255" s="5"/>
      <c r="CK255" s="40"/>
      <c r="CL255" s="5"/>
      <c r="CN255" s="40"/>
      <c r="CO255" s="5"/>
      <c r="CQ255" s="40"/>
      <c r="CR255" s="5"/>
    </row>
    <row r="256">
      <c r="AL256" s="40"/>
      <c r="AM256" s="5"/>
      <c r="AO256" s="40"/>
      <c r="AP256" s="5"/>
      <c r="AR256" s="40"/>
      <c r="AS256" s="5"/>
      <c r="AU256" s="40"/>
      <c r="AV256" s="5"/>
      <c r="AX256" s="40"/>
      <c r="AY256" s="5"/>
      <c r="BA256" s="40"/>
      <c r="BB256" s="5"/>
      <c r="BD256" s="40"/>
      <c r="BE256" s="5"/>
      <c r="BG256" s="40"/>
      <c r="BH256" s="5"/>
      <c r="BJ256" s="40"/>
      <c r="BK256" s="5"/>
      <c r="BM256" s="40"/>
      <c r="BN256" s="5"/>
      <c r="BP256" s="40"/>
      <c r="BQ256" s="5"/>
      <c r="BS256" s="40"/>
      <c r="BT256" s="5"/>
      <c r="BV256" s="40"/>
      <c r="BW256" s="5"/>
      <c r="BY256" s="40"/>
      <c r="BZ256" s="5"/>
      <c r="CB256" s="40"/>
      <c r="CC256" s="5"/>
      <c r="CE256" s="40"/>
      <c r="CF256" s="5"/>
      <c r="CH256" s="40"/>
      <c r="CI256" s="5"/>
      <c r="CK256" s="40"/>
      <c r="CL256" s="5"/>
      <c r="CN256" s="40"/>
      <c r="CO256" s="5"/>
      <c r="CQ256" s="40"/>
      <c r="CR256" s="5"/>
    </row>
    <row r="257">
      <c r="AL257" s="40"/>
      <c r="AM257" s="5"/>
      <c r="AO257" s="40"/>
      <c r="AP257" s="5"/>
      <c r="AR257" s="40"/>
      <c r="AS257" s="5"/>
      <c r="AU257" s="40"/>
      <c r="AV257" s="5"/>
      <c r="AX257" s="40"/>
      <c r="AY257" s="5"/>
      <c r="BA257" s="40"/>
      <c r="BB257" s="5"/>
      <c r="BD257" s="40"/>
      <c r="BE257" s="5"/>
      <c r="BG257" s="40"/>
      <c r="BH257" s="5"/>
      <c r="BJ257" s="40"/>
      <c r="BK257" s="5"/>
      <c r="BM257" s="40"/>
      <c r="BN257" s="5"/>
      <c r="BP257" s="40"/>
      <c r="BQ257" s="5"/>
      <c r="BS257" s="40"/>
      <c r="BT257" s="5"/>
      <c r="BV257" s="40"/>
      <c r="BW257" s="5"/>
      <c r="BY257" s="40"/>
      <c r="BZ257" s="5"/>
      <c r="CB257" s="40"/>
      <c r="CC257" s="5"/>
      <c r="CE257" s="40"/>
      <c r="CF257" s="5"/>
      <c r="CH257" s="40"/>
      <c r="CI257" s="5"/>
      <c r="CK257" s="40"/>
      <c r="CL257" s="5"/>
      <c r="CN257" s="40"/>
      <c r="CO257" s="5"/>
      <c r="CQ257" s="40"/>
      <c r="CR257" s="5"/>
    </row>
    <row r="258">
      <c r="AL258" s="40"/>
      <c r="AM258" s="5"/>
      <c r="AO258" s="40"/>
      <c r="AP258" s="5"/>
      <c r="AR258" s="40"/>
      <c r="AS258" s="5"/>
      <c r="AU258" s="40"/>
      <c r="AV258" s="5"/>
      <c r="AX258" s="40"/>
      <c r="AY258" s="5"/>
      <c r="BA258" s="40"/>
      <c r="BB258" s="5"/>
      <c r="BD258" s="40"/>
      <c r="BE258" s="5"/>
      <c r="BG258" s="40"/>
      <c r="BH258" s="5"/>
      <c r="BJ258" s="40"/>
      <c r="BK258" s="5"/>
      <c r="BM258" s="40"/>
      <c r="BN258" s="5"/>
      <c r="BP258" s="40"/>
      <c r="BQ258" s="5"/>
      <c r="BS258" s="40"/>
      <c r="BT258" s="5"/>
      <c r="BV258" s="40"/>
      <c r="BW258" s="5"/>
      <c r="BY258" s="40"/>
      <c r="BZ258" s="5"/>
      <c r="CB258" s="40"/>
      <c r="CC258" s="5"/>
      <c r="CE258" s="40"/>
      <c r="CF258" s="5"/>
      <c r="CH258" s="40"/>
      <c r="CI258" s="5"/>
      <c r="CK258" s="40"/>
      <c r="CL258" s="5"/>
      <c r="CN258" s="40"/>
      <c r="CO258" s="5"/>
      <c r="CQ258" s="40"/>
      <c r="CR258" s="5"/>
    </row>
    <row r="259">
      <c r="AL259" s="40"/>
      <c r="AM259" s="5"/>
      <c r="AO259" s="40"/>
      <c r="AP259" s="5"/>
      <c r="AR259" s="40"/>
      <c r="AS259" s="5"/>
      <c r="AU259" s="40"/>
      <c r="AV259" s="5"/>
      <c r="AX259" s="40"/>
      <c r="AY259" s="5"/>
      <c r="BA259" s="40"/>
      <c r="BB259" s="5"/>
      <c r="BD259" s="40"/>
      <c r="BE259" s="5"/>
      <c r="BG259" s="40"/>
      <c r="BH259" s="5"/>
      <c r="BJ259" s="40"/>
      <c r="BK259" s="5"/>
      <c r="BM259" s="40"/>
      <c r="BN259" s="5"/>
      <c r="BP259" s="40"/>
      <c r="BQ259" s="5"/>
      <c r="BS259" s="40"/>
      <c r="BT259" s="5"/>
      <c r="BV259" s="40"/>
      <c r="BW259" s="5"/>
      <c r="BY259" s="40"/>
      <c r="BZ259" s="5"/>
      <c r="CB259" s="40"/>
      <c r="CC259" s="5"/>
      <c r="CE259" s="40"/>
      <c r="CF259" s="5"/>
      <c r="CH259" s="40"/>
      <c r="CI259" s="5"/>
      <c r="CK259" s="40"/>
      <c r="CL259" s="5"/>
      <c r="CN259" s="40"/>
      <c r="CO259" s="5"/>
      <c r="CQ259" s="40"/>
      <c r="CR259" s="5"/>
    </row>
    <row r="260">
      <c r="AL260" s="40"/>
      <c r="AM260" s="5"/>
      <c r="AO260" s="40"/>
      <c r="AP260" s="5"/>
      <c r="AR260" s="40"/>
      <c r="AS260" s="5"/>
      <c r="AU260" s="40"/>
      <c r="AV260" s="5"/>
      <c r="AX260" s="40"/>
      <c r="AY260" s="5"/>
      <c r="BA260" s="40"/>
      <c r="BB260" s="5"/>
      <c r="BD260" s="40"/>
      <c r="BE260" s="5"/>
      <c r="BG260" s="40"/>
      <c r="BH260" s="5"/>
      <c r="BJ260" s="40"/>
      <c r="BK260" s="5"/>
      <c r="BM260" s="40"/>
      <c r="BN260" s="5"/>
      <c r="BP260" s="40"/>
      <c r="BQ260" s="5"/>
      <c r="BS260" s="40"/>
      <c r="BT260" s="5"/>
      <c r="BV260" s="40"/>
      <c r="BW260" s="5"/>
      <c r="BY260" s="40"/>
      <c r="BZ260" s="5"/>
      <c r="CB260" s="40"/>
      <c r="CC260" s="5"/>
      <c r="CE260" s="40"/>
      <c r="CF260" s="5"/>
      <c r="CH260" s="40"/>
      <c r="CI260" s="5"/>
      <c r="CK260" s="40"/>
      <c r="CL260" s="5"/>
      <c r="CN260" s="40"/>
      <c r="CO260" s="5"/>
      <c r="CQ260" s="40"/>
      <c r="CR260" s="5"/>
    </row>
    <row r="261">
      <c r="AL261" s="40"/>
      <c r="AM261" s="5"/>
      <c r="AO261" s="40"/>
      <c r="AP261" s="5"/>
      <c r="AR261" s="40"/>
      <c r="AS261" s="5"/>
      <c r="AU261" s="40"/>
      <c r="AV261" s="5"/>
      <c r="AX261" s="40"/>
      <c r="AY261" s="5"/>
      <c r="BA261" s="40"/>
      <c r="BB261" s="5"/>
      <c r="BD261" s="40"/>
      <c r="BE261" s="5"/>
      <c r="BG261" s="40"/>
      <c r="BH261" s="5"/>
      <c r="BJ261" s="40"/>
      <c r="BK261" s="5"/>
      <c r="BM261" s="40"/>
      <c r="BN261" s="5"/>
      <c r="BP261" s="40"/>
      <c r="BQ261" s="5"/>
      <c r="BS261" s="40"/>
      <c r="BT261" s="5"/>
      <c r="BV261" s="40"/>
      <c r="BW261" s="5"/>
      <c r="BY261" s="40"/>
      <c r="BZ261" s="5"/>
      <c r="CB261" s="40"/>
      <c r="CC261" s="5"/>
      <c r="CE261" s="40"/>
      <c r="CF261" s="5"/>
      <c r="CH261" s="40"/>
      <c r="CI261" s="5"/>
      <c r="CK261" s="40"/>
      <c r="CL261" s="5"/>
      <c r="CN261" s="40"/>
      <c r="CO261" s="5"/>
      <c r="CQ261" s="40"/>
      <c r="CR261" s="5"/>
    </row>
    <row r="262">
      <c r="AL262" s="40"/>
      <c r="AM262" s="5"/>
      <c r="AO262" s="40"/>
      <c r="AP262" s="5"/>
      <c r="AR262" s="40"/>
      <c r="AS262" s="5"/>
      <c r="AU262" s="40"/>
      <c r="AV262" s="5"/>
      <c r="AX262" s="40"/>
      <c r="AY262" s="5"/>
      <c r="BA262" s="40"/>
      <c r="BB262" s="5"/>
      <c r="BD262" s="40"/>
      <c r="BE262" s="5"/>
      <c r="BG262" s="40"/>
      <c r="BH262" s="5"/>
      <c r="BJ262" s="40"/>
      <c r="BK262" s="5"/>
      <c r="BM262" s="40"/>
      <c r="BN262" s="5"/>
      <c r="BP262" s="40"/>
      <c r="BQ262" s="5"/>
      <c r="BS262" s="40"/>
      <c r="BT262" s="5"/>
      <c r="BV262" s="40"/>
      <c r="BW262" s="5"/>
      <c r="BY262" s="40"/>
      <c r="BZ262" s="5"/>
      <c r="CB262" s="40"/>
      <c r="CC262" s="5"/>
      <c r="CE262" s="40"/>
      <c r="CF262" s="5"/>
      <c r="CH262" s="40"/>
      <c r="CI262" s="5"/>
      <c r="CK262" s="40"/>
      <c r="CL262" s="5"/>
      <c r="CN262" s="40"/>
      <c r="CO262" s="5"/>
      <c r="CQ262" s="40"/>
      <c r="CR262" s="5"/>
    </row>
    <row r="263">
      <c r="AL263" s="40"/>
      <c r="AM263" s="5"/>
      <c r="AO263" s="40"/>
      <c r="AP263" s="5"/>
      <c r="AR263" s="40"/>
      <c r="AS263" s="5"/>
      <c r="AU263" s="40"/>
      <c r="AV263" s="5"/>
      <c r="AX263" s="40"/>
      <c r="AY263" s="5"/>
      <c r="BA263" s="40"/>
      <c r="BB263" s="5"/>
      <c r="BD263" s="40"/>
      <c r="BE263" s="5"/>
      <c r="BG263" s="40"/>
      <c r="BH263" s="5"/>
      <c r="BJ263" s="40"/>
      <c r="BK263" s="5"/>
      <c r="BM263" s="40"/>
      <c r="BN263" s="5"/>
      <c r="BP263" s="40"/>
      <c r="BQ263" s="5"/>
      <c r="BS263" s="40"/>
      <c r="BT263" s="5"/>
      <c r="BV263" s="40"/>
      <c r="BW263" s="5"/>
      <c r="BY263" s="40"/>
      <c r="BZ263" s="5"/>
      <c r="CB263" s="40"/>
      <c r="CC263" s="5"/>
      <c r="CE263" s="40"/>
      <c r="CF263" s="5"/>
      <c r="CH263" s="40"/>
      <c r="CI263" s="5"/>
      <c r="CK263" s="40"/>
      <c r="CL263" s="5"/>
      <c r="CN263" s="40"/>
      <c r="CO263" s="5"/>
      <c r="CQ263" s="40"/>
      <c r="CR263" s="5"/>
    </row>
    <row r="264">
      <c r="AL264" s="40"/>
      <c r="AM264" s="5"/>
      <c r="AO264" s="40"/>
      <c r="AP264" s="5"/>
      <c r="AR264" s="40"/>
      <c r="AS264" s="5"/>
      <c r="AU264" s="40"/>
      <c r="AV264" s="5"/>
      <c r="AX264" s="40"/>
      <c r="AY264" s="5"/>
      <c r="BA264" s="40"/>
      <c r="BB264" s="5"/>
      <c r="BD264" s="40"/>
      <c r="BE264" s="5"/>
      <c r="BG264" s="40"/>
      <c r="BH264" s="5"/>
      <c r="BJ264" s="40"/>
      <c r="BK264" s="5"/>
      <c r="BM264" s="40"/>
      <c r="BN264" s="5"/>
      <c r="BP264" s="40"/>
      <c r="BQ264" s="5"/>
      <c r="BS264" s="40"/>
      <c r="BT264" s="5"/>
      <c r="BV264" s="40"/>
      <c r="BW264" s="5"/>
      <c r="BY264" s="40"/>
      <c r="BZ264" s="5"/>
      <c r="CB264" s="40"/>
      <c r="CC264" s="5"/>
      <c r="CE264" s="40"/>
      <c r="CF264" s="5"/>
      <c r="CH264" s="40"/>
      <c r="CI264" s="5"/>
      <c r="CK264" s="40"/>
      <c r="CL264" s="5"/>
      <c r="CN264" s="40"/>
      <c r="CO264" s="5"/>
      <c r="CQ264" s="40"/>
      <c r="CR264" s="5"/>
    </row>
    <row r="265">
      <c r="AL265" s="40"/>
      <c r="AM265" s="5"/>
      <c r="AO265" s="40"/>
      <c r="AP265" s="5"/>
      <c r="AR265" s="40"/>
      <c r="AS265" s="5"/>
      <c r="AU265" s="40"/>
      <c r="AV265" s="5"/>
      <c r="AX265" s="40"/>
      <c r="AY265" s="5"/>
      <c r="BA265" s="40"/>
      <c r="BB265" s="5"/>
      <c r="BD265" s="40"/>
      <c r="BE265" s="5"/>
      <c r="BG265" s="40"/>
      <c r="BH265" s="5"/>
      <c r="BJ265" s="40"/>
      <c r="BK265" s="5"/>
      <c r="BM265" s="40"/>
      <c r="BN265" s="5"/>
      <c r="BP265" s="40"/>
      <c r="BQ265" s="5"/>
      <c r="BS265" s="40"/>
      <c r="BT265" s="5"/>
      <c r="BV265" s="40"/>
      <c r="BW265" s="5"/>
      <c r="BY265" s="40"/>
      <c r="BZ265" s="5"/>
      <c r="CB265" s="40"/>
      <c r="CC265" s="5"/>
      <c r="CE265" s="40"/>
      <c r="CF265" s="5"/>
      <c r="CH265" s="40"/>
      <c r="CI265" s="5"/>
      <c r="CK265" s="40"/>
      <c r="CL265" s="5"/>
      <c r="CN265" s="40"/>
      <c r="CO265" s="5"/>
      <c r="CQ265" s="40"/>
      <c r="CR265" s="5"/>
    </row>
    <row r="266">
      <c r="AL266" s="40"/>
      <c r="AM266" s="5"/>
      <c r="AO266" s="40"/>
      <c r="AP266" s="5"/>
      <c r="AR266" s="40"/>
      <c r="AS266" s="5"/>
      <c r="AU266" s="40"/>
      <c r="AV266" s="5"/>
      <c r="AX266" s="40"/>
      <c r="AY266" s="5"/>
      <c r="BA266" s="40"/>
      <c r="BB266" s="5"/>
      <c r="BD266" s="40"/>
      <c r="BE266" s="5"/>
      <c r="BG266" s="40"/>
      <c r="BH266" s="5"/>
      <c r="BJ266" s="40"/>
      <c r="BK266" s="5"/>
      <c r="BM266" s="40"/>
      <c r="BN266" s="5"/>
      <c r="BP266" s="40"/>
      <c r="BQ266" s="5"/>
      <c r="BS266" s="40"/>
      <c r="BT266" s="5"/>
      <c r="BV266" s="40"/>
      <c r="BW266" s="5"/>
      <c r="BY266" s="40"/>
      <c r="BZ266" s="5"/>
      <c r="CB266" s="40"/>
      <c r="CC266" s="5"/>
      <c r="CE266" s="40"/>
      <c r="CF266" s="5"/>
      <c r="CH266" s="40"/>
      <c r="CI266" s="5"/>
      <c r="CK266" s="40"/>
      <c r="CL266" s="5"/>
      <c r="CN266" s="40"/>
      <c r="CO266" s="5"/>
      <c r="CQ266" s="40"/>
      <c r="CR266" s="5"/>
    </row>
    <row r="267">
      <c r="AL267" s="40"/>
      <c r="AM267" s="5"/>
      <c r="AO267" s="40"/>
      <c r="AP267" s="5"/>
      <c r="AR267" s="40"/>
      <c r="AS267" s="5"/>
      <c r="AU267" s="40"/>
      <c r="AV267" s="5"/>
      <c r="AX267" s="40"/>
      <c r="AY267" s="5"/>
      <c r="BA267" s="40"/>
      <c r="BB267" s="5"/>
      <c r="BD267" s="40"/>
      <c r="BE267" s="5"/>
      <c r="BG267" s="40"/>
      <c r="BH267" s="5"/>
      <c r="BJ267" s="40"/>
      <c r="BK267" s="5"/>
      <c r="BM267" s="40"/>
      <c r="BN267" s="5"/>
      <c r="BP267" s="40"/>
      <c r="BQ267" s="5"/>
      <c r="BS267" s="40"/>
      <c r="BT267" s="5"/>
      <c r="BV267" s="40"/>
      <c r="BW267" s="5"/>
      <c r="BY267" s="40"/>
      <c r="BZ267" s="5"/>
      <c r="CB267" s="40"/>
      <c r="CC267" s="5"/>
      <c r="CE267" s="40"/>
      <c r="CF267" s="5"/>
      <c r="CH267" s="40"/>
      <c r="CI267" s="5"/>
      <c r="CK267" s="40"/>
      <c r="CL267" s="5"/>
      <c r="CN267" s="40"/>
      <c r="CO267" s="5"/>
      <c r="CQ267" s="40"/>
      <c r="CR267" s="5"/>
    </row>
    <row r="268">
      <c r="AL268" s="40"/>
      <c r="AM268" s="5"/>
      <c r="AO268" s="40"/>
      <c r="AP268" s="5"/>
      <c r="AR268" s="40"/>
      <c r="AS268" s="5"/>
      <c r="AU268" s="40"/>
      <c r="AV268" s="5"/>
      <c r="AX268" s="40"/>
      <c r="AY268" s="5"/>
      <c r="BA268" s="40"/>
      <c r="BB268" s="5"/>
      <c r="BD268" s="40"/>
      <c r="BE268" s="5"/>
      <c r="BG268" s="40"/>
      <c r="BH268" s="5"/>
      <c r="BJ268" s="40"/>
      <c r="BK268" s="5"/>
      <c r="BM268" s="40"/>
      <c r="BN268" s="5"/>
      <c r="BP268" s="40"/>
      <c r="BQ268" s="5"/>
      <c r="BS268" s="40"/>
      <c r="BT268" s="5"/>
      <c r="BV268" s="40"/>
      <c r="BW268" s="5"/>
      <c r="BY268" s="40"/>
      <c r="BZ268" s="5"/>
      <c r="CB268" s="40"/>
      <c r="CC268" s="5"/>
      <c r="CE268" s="40"/>
      <c r="CF268" s="5"/>
      <c r="CH268" s="40"/>
      <c r="CI268" s="5"/>
      <c r="CK268" s="40"/>
      <c r="CL268" s="5"/>
      <c r="CN268" s="40"/>
      <c r="CO268" s="5"/>
      <c r="CQ268" s="40"/>
      <c r="CR268" s="5"/>
    </row>
    <row r="269">
      <c r="AL269" s="40"/>
      <c r="AM269" s="5"/>
      <c r="AO269" s="40"/>
      <c r="AP269" s="5"/>
      <c r="AR269" s="40"/>
      <c r="AS269" s="5"/>
      <c r="AU269" s="40"/>
      <c r="AV269" s="5"/>
      <c r="AX269" s="40"/>
      <c r="AY269" s="5"/>
      <c r="BA269" s="40"/>
      <c r="BB269" s="5"/>
      <c r="BD269" s="40"/>
      <c r="BE269" s="5"/>
      <c r="BG269" s="40"/>
      <c r="BH269" s="5"/>
      <c r="BJ269" s="40"/>
      <c r="BK269" s="5"/>
      <c r="BM269" s="40"/>
      <c r="BN269" s="5"/>
      <c r="BP269" s="40"/>
      <c r="BQ269" s="5"/>
      <c r="BS269" s="40"/>
      <c r="BT269" s="5"/>
      <c r="BV269" s="40"/>
      <c r="BW269" s="5"/>
      <c r="BY269" s="40"/>
      <c r="BZ269" s="5"/>
      <c r="CB269" s="40"/>
      <c r="CC269" s="5"/>
      <c r="CE269" s="40"/>
      <c r="CF269" s="5"/>
      <c r="CH269" s="40"/>
      <c r="CI269" s="5"/>
      <c r="CK269" s="40"/>
      <c r="CL269" s="5"/>
      <c r="CN269" s="40"/>
      <c r="CO269" s="5"/>
      <c r="CQ269" s="40"/>
      <c r="CR269" s="5"/>
    </row>
    <row r="270">
      <c r="AL270" s="40"/>
      <c r="AM270" s="5"/>
      <c r="AO270" s="40"/>
      <c r="AP270" s="5"/>
      <c r="AR270" s="40"/>
      <c r="AS270" s="5"/>
      <c r="AU270" s="40"/>
      <c r="AV270" s="5"/>
      <c r="AX270" s="40"/>
      <c r="AY270" s="5"/>
      <c r="BA270" s="40"/>
      <c r="BB270" s="5"/>
      <c r="BD270" s="40"/>
      <c r="BE270" s="5"/>
      <c r="BG270" s="40"/>
      <c r="BH270" s="5"/>
      <c r="BJ270" s="40"/>
      <c r="BK270" s="5"/>
      <c r="BM270" s="40"/>
      <c r="BN270" s="5"/>
      <c r="BP270" s="40"/>
      <c r="BQ270" s="5"/>
      <c r="BS270" s="40"/>
      <c r="BT270" s="5"/>
      <c r="BV270" s="40"/>
      <c r="BW270" s="5"/>
      <c r="BY270" s="40"/>
      <c r="BZ270" s="5"/>
      <c r="CB270" s="40"/>
      <c r="CC270" s="5"/>
      <c r="CE270" s="40"/>
      <c r="CF270" s="5"/>
      <c r="CH270" s="40"/>
      <c r="CI270" s="5"/>
      <c r="CK270" s="40"/>
      <c r="CL270" s="5"/>
      <c r="CN270" s="40"/>
      <c r="CO270" s="5"/>
      <c r="CQ270" s="40"/>
      <c r="CR270" s="5"/>
    </row>
    <row r="271">
      <c r="AL271" s="40"/>
      <c r="AM271" s="5"/>
      <c r="AO271" s="40"/>
      <c r="AP271" s="5"/>
      <c r="AR271" s="40"/>
      <c r="AS271" s="5"/>
      <c r="AU271" s="40"/>
      <c r="AV271" s="5"/>
      <c r="AX271" s="40"/>
      <c r="AY271" s="5"/>
      <c r="BA271" s="40"/>
      <c r="BB271" s="5"/>
      <c r="BD271" s="40"/>
      <c r="BE271" s="5"/>
      <c r="BG271" s="40"/>
      <c r="BH271" s="5"/>
      <c r="BJ271" s="40"/>
      <c r="BK271" s="5"/>
      <c r="BM271" s="40"/>
      <c r="BN271" s="5"/>
      <c r="BP271" s="40"/>
      <c r="BQ271" s="5"/>
      <c r="BS271" s="40"/>
      <c r="BT271" s="5"/>
      <c r="BV271" s="40"/>
      <c r="BW271" s="5"/>
      <c r="BY271" s="40"/>
      <c r="BZ271" s="5"/>
      <c r="CB271" s="40"/>
      <c r="CC271" s="5"/>
      <c r="CE271" s="40"/>
      <c r="CF271" s="5"/>
      <c r="CH271" s="40"/>
      <c r="CI271" s="5"/>
      <c r="CK271" s="40"/>
      <c r="CL271" s="5"/>
      <c r="CN271" s="40"/>
      <c r="CO271" s="5"/>
      <c r="CQ271" s="40"/>
      <c r="CR271" s="5"/>
    </row>
    <row r="272">
      <c r="AL272" s="40"/>
      <c r="AM272" s="5"/>
      <c r="AO272" s="40"/>
      <c r="AP272" s="5"/>
      <c r="AR272" s="40"/>
      <c r="AS272" s="5"/>
      <c r="AU272" s="40"/>
      <c r="AV272" s="5"/>
      <c r="AX272" s="40"/>
      <c r="AY272" s="5"/>
      <c r="BA272" s="40"/>
      <c r="BB272" s="5"/>
      <c r="BD272" s="40"/>
      <c r="BE272" s="5"/>
      <c r="BG272" s="40"/>
      <c r="BH272" s="5"/>
      <c r="BJ272" s="40"/>
      <c r="BK272" s="5"/>
      <c r="BM272" s="40"/>
      <c r="BN272" s="5"/>
      <c r="BP272" s="40"/>
      <c r="BQ272" s="5"/>
      <c r="BS272" s="40"/>
      <c r="BT272" s="5"/>
      <c r="BV272" s="40"/>
      <c r="BW272" s="5"/>
      <c r="BY272" s="40"/>
      <c r="BZ272" s="5"/>
      <c r="CB272" s="40"/>
      <c r="CC272" s="5"/>
      <c r="CE272" s="40"/>
      <c r="CF272" s="5"/>
      <c r="CH272" s="40"/>
      <c r="CI272" s="5"/>
      <c r="CK272" s="40"/>
      <c r="CL272" s="5"/>
      <c r="CN272" s="40"/>
      <c r="CO272" s="5"/>
      <c r="CQ272" s="40"/>
      <c r="CR272" s="5"/>
    </row>
    <row r="273">
      <c r="AL273" s="40"/>
      <c r="AM273" s="5"/>
      <c r="AO273" s="40"/>
      <c r="AP273" s="5"/>
      <c r="AR273" s="40"/>
      <c r="AS273" s="5"/>
      <c r="AU273" s="40"/>
      <c r="AV273" s="5"/>
      <c r="AX273" s="40"/>
      <c r="AY273" s="5"/>
      <c r="BA273" s="40"/>
      <c r="BB273" s="5"/>
      <c r="BD273" s="40"/>
      <c r="BE273" s="5"/>
      <c r="BG273" s="40"/>
      <c r="BH273" s="5"/>
      <c r="BJ273" s="40"/>
      <c r="BK273" s="5"/>
      <c r="BM273" s="40"/>
      <c r="BN273" s="5"/>
      <c r="BP273" s="40"/>
      <c r="BQ273" s="5"/>
      <c r="BS273" s="40"/>
      <c r="BT273" s="5"/>
      <c r="BV273" s="40"/>
      <c r="BW273" s="5"/>
      <c r="BY273" s="40"/>
      <c r="BZ273" s="5"/>
      <c r="CB273" s="40"/>
      <c r="CC273" s="5"/>
      <c r="CE273" s="40"/>
      <c r="CF273" s="5"/>
      <c r="CH273" s="40"/>
      <c r="CI273" s="5"/>
      <c r="CK273" s="40"/>
      <c r="CL273" s="5"/>
      <c r="CN273" s="40"/>
      <c r="CO273" s="5"/>
      <c r="CQ273" s="40"/>
      <c r="CR273" s="5"/>
    </row>
    <row r="274">
      <c r="AL274" s="40"/>
      <c r="AM274" s="5"/>
      <c r="AO274" s="40"/>
      <c r="AP274" s="5"/>
      <c r="AR274" s="40"/>
      <c r="AS274" s="5"/>
      <c r="AU274" s="40"/>
      <c r="AV274" s="5"/>
      <c r="AX274" s="40"/>
      <c r="AY274" s="5"/>
      <c r="BA274" s="40"/>
      <c r="BB274" s="5"/>
      <c r="BD274" s="40"/>
      <c r="BE274" s="5"/>
      <c r="BG274" s="40"/>
      <c r="BH274" s="5"/>
      <c r="BJ274" s="40"/>
      <c r="BK274" s="5"/>
      <c r="BM274" s="40"/>
      <c r="BN274" s="5"/>
      <c r="BP274" s="40"/>
      <c r="BQ274" s="5"/>
      <c r="BS274" s="40"/>
      <c r="BT274" s="5"/>
      <c r="BV274" s="40"/>
      <c r="BW274" s="5"/>
      <c r="BY274" s="40"/>
      <c r="BZ274" s="5"/>
      <c r="CB274" s="40"/>
      <c r="CC274" s="5"/>
      <c r="CE274" s="40"/>
      <c r="CF274" s="5"/>
      <c r="CH274" s="40"/>
      <c r="CI274" s="5"/>
      <c r="CK274" s="40"/>
      <c r="CL274" s="5"/>
      <c r="CN274" s="40"/>
      <c r="CO274" s="5"/>
      <c r="CQ274" s="40"/>
      <c r="CR274" s="5"/>
    </row>
    <row r="275">
      <c r="AL275" s="40"/>
      <c r="AM275" s="5"/>
      <c r="AO275" s="40"/>
      <c r="AP275" s="5"/>
      <c r="AR275" s="40"/>
      <c r="AS275" s="5"/>
      <c r="AU275" s="40"/>
      <c r="AV275" s="5"/>
      <c r="AX275" s="40"/>
      <c r="AY275" s="5"/>
      <c r="BA275" s="40"/>
      <c r="BB275" s="5"/>
      <c r="BD275" s="40"/>
      <c r="BE275" s="5"/>
      <c r="BG275" s="40"/>
      <c r="BH275" s="5"/>
      <c r="BJ275" s="40"/>
      <c r="BK275" s="5"/>
      <c r="BM275" s="40"/>
      <c r="BN275" s="5"/>
      <c r="BP275" s="40"/>
      <c r="BQ275" s="5"/>
      <c r="BS275" s="40"/>
      <c r="BT275" s="5"/>
      <c r="BV275" s="40"/>
      <c r="BW275" s="5"/>
      <c r="BY275" s="40"/>
      <c r="BZ275" s="5"/>
      <c r="CB275" s="40"/>
      <c r="CC275" s="5"/>
      <c r="CE275" s="40"/>
      <c r="CF275" s="5"/>
      <c r="CH275" s="40"/>
      <c r="CI275" s="5"/>
      <c r="CK275" s="40"/>
      <c r="CL275" s="5"/>
      <c r="CN275" s="40"/>
      <c r="CO275" s="5"/>
      <c r="CQ275" s="40"/>
      <c r="CR275" s="5"/>
    </row>
    <row r="276">
      <c r="AL276" s="40"/>
      <c r="AM276" s="5"/>
      <c r="AO276" s="40"/>
      <c r="AP276" s="5"/>
      <c r="AR276" s="40"/>
      <c r="AS276" s="5"/>
      <c r="AU276" s="40"/>
      <c r="AV276" s="5"/>
      <c r="AX276" s="40"/>
      <c r="AY276" s="5"/>
      <c r="BA276" s="40"/>
      <c r="BB276" s="5"/>
      <c r="BD276" s="40"/>
      <c r="BE276" s="5"/>
      <c r="BG276" s="40"/>
      <c r="BH276" s="5"/>
      <c r="BJ276" s="40"/>
      <c r="BK276" s="5"/>
      <c r="BM276" s="40"/>
      <c r="BN276" s="5"/>
      <c r="BP276" s="40"/>
      <c r="BQ276" s="5"/>
      <c r="BS276" s="40"/>
      <c r="BT276" s="5"/>
      <c r="BV276" s="40"/>
      <c r="BW276" s="5"/>
      <c r="BY276" s="40"/>
      <c r="BZ276" s="5"/>
      <c r="CB276" s="40"/>
      <c r="CC276" s="5"/>
      <c r="CE276" s="40"/>
      <c r="CF276" s="5"/>
      <c r="CH276" s="40"/>
      <c r="CI276" s="5"/>
      <c r="CK276" s="40"/>
      <c r="CL276" s="5"/>
      <c r="CN276" s="40"/>
      <c r="CO276" s="5"/>
      <c r="CQ276" s="40"/>
      <c r="CR276" s="5"/>
    </row>
    <row r="277">
      <c r="AL277" s="40"/>
      <c r="AM277" s="5"/>
      <c r="AO277" s="40"/>
      <c r="AP277" s="5"/>
      <c r="AR277" s="40"/>
      <c r="AS277" s="5"/>
      <c r="AU277" s="40"/>
      <c r="AV277" s="5"/>
      <c r="AX277" s="40"/>
      <c r="AY277" s="5"/>
      <c r="BA277" s="40"/>
      <c r="BB277" s="5"/>
      <c r="BD277" s="40"/>
      <c r="BE277" s="5"/>
      <c r="BG277" s="40"/>
      <c r="BH277" s="5"/>
      <c r="BJ277" s="40"/>
      <c r="BK277" s="5"/>
      <c r="BM277" s="40"/>
      <c r="BN277" s="5"/>
      <c r="BP277" s="40"/>
      <c r="BQ277" s="5"/>
      <c r="BS277" s="40"/>
      <c r="BT277" s="5"/>
      <c r="BV277" s="40"/>
      <c r="BW277" s="5"/>
      <c r="BY277" s="40"/>
      <c r="BZ277" s="5"/>
      <c r="CB277" s="40"/>
      <c r="CC277" s="5"/>
      <c r="CE277" s="40"/>
      <c r="CF277" s="5"/>
      <c r="CH277" s="40"/>
      <c r="CI277" s="5"/>
      <c r="CK277" s="40"/>
      <c r="CL277" s="5"/>
      <c r="CN277" s="40"/>
      <c r="CO277" s="5"/>
      <c r="CQ277" s="40"/>
      <c r="CR277" s="5"/>
    </row>
    <row r="278">
      <c r="AL278" s="40"/>
      <c r="AM278" s="5"/>
      <c r="AO278" s="40"/>
      <c r="AP278" s="5"/>
      <c r="AR278" s="40"/>
      <c r="AS278" s="5"/>
      <c r="AU278" s="40"/>
      <c r="AV278" s="5"/>
      <c r="AX278" s="40"/>
      <c r="AY278" s="5"/>
      <c r="BA278" s="40"/>
      <c r="BB278" s="5"/>
      <c r="BD278" s="40"/>
      <c r="BE278" s="5"/>
      <c r="BG278" s="40"/>
      <c r="BH278" s="5"/>
      <c r="BJ278" s="40"/>
      <c r="BK278" s="5"/>
      <c r="BM278" s="40"/>
      <c r="BN278" s="5"/>
      <c r="BP278" s="40"/>
      <c r="BQ278" s="5"/>
      <c r="BS278" s="40"/>
      <c r="BT278" s="5"/>
      <c r="BV278" s="40"/>
      <c r="BW278" s="5"/>
      <c r="BY278" s="40"/>
      <c r="BZ278" s="5"/>
      <c r="CB278" s="40"/>
      <c r="CC278" s="5"/>
      <c r="CE278" s="40"/>
      <c r="CF278" s="5"/>
      <c r="CH278" s="40"/>
      <c r="CI278" s="5"/>
      <c r="CK278" s="40"/>
      <c r="CL278" s="5"/>
      <c r="CN278" s="40"/>
      <c r="CO278" s="5"/>
      <c r="CQ278" s="40"/>
      <c r="CR278" s="5"/>
    </row>
    <row r="279">
      <c r="AL279" s="40"/>
      <c r="AM279" s="5"/>
      <c r="AO279" s="40"/>
      <c r="AP279" s="5"/>
      <c r="AR279" s="40"/>
      <c r="AS279" s="5"/>
      <c r="AU279" s="40"/>
      <c r="AV279" s="5"/>
      <c r="AX279" s="40"/>
      <c r="AY279" s="5"/>
      <c r="BA279" s="40"/>
      <c r="BB279" s="5"/>
      <c r="BD279" s="40"/>
      <c r="BE279" s="5"/>
      <c r="BG279" s="40"/>
      <c r="BH279" s="5"/>
      <c r="BJ279" s="40"/>
      <c r="BK279" s="5"/>
      <c r="BM279" s="40"/>
      <c r="BN279" s="5"/>
      <c r="BP279" s="40"/>
      <c r="BQ279" s="5"/>
      <c r="BS279" s="40"/>
      <c r="BT279" s="5"/>
      <c r="BV279" s="40"/>
      <c r="BW279" s="5"/>
      <c r="BY279" s="40"/>
      <c r="BZ279" s="5"/>
      <c r="CB279" s="40"/>
      <c r="CC279" s="5"/>
      <c r="CE279" s="40"/>
      <c r="CF279" s="5"/>
      <c r="CH279" s="40"/>
      <c r="CI279" s="5"/>
      <c r="CK279" s="40"/>
      <c r="CL279" s="5"/>
      <c r="CN279" s="40"/>
      <c r="CO279" s="5"/>
      <c r="CQ279" s="40"/>
      <c r="CR279" s="5"/>
    </row>
    <row r="280">
      <c r="AL280" s="40"/>
      <c r="AM280" s="5"/>
      <c r="AO280" s="40"/>
      <c r="AP280" s="5"/>
      <c r="AR280" s="40"/>
      <c r="AS280" s="5"/>
      <c r="AU280" s="40"/>
      <c r="AV280" s="5"/>
      <c r="AX280" s="40"/>
      <c r="AY280" s="5"/>
      <c r="BA280" s="40"/>
      <c r="BB280" s="5"/>
      <c r="BD280" s="40"/>
      <c r="BE280" s="5"/>
      <c r="BG280" s="40"/>
      <c r="BH280" s="5"/>
      <c r="BJ280" s="40"/>
      <c r="BK280" s="5"/>
      <c r="BM280" s="40"/>
      <c r="BN280" s="5"/>
      <c r="BP280" s="40"/>
      <c r="BQ280" s="5"/>
      <c r="BS280" s="40"/>
      <c r="BT280" s="5"/>
      <c r="BV280" s="40"/>
      <c r="BW280" s="5"/>
      <c r="BY280" s="40"/>
      <c r="BZ280" s="5"/>
      <c r="CB280" s="40"/>
      <c r="CC280" s="5"/>
      <c r="CE280" s="40"/>
      <c r="CF280" s="5"/>
      <c r="CH280" s="40"/>
      <c r="CI280" s="5"/>
      <c r="CK280" s="40"/>
      <c r="CL280" s="5"/>
      <c r="CN280" s="40"/>
      <c r="CO280" s="5"/>
      <c r="CQ280" s="40"/>
      <c r="CR280" s="5"/>
    </row>
    <row r="281">
      <c r="AL281" s="40"/>
      <c r="AM281" s="5"/>
      <c r="AO281" s="40"/>
      <c r="AP281" s="5"/>
      <c r="AR281" s="40"/>
      <c r="AS281" s="5"/>
      <c r="AU281" s="40"/>
      <c r="AV281" s="5"/>
      <c r="AX281" s="40"/>
      <c r="AY281" s="5"/>
      <c r="BA281" s="40"/>
      <c r="BB281" s="5"/>
      <c r="BD281" s="40"/>
      <c r="BE281" s="5"/>
      <c r="BG281" s="40"/>
      <c r="BH281" s="5"/>
      <c r="BJ281" s="40"/>
      <c r="BK281" s="5"/>
      <c r="BM281" s="40"/>
      <c r="BN281" s="5"/>
      <c r="BP281" s="40"/>
      <c r="BQ281" s="5"/>
      <c r="BS281" s="40"/>
      <c r="BT281" s="5"/>
      <c r="BV281" s="40"/>
      <c r="BW281" s="5"/>
      <c r="BY281" s="40"/>
      <c r="BZ281" s="5"/>
      <c r="CB281" s="40"/>
      <c r="CC281" s="5"/>
      <c r="CE281" s="40"/>
      <c r="CF281" s="5"/>
      <c r="CH281" s="40"/>
      <c r="CI281" s="5"/>
      <c r="CK281" s="40"/>
      <c r="CL281" s="5"/>
      <c r="CN281" s="40"/>
      <c r="CO281" s="5"/>
      <c r="CQ281" s="40"/>
      <c r="CR281" s="5"/>
    </row>
    <row r="282">
      <c r="AL282" s="40"/>
      <c r="AM282" s="5"/>
      <c r="AO282" s="40"/>
      <c r="AP282" s="5"/>
      <c r="AR282" s="40"/>
      <c r="AS282" s="5"/>
      <c r="AU282" s="40"/>
      <c r="AV282" s="5"/>
      <c r="AX282" s="40"/>
      <c r="AY282" s="5"/>
      <c r="BA282" s="40"/>
      <c r="BB282" s="5"/>
      <c r="BD282" s="40"/>
      <c r="BE282" s="5"/>
      <c r="BG282" s="40"/>
      <c r="BH282" s="5"/>
      <c r="BJ282" s="40"/>
      <c r="BK282" s="5"/>
      <c r="BM282" s="40"/>
      <c r="BN282" s="5"/>
      <c r="BP282" s="40"/>
      <c r="BQ282" s="5"/>
      <c r="BS282" s="40"/>
      <c r="BT282" s="5"/>
      <c r="BV282" s="40"/>
      <c r="BW282" s="5"/>
      <c r="BY282" s="40"/>
      <c r="BZ282" s="5"/>
      <c r="CB282" s="40"/>
      <c r="CC282" s="5"/>
      <c r="CE282" s="40"/>
      <c r="CF282" s="5"/>
      <c r="CH282" s="40"/>
      <c r="CI282" s="5"/>
      <c r="CK282" s="40"/>
      <c r="CL282" s="5"/>
      <c r="CN282" s="40"/>
      <c r="CO282" s="5"/>
      <c r="CQ282" s="40"/>
      <c r="CR282" s="5"/>
    </row>
    <row r="283">
      <c r="AL283" s="40"/>
      <c r="AM283" s="5"/>
      <c r="AO283" s="40"/>
      <c r="AP283" s="5"/>
      <c r="AR283" s="40"/>
      <c r="AS283" s="5"/>
      <c r="AU283" s="40"/>
      <c r="AV283" s="5"/>
      <c r="AX283" s="40"/>
      <c r="AY283" s="5"/>
      <c r="BA283" s="40"/>
      <c r="BB283" s="5"/>
      <c r="BD283" s="40"/>
      <c r="BE283" s="5"/>
      <c r="BG283" s="40"/>
      <c r="BH283" s="5"/>
      <c r="BJ283" s="40"/>
      <c r="BK283" s="5"/>
      <c r="BM283" s="40"/>
      <c r="BN283" s="5"/>
      <c r="BP283" s="40"/>
      <c r="BQ283" s="5"/>
      <c r="BS283" s="40"/>
      <c r="BT283" s="5"/>
      <c r="BV283" s="40"/>
      <c r="BW283" s="5"/>
      <c r="BY283" s="40"/>
      <c r="BZ283" s="5"/>
      <c r="CB283" s="40"/>
      <c r="CC283" s="5"/>
      <c r="CE283" s="40"/>
      <c r="CF283" s="5"/>
      <c r="CH283" s="40"/>
      <c r="CI283" s="5"/>
      <c r="CK283" s="40"/>
      <c r="CL283" s="5"/>
      <c r="CN283" s="40"/>
      <c r="CO283" s="5"/>
      <c r="CQ283" s="40"/>
      <c r="CR283" s="5"/>
    </row>
    <row r="284">
      <c r="AL284" s="40"/>
      <c r="AM284" s="5"/>
      <c r="AO284" s="40"/>
      <c r="AP284" s="5"/>
      <c r="AR284" s="40"/>
      <c r="AS284" s="5"/>
      <c r="AU284" s="40"/>
      <c r="AV284" s="5"/>
      <c r="AX284" s="40"/>
      <c r="AY284" s="5"/>
      <c r="BA284" s="40"/>
      <c r="BB284" s="5"/>
      <c r="BD284" s="40"/>
      <c r="BE284" s="5"/>
      <c r="BG284" s="40"/>
      <c r="BH284" s="5"/>
      <c r="BJ284" s="40"/>
      <c r="BK284" s="5"/>
      <c r="BM284" s="40"/>
      <c r="BN284" s="5"/>
      <c r="BP284" s="40"/>
      <c r="BQ284" s="5"/>
      <c r="BS284" s="40"/>
      <c r="BT284" s="5"/>
      <c r="BV284" s="40"/>
      <c r="BW284" s="5"/>
      <c r="BY284" s="40"/>
      <c r="BZ284" s="5"/>
      <c r="CB284" s="40"/>
      <c r="CC284" s="5"/>
      <c r="CE284" s="40"/>
      <c r="CF284" s="5"/>
      <c r="CH284" s="40"/>
      <c r="CI284" s="5"/>
      <c r="CK284" s="40"/>
      <c r="CL284" s="5"/>
      <c r="CN284" s="40"/>
      <c r="CO284" s="5"/>
      <c r="CQ284" s="40"/>
      <c r="CR284" s="5"/>
    </row>
    <row r="285">
      <c r="AL285" s="40"/>
      <c r="AM285" s="5"/>
      <c r="AO285" s="40"/>
      <c r="AP285" s="5"/>
      <c r="AR285" s="40"/>
      <c r="AS285" s="5"/>
      <c r="AU285" s="40"/>
      <c r="AV285" s="5"/>
      <c r="AX285" s="40"/>
      <c r="AY285" s="5"/>
      <c r="BA285" s="40"/>
      <c r="BB285" s="5"/>
      <c r="BD285" s="40"/>
      <c r="BE285" s="5"/>
      <c r="BG285" s="40"/>
      <c r="BH285" s="5"/>
      <c r="BJ285" s="40"/>
      <c r="BK285" s="5"/>
      <c r="BM285" s="40"/>
      <c r="BN285" s="5"/>
      <c r="BP285" s="40"/>
      <c r="BQ285" s="5"/>
      <c r="BS285" s="40"/>
      <c r="BT285" s="5"/>
      <c r="BV285" s="40"/>
      <c r="BW285" s="5"/>
      <c r="BY285" s="40"/>
      <c r="BZ285" s="5"/>
      <c r="CB285" s="40"/>
      <c r="CC285" s="5"/>
      <c r="CE285" s="40"/>
      <c r="CF285" s="5"/>
      <c r="CH285" s="40"/>
      <c r="CI285" s="5"/>
      <c r="CK285" s="40"/>
      <c r="CL285" s="5"/>
      <c r="CN285" s="40"/>
      <c r="CO285" s="5"/>
      <c r="CQ285" s="40"/>
      <c r="CR285" s="5"/>
    </row>
    <row r="286">
      <c r="AL286" s="40"/>
      <c r="AM286" s="5"/>
      <c r="AO286" s="40"/>
      <c r="AP286" s="5"/>
      <c r="AR286" s="40"/>
      <c r="AS286" s="5"/>
      <c r="AU286" s="40"/>
      <c r="AV286" s="5"/>
      <c r="AX286" s="40"/>
      <c r="AY286" s="5"/>
      <c r="BA286" s="40"/>
      <c r="BB286" s="5"/>
      <c r="BD286" s="40"/>
      <c r="BE286" s="5"/>
      <c r="BG286" s="40"/>
      <c r="BH286" s="5"/>
      <c r="BJ286" s="40"/>
      <c r="BK286" s="5"/>
      <c r="BM286" s="40"/>
      <c r="BN286" s="5"/>
      <c r="BP286" s="40"/>
      <c r="BQ286" s="5"/>
      <c r="BS286" s="40"/>
      <c r="BT286" s="5"/>
      <c r="BV286" s="40"/>
      <c r="BW286" s="5"/>
      <c r="BY286" s="40"/>
      <c r="BZ286" s="5"/>
      <c r="CB286" s="40"/>
      <c r="CC286" s="5"/>
      <c r="CE286" s="40"/>
      <c r="CF286" s="5"/>
      <c r="CH286" s="40"/>
      <c r="CI286" s="5"/>
      <c r="CK286" s="40"/>
      <c r="CL286" s="5"/>
      <c r="CN286" s="40"/>
      <c r="CO286" s="5"/>
      <c r="CQ286" s="40"/>
      <c r="CR286" s="5"/>
    </row>
    <row r="287">
      <c r="AL287" s="40"/>
      <c r="AM287" s="5"/>
      <c r="AO287" s="40"/>
      <c r="AP287" s="5"/>
      <c r="AR287" s="40"/>
      <c r="AS287" s="5"/>
      <c r="AU287" s="40"/>
      <c r="AV287" s="5"/>
      <c r="AX287" s="40"/>
      <c r="AY287" s="5"/>
      <c r="BA287" s="40"/>
      <c r="BB287" s="5"/>
      <c r="BD287" s="40"/>
      <c r="BE287" s="5"/>
      <c r="BG287" s="40"/>
      <c r="BH287" s="5"/>
      <c r="BJ287" s="40"/>
      <c r="BK287" s="5"/>
      <c r="BM287" s="40"/>
      <c r="BN287" s="5"/>
      <c r="BP287" s="40"/>
      <c r="BQ287" s="5"/>
      <c r="BS287" s="40"/>
      <c r="BT287" s="5"/>
      <c r="BV287" s="40"/>
      <c r="BW287" s="5"/>
      <c r="BY287" s="40"/>
      <c r="BZ287" s="5"/>
      <c r="CB287" s="40"/>
      <c r="CC287" s="5"/>
      <c r="CE287" s="40"/>
      <c r="CF287" s="5"/>
      <c r="CH287" s="40"/>
      <c r="CI287" s="5"/>
      <c r="CK287" s="40"/>
      <c r="CL287" s="5"/>
      <c r="CN287" s="40"/>
      <c r="CO287" s="5"/>
      <c r="CQ287" s="40"/>
      <c r="CR287" s="5"/>
    </row>
    <row r="288">
      <c r="AL288" s="40"/>
      <c r="AM288" s="5"/>
      <c r="AO288" s="40"/>
      <c r="AP288" s="5"/>
      <c r="AR288" s="40"/>
      <c r="AS288" s="5"/>
      <c r="AU288" s="40"/>
      <c r="AV288" s="5"/>
      <c r="AX288" s="40"/>
      <c r="AY288" s="5"/>
      <c r="BA288" s="40"/>
      <c r="BB288" s="5"/>
      <c r="BD288" s="40"/>
      <c r="BE288" s="5"/>
      <c r="BG288" s="40"/>
      <c r="BH288" s="5"/>
      <c r="BJ288" s="40"/>
      <c r="BK288" s="5"/>
      <c r="BM288" s="40"/>
      <c r="BN288" s="5"/>
      <c r="BP288" s="40"/>
      <c r="BQ288" s="5"/>
      <c r="BS288" s="40"/>
      <c r="BT288" s="5"/>
      <c r="BV288" s="40"/>
      <c r="BW288" s="5"/>
      <c r="BY288" s="40"/>
      <c r="BZ288" s="5"/>
      <c r="CB288" s="40"/>
      <c r="CC288" s="5"/>
      <c r="CE288" s="40"/>
      <c r="CF288" s="5"/>
      <c r="CH288" s="40"/>
      <c r="CI288" s="5"/>
      <c r="CK288" s="40"/>
      <c r="CL288" s="5"/>
      <c r="CN288" s="40"/>
      <c r="CO288" s="5"/>
      <c r="CQ288" s="40"/>
      <c r="CR288" s="5"/>
    </row>
    <row r="289">
      <c r="AL289" s="40"/>
      <c r="AM289" s="5"/>
      <c r="AO289" s="40"/>
      <c r="AP289" s="5"/>
      <c r="AR289" s="40"/>
      <c r="AS289" s="5"/>
      <c r="AU289" s="40"/>
      <c r="AV289" s="5"/>
      <c r="AX289" s="40"/>
      <c r="AY289" s="5"/>
      <c r="BA289" s="40"/>
      <c r="BB289" s="5"/>
      <c r="BD289" s="40"/>
      <c r="BE289" s="5"/>
      <c r="BG289" s="40"/>
      <c r="BH289" s="5"/>
      <c r="BJ289" s="40"/>
      <c r="BK289" s="5"/>
      <c r="BM289" s="40"/>
      <c r="BN289" s="5"/>
      <c r="BP289" s="40"/>
      <c r="BQ289" s="5"/>
      <c r="BS289" s="40"/>
      <c r="BT289" s="5"/>
      <c r="BV289" s="40"/>
      <c r="BW289" s="5"/>
      <c r="BY289" s="40"/>
      <c r="BZ289" s="5"/>
      <c r="CB289" s="40"/>
      <c r="CC289" s="5"/>
      <c r="CE289" s="40"/>
      <c r="CF289" s="5"/>
      <c r="CH289" s="40"/>
      <c r="CI289" s="5"/>
      <c r="CK289" s="40"/>
      <c r="CL289" s="5"/>
      <c r="CN289" s="40"/>
      <c r="CO289" s="5"/>
      <c r="CQ289" s="40"/>
      <c r="CR289" s="5"/>
    </row>
    <row r="290">
      <c r="AL290" s="40"/>
      <c r="AM290" s="5"/>
      <c r="AO290" s="40"/>
      <c r="AP290" s="5"/>
      <c r="AR290" s="40"/>
      <c r="AS290" s="5"/>
      <c r="AU290" s="40"/>
      <c r="AV290" s="5"/>
      <c r="AX290" s="40"/>
      <c r="AY290" s="5"/>
      <c r="BA290" s="40"/>
      <c r="BB290" s="5"/>
      <c r="BD290" s="40"/>
      <c r="BE290" s="5"/>
      <c r="BG290" s="40"/>
      <c r="BH290" s="5"/>
      <c r="BJ290" s="40"/>
      <c r="BK290" s="5"/>
      <c r="BM290" s="40"/>
      <c r="BN290" s="5"/>
      <c r="BP290" s="40"/>
      <c r="BQ290" s="5"/>
      <c r="BS290" s="40"/>
      <c r="BT290" s="5"/>
      <c r="BV290" s="40"/>
      <c r="BW290" s="5"/>
      <c r="BY290" s="40"/>
      <c r="BZ290" s="5"/>
      <c r="CB290" s="40"/>
      <c r="CC290" s="5"/>
      <c r="CE290" s="40"/>
      <c r="CF290" s="5"/>
      <c r="CH290" s="40"/>
      <c r="CI290" s="5"/>
      <c r="CK290" s="40"/>
      <c r="CL290" s="5"/>
      <c r="CN290" s="40"/>
      <c r="CO290" s="5"/>
      <c r="CQ290" s="40"/>
      <c r="CR290" s="5"/>
    </row>
    <row r="291">
      <c r="AL291" s="40"/>
      <c r="AM291" s="5"/>
      <c r="AO291" s="40"/>
      <c r="AP291" s="5"/>
      <c r="AR291" s="40"/>
      <c r="AS291" s="5"/>
      <c r="AU291" s="40"/>
      <c r="AV291" s="5"/>
      <c r="AX291" s="40"/>
      <c r="AY291" s="5"/>
      <c r="BA291" s="40"/>
      <c r="BB291" s="5"/>
      <c r="BD291" s="40"/>
      <c r="BE291" s="5"/>
      <c r="BG291" s="40"/>
      <c r="BH291" s="5"/>
      <c r="BJ291" s="40"/>
      <c r="BK291" s="5"/>
      <c r="BM291" s="40"/>
      <c r="BN291" s="5"/>
      <c r="BP291" s="40"/>
      <c r="BQ291" s="5"/>
      <c r="BS291" s="40"/>
      <c r="BT291" s="5"/>
      <c r="BV291" s="40"/>
      <c r="BW291" s="5"/>
      <c r="BY291" s="40"/>
      <c r="BZ291" s="5"/>
      <c r="CB291" s="40"/>
      <c r="CC291" s="5"/>
      <c r="CE291" s="40"/>
      <c r="CF291" s="5"/>
      <c r="CH291" s="40"/>
      <c r="CI291" s="5"/>
      <c r="CK291" s="40"/>
      <c r="CL291" s="5"/>
      <c r="CN291" s="40"/>
      <c r="CO291" s="5"/>
      <c r="CQ291" s="40"/>
      <c r="CR291" s="5"/>
    </row>
    <row r="292">
      <c r="AL292" s="40"/>
      <c r="AM292" s="5"/>
      <c r="AO292" s="40"/>
      <c r="AP292" s="5"/>
      <c r="AR292" s="40"/>
      <c r="AS292" s="5"/>
      <c r="AU292" s="40"/>
      <c r="AV292" s="5"/>
      <c r="AX292" s="40"/>
      <c r="AY292" s="5"/>
      <c r="BA292" s="40"/>
      <c r="BB292" s="5"/>
      <c r="BD292" s="40"/>
      <c r="BE292" s="5"/>
      <c r="BG292" s="40"/>
      <c r="BH292" s="5"/>
      <c r="BJ292" s="40"/>
      <c r="BK292" s="5"/>
      <c r="BM292" s="40"/>
      <c r="BN292" s="5"/>
      <c r="BP292" s="40"/>
      <c r="BQ292" s="5"/>
      <c r="BS292" s="40"/>
      <c r="BT292" s="5"/>
      <c r="BV292" s="40"/>
      <c r="BW292" s="5"/>
      <c r="BY292" s="40"/>
      <c r="BZ292" s="5"/>
      <c r="CB292" s="40"/>
      <c r="CC292" s="5"/>
      <c r="CE292" s="40"/>
      <c r="CF292" s="5"/>
      <c r="CH292" s="40"/>
      <c r="CI292" s="5"/>
      <c r="CK292" s="40"/>
      <c r="CL292" s="5"/>
      <c r="CN292" s="40"/>
      <c r="CO292" s="5"/>
      <c r="CQ292" s="40"/>
      <c r="CR292" s="5"/>
    </row>
    <row r="293">
      <c r="AL293" s="40"/>
      <c r="AM293" s="5"/>
      <c r="AO293" s="40"/>
      <c r="AP293" s="5"/>
      <c r="AR293" s="40"/>
      <c r="AS293" s="5"/>
      <c r="AU293" s="40"/>
      <c r="AV293" s="5"/>
      <c r="AX293" s="40"/>
      <c r="AY293" s="5"/>
      <c r="BA293" s="40"/>
      <c r="BB293" s="5"/>
      <c r="BD293" s="40"/>
      <c r="BE293" s="5"/>
      <c r="BG293" s="40"/>
      <c r="BH293" s="5"/>
      <c r="BJ293" s="40"/>
      <c r="BK293" s="5"/>
      <c r="BM293" s="40"/>
      <c r="BN293" s="5"/>
      <c r="BP293" s="40"/>
      <c r="BQ293" s="5"/>
      <c r="BS293" s="40"/>
      <c r="BT293" s="5"/>
      <c r="BV293" s="40"/>
      <c r="BW293" s="5"/>
      <c r="BY293" s="40"/>
      <c r="BZ293" s="5"/>
      <c r="CB293" s="40"/>
      <c r="CC293" s="5"/>
      <c r="CE293" s="40"/>
      <c r="CF293" s="5"/>
      <c r="CH293" s="40"/>
      <c r="CI293" s="5"/>
      <c r="CK293" s="40"/>
      <c r="CL293" s="5"/>
      <c r="CN293" s="40"/>
      <c r="CO293" s="5"/>
      <c r="CQ293" s="40"/>
      <c r="CR293" s="5"/>
    </row>
    <row r="294">
      <c r="AL294" s="40"/>
      <c r="AM294" s="5"/>
      <c r="AO294" s="40"/>
      <c r="AP294" s="5"/>
      <c r="AR294" s="40"/>
      <c r="AS294" s="5"/>
      <c r="AU294" s="40"/>
      <c r="AV294" s="5"/>
      <c r="AX294" s="40"/>
      <c r="AY294" s="5"/>
      <c r="BA294" s="40"/>
      <c r="BB294" s="5"/>
      <c r="BD294" s="40"/>
      <c r="BE294" s="5"/>
      <c r="BG294" s="40"/>
      <c r="BH294" s="5"/>
      <c r="BJ294" s="40"/>
      <c r="BK294" s="5"/>
      <c r="BM294" s="40"/>
      <c r="BN294" s="5"/>
      <c r="BP294" s="40"/>
      <c r="BQ294" s="5"/>
      <c r="BS294" s="40"/>
      <c r="BT294" s="5"/>
      <c r="BV294" s="40"/>
      <c r="BW294" s="5"/>
      <c r="BY294" s="40"/>
      <c r="BZ294" s="5"/>
      <c r="CB294" s="40"/>
      <c r="CC294" s="5"/>
      <c r="CE294" s="40"/>
      <c r="CF294" s="5"/>
      <c r="CH294" s="40"/>
      <c r="CI294" s="5"/>
      <c r="CK294" s="40"/>
      <c r="CL294" s="5"/>
      <c r="CN294" s="40"/>
      <c r="CO294" s="5"/>
      <c r="CQ294" s="40"/>
      <c r="CR294" s="5"/>
    </row>
    <row r="295">
      <c r="AL295" s="40"/>
      <c r="AM295" s="5"/>
      <c r="AO295" s="40"/>
      <c r="AP295" s="5"/>
      <c r="AR295" s="40"/>
      <c r="AS295" s="5"/>
      <c r="AU295" s="40"/>
      <c r="AV295" s="5"/>
      <c r="AX295" s="40"/>
      <c r="AY295" s="5"/>
      <c r="BA295" s="40"/>
      <c r="BB295" s="5"/>
      <c r="BD295" s="40"/>
      <c r="BE295" s="5"/>
      <c r="BG295" s="40"/>
      <c r="BH295" s="5"/>
      <c r="BJ295" s="40"/>
      <c r="BK295" s="5"/>
      <c r="BM295" s="40"/>
      <c r="BN295" s="5"/>
      <c r="BP295" s="40"/>
      <c r="BQ295" s="5"/>
      <c r="BS295" s="40"/>
      <c r="BT295" s="5"/>
      <c r="BV295" s="40"/>
      <c r="BW295" s="5"/>
      <c r="BY295" s="40"/>
      <c r="BZ295" s="5"/>
      <c r="CB295" s="40"/>
      <c r="CC295" s="5"/>
      <c r="CE295" s="40"/>
      <c r="CF295" s="5"/>
      <c r="CH295" s="40"/>
      <c r="CI295" s="5"/>
      <c r="CK295" s="40"/>
      <c r="CL295" s="5"/>
      <c r="CN295" s="40"/>
      <c r="CO295" s="5"/>
      <c r="CQ295" s="40"/>
      <c r="CR295" s="5"/>
    </row>
    <row r="296">
      <c r="AL296" s="40"/>
      <c r="AM296" s="5"/>
      <c r="AO296" s="40"/>
      <c r="AP296" s="5"/>
      <c r="AR296" s="40"/>
      <c r="AS296" s="5"/>
      <c r="AU296" s="40"/>
      <c r="AV296" s="5"/>
      <c r="AX296" s="40"/>
      <c r="AY296" s="5"/>
      <c r="BA296" s="40"/>
      <c r="BB296" s="5"/>
      <c r="BD296" s="40"/>
      <c r="BE296" s="5"/>
      <c r="BG296" s="40"/>
      <c r="BH296" s="5"/>
      <c r="BJ296" s="40"/>
      <c r="BK296" s="5"/>
      <c r="BM296" s="40"/>
      <c r="BN296" s="5"/>
      <c r="BP296" s="40"/>
      <c r="BQ296" s="5"/>
      <c r="BS296" s="40"/>
      <c r="BT296" s="5"/>
      <c r="BV296" s="40"/>
      <c r="BW296" s="5"/>
      <c r="BY296" s="40"/>
      <c r="BZ296" s="5"/>
      <c r="CB296" s="40"/>
      <c r="CC296" s="5"/>
      <c r="CE296" s="40"/>
      <c r="CF296" s="5"/>
      <c r="CH296" s="40"/>
      <c r="CI296" s="5"/>
      <c r="CK296" s="40"/>
      <c r="CL296" s="5"/>
      <c r="CN296" s="40"/>
      <c r="CO296" s="5"/>
      <c r="CQ296" s="40"/>
      <c r="CR296" s="5"/>
    </row>
    <row r="297">
      <c r="AL297" s="40"/>
      <c r="AM297" s="5"/>
      <c r="AO297" s="40"/>
      <c r="AP297" s="5"/>
      <c r="AR297" s="40"/>
      <c r="AS297" s="5"/>
      <c r="AU297" s="40"/>
      <c r="AV297" s="5"/>
      <c r="AX297" s="40"/>
      <c r="AY297" s="5"/>
      <c r="BA297" s="40"/>
      <c r="BB297" s="5"/>
      <c r="BD297" s="40"/>
      <c r="BE297" s="5"/>
      <c r="BG297" s="40"/>
      <c r="BH297" s="5"/>
      <c r="BJ297" s="40"/>
      <c r="BK297" s="5"/>
      <c r="BM297" s="40"/>
      <c r="BN297" s="5"/>
      <c r="BP297" s="40"/>
      <c r="BQ297" s="5"/>
      <c r="BS297" s="40"/>
      <c r="BT297" s="5"/>
      <c r="BV297" s="40"/>
      <c r="BW297" s="5"/>
      <c r="BY297" s="40"/>
      <c r="BZ297" s="5"/>
      <c r="CB297" s="40"/>
      <c r="CC297" s="5"/>
      <c r="CE297" s="40"/>
      <c r="CF297" s="5"/>
      <c r="CH297" s="40"/>
      <c r="CI297" s="5"/>
      <c r="CK297" s="40"/>
      <c r="CL297" s="5"/>
      <c r="CN297" s="40"/>
      <c r="CO297" s="5"/>
      <c r="CQ297" s="40"/>
      <c r="CR297" s="5"/>
    </row>
    <row r="298">
      <c r="AL298" s="40"/>
      <c r="AM298" s="5"/>
      <c r="AO298" s="40"/>
      <c r="AP298" s="5"/>
      <c r="AR298" s="40"/>
      <c r="AS298" s="5"/>
      <c r="AU298" s="40"/>
      <c r="AV298" s="5"/>
      <c r="AX298" s="40"/>
      <c r="AY298" s="5"/>
      <c r="BA298" s="40"/>
      <c r="BB298" s="5"/>
      <c r="BD298" s="40"/>
      <c r="BE298" s="5"/>
      <c r="BG298" s="40"/>
      <c r="BH298" s="5"/>
      <c r="BJ298" s="40"/>
      <c r="BK298" s="5"/>
      <c r="BM298" s="40"/>
      <c r="BN298" s="5"/>
      <c r="BP298" s="40"/>
      <c r="BQ298" s="5"/>
      <c r="BS298" s="40"/>
      <c r="BT298" s="5"/>
      <c r="BV298" s="40"/>
      <c r="BW298" s="5"/>
      <c r="BY298" s="40"/>
      <c r="BZ298" s="5"/>
      <c r="CB298" s="40"/>
      <c r="CC298" s="5"/>
      <c r="CE298" s="40"/>
      <c r="CF298" s="5"/>
      <c r="CH298" s="40"/>
      <c r="CI298" s="5"/>
      <c r="CK298" s="40"/>
      <c r="CL298" s="5"/>
      <c r="CN298" s="40"/>
      <c r="CO298" s="5"/>
      <c r="CQ298" s="40"/>
      <c r="CR298" s="5"/>
    </row>
    <row r="299">
      <c r="AL299" s="40"/>
      <c r="AM299" s="5"/>
      <c r="AO299" s="40"/>
      <c r="AP299" s="5"/>
      <c r="AR299" s="40"/>
      <c r="AS299" s="5"/>
      <c r="AU299" s="40"/>
      <c r="AV299" s="5"/>
      <c r="AX299" s="40"/>
      <c r="AY299" s="5"/>
      <c r="BA299" s="40"/>
      <c r="BB299" s="5"/>
      <c r="BD299" s="40"/>
      <c r="BE299" s="5"/>
      <c r="BG299" s="40"/>
      <c r="BH299" s="5"/>
      <c r="BJ299" s="40"/>
      <c r="BK299" s="5"/>
      <c r="BM299" s="40"/>
      <c r="BN299" s="5"/>
      <c r="BP299" s="40"/>
      <c r="BQ299" s="5"/>
      <c r="BS299" s="40"/>
      <c r="BT299" s="5"/>
      <c r="BV299" s="40"/>
      <c r="BW299" s="5"/>
      <c r="BY299" s="40"/>
      <c r="BZ299" s="5"/>
      <c r="CB299" s="40"/>
      <c r="CC299" s="5"/>
      <c r="CE299" s="40"/>
      <c r="CF299" s="5"/>
      <c r="CH299" s="40"/>
      <c r="CI299" s="5"/>
      <c r="CK299" s="40"/>
      <c r="CL299" s="5"/>
      <c r="CN299" s="40"/>
      <c r="CO299" s="5"/>
      <c r="CQ299" s="40"/>
      <c r="CR299" s="5"/>
    </row>
    <row r="300">
      <c r="AL300" s="40"/>
      <c r="AM300" s="5"/>
      <c r="AO300" s="40"/>
      <c r="AP300" s="5"/>
      <c r="AR300" s="40"/>
      <c r="AS300" s="5"/>
      <c r="AU300" s="40"/>
      <c r="AV300" s="5"/>
      <c r="AX300" s="40"/>
      <c r="AY300" s="5"/>
      <c r="BA300" s="40"/>
      <c r="BB300" s="5"/>
      <c r="BD300" s="40"/>
      <c r="BE300" s="5"/>
      <c r="BG300" s="40"/>
      <c r="BH300" s="5"/>
      <c r="BJ300" s="40"/>
      <c r="BK300" s="5"/>
      <c r="BM300" s="40"/>
      <c r="BN300" s="5"/>
      <c r="BP300" s="40"/>
      <c r="BQ300" s="5"/>
      <c r="BS300" s="40"/>
      <c r="BT300" s="5"/>
      <c r="BV300" s="40"/>
      <c r="BW300" s="5"/>
      <c r="BY300" s="40"/>
      <c r="BZ300" s="5"/>
      <c r="CB300" s="40"/>
      <c r="CC300" s="5"/>
      <c r="CE300" s="40"/>
      <c r="CF300" s="5"/>
      <c r="CH300" s="40"/>
      <c r="CI300" s="5"/>
      <c r="CK300" s="40"/>
      <c r="CL300" s="5"/>
      <c r="CN300" s="40"/>
      <c r="CO300" s="5"/>
      <c r="CQ300" s="40"/>
      <c r="CR300" s="5"/>
    </row>
    <row r="301">
      <c r="AL301" s="40"/>
      <c r="AM301" s="5"/>
      <c r="AO301" s="40"/>
      <c r="AP301" s="5"/>
      <c r="AR301" s="40"/>
      <c r="AS301" s="5"/>
      <c r="AU301" s="40"/>
      <c r="AV301" s="5"/>
      <c r="AX301" s="40"/>
      <c r="AY301" s="5"/>
      <c r="BA301" s="40"/>
      <c r="BB301" s="5"/>
      <c r="BD301" s="40"/>
      <c r="BE301" s="5"/>
      <c r="BG301" s="40"/>
      <c r="BH301" s="5"/>
      <c r="BJ301" s="40"/>
      <c r="BK301" s="5"/>
      <c r="BM301" s="40"/>
      <c r="BN301" s="5"/>
      <c r="BP301" s="40"/>
      <c r="BQ301" s="5"/>
      <c r="BS301" s="40"/>
      <c r="BT301" s="5"/>
      <c r="BV301" s="40"/>
      <c r="BW301" s="5"/>
      <c r="BY301" s="40"/>
      <c r="BZ301" s="5"/>
      <c r="CB301" s="40"/>
      <c r="CC301" s="5"/>
      <c r="CE301" s="40"/>
      <c r="CF301" s="5"/>
      <c r="CH301" s="40"/>
      <c r="CI301" s="5"/>
      <c r="CK301" s="40"/>
      <c r="CL301" s="5"/>
      <c r="CN301" s="40"/>
      <c r="CO301" s="5"/>
      <c r="CQ301" s="40"/>
      <c r="CR301" s="5"/>
    </row>
    <row r="302">
      <c r="AL302" s="40"/>
      <c r="AM302" s="5"/>
      <c r="AO302" s="40"/>
      <c r="AP302" s="5"/>
      <c r="AR302" s="40"/>
      <c r="AS302" s="5"/>
      <c r="AU302" s="40"/>
      <c r="AV302" s="5"/>
      <c r="AX302" s="40"/>
      <c r="AY302" s="5"/>
      <c r="BA302" s="40"/>
      <c r="BB302" s="5"/>
      <c r="BD302" s="40"/>
      <c r="BE302" s="5"/>
      <c r="BG302" s="40"/>
      <c r="BH302" s="5"/>
      <c r="BJ302" s="40"/>
      <c r="BK302" s="5"/>
      <c r="BM302" s="40"/>
      <c r="BN302" s="5"/>
      <c r="BP302" s="40"/>
      <c r="BQ302" s="5"/>
      <c r="BS302" s="40"/>
      <c r="BT302" s="5"/>
      <c r="BV302" s="40"/>
      <c r="BW302" s="5"/>
      <c r="BY302" s="40"/>
      <c r="BZ302" s="5"/>
      <c r="CB302" s="40"/>
      <c r="CC302" s="5"/>
      <c r="CE302" s="40"/>
      <c r="CF302" s="5"/>
      <c r="CH302" s="40"/>
      <c r="CI302" s="5"/>
      <c r="CK302" s="40"/>
      <c r="CL302" s="5"/>
      <c r="CN302" s="40"/>
      <c r="CO302" s="5"/>
      <c r="CQ302" s="40"/>
      <c r="CR302" s="5"/>
    </row>
    <row r="303">
      <c r="AL303" s="40"/>
      <c r="AM303" s="5"/>
      <c r="AO303" s="40"/>
      <c r="AP303" s="5"/>
      <c r="AR303" s="40"/>
      <c r="AS303" s="5"/>
      <c r="AU303" s="40"/>
      <c r="AV303" s="5"/>
      <c r="AX303" s="40"/>
      <c r="AY303" s="5"/>
      <c r="BA303" s="40"/>
      <c r="BB303" s="5"/>
      <c r="BD303" s="40"/>
      <c r="BE303" s="5"/>
      <c r="BG303" s="40"/>
      <c r="BH303" s="5"/>
      <c r="BJ303" s="40"/>
      <c r="BK303" s="5"/>
      <c r="BM303" s="40"/>
      <c r="BN303" s="5"/>
      <c r="BP303" s="40"/>
      <c r="BQ303" s="5"/>
      <c r="BS303" s="40"/>
      <c r="BT303" s="5"/>
      <c r="BV303" s="40"/>
      <c r="BW303" s="5"/>
      <c r="BY303" s="40"/>
      <c r="BZ303" s="5"/>
      <c r="CB303" s="40"/>
      <c r="CC303" s="5"/>
      <c r="CE303" s="40"/>
      <c r="CF303" s="5"/>
      <c r="CH303" s="40"/>
      <c r="CI303" s="5"/>
      <c r="CK303" s="40"/>
      <c r="CL303" s="5"/>
      <c r="CN303" s="40"/>
      <c r="CO303" s="5"/>
      <c r="CQ303" s="40"/>
      <c r="CR303" s="5"/>
    </row>
    <row r="304">
      <c r="AL304" s="40"/>
      <c r="AM304" s="5"/>
      <c r="AO304" s="40"/>
      <c r="AP304" s="5"/>
      <c r="AR304" s="40"/>
      <c r="AS304" s="5"/>
      <c r="AU304" s="40"/>
      <c r="AV304" s="5"/>
      <c r="AX304" s="40"/>
      <c r="AY304" s="5"/>
      <c r="BA304" s="40"/>
      <c r="BB304" s="5"/>
      <c r="BD304" s="40"/>
      <c r="BE304" s="5"/>
      <c r="BG304" s="40"/>
      <c r="BH304" s="5"/>
      <c r="BJ304" s="40"/>
      <c r="BK304" s="5"/>
      <c r="BM304" s="40"/>
      <c r="BN304" s="5"/>
      <c r="BP304" s="40"/>
      <c r="BQ304" s="5"/>
      <c r="BS304" s="40"/>
      <c r="BT304" s="5"/>
      <c r="BV304" s="40"/>
      <c r="BW304" s="5"/>
      <c r="BY304" s="40"/>
      <c r="BZ304" s="5"/>
      <c r="CB304" s="40"/>
      <c r="CC304" s="5"/>
      <c r="CE304" s="40"/>
      <c r="CF304" s="5"/>
      <c r="CH304" s="40"/>
      <c r="CI304" s="5"/>
      <c r="CK304" s="40"/>
      <c r="CL304" s="5"/>
      <c r="CN304" s="40"/>
      <c r="CO304" s="5"/>
      <c r="CQ304" s="40"/>
      <c r="CR304" s="5"/>
    </row>
    <row r="305">
      <c r="AL305" s="40"/>
      <c r="AM305" s="5"/>
      <c r="AO305" s="40"/>
      <c r="AP305" s="5"/>
      <c r="AR305" s="40"/>
      <c r="AS305" s="5"/>
      <c r="AU305" s="40"/>
      <c r="AV305" s="5"/>
      <c r="AX305" s="40"/>
      <c r="AY305" s="5"/>
      <c r="BA305" s="40"/>
      <c r="BB305" s="5"/>
      <c r="BD305" s="40"/>
      <c r="BE305" s="5"/>
      <c r="BG305" s="40"/>
      <c r="BH305" s="5"/>
      <c r="BJ305" s="40"/>
      <c r="BK305" s="5"/>
      <c r="BM305" s="40"/>
      <c r="BN305" s="5"/>
      <c r="BP305" s="40"/>
      <c r="BQ305" s="5"/>
      <c r="BS305" s="40"/>
      <c r="BT305" s="5"/>
      <c r="BV305" s="40"/>
      <c r="BW305" s="5"/>
      <c r="BY305" s="40"/>
      <c r="BZ305" s="5"/>
      <c r="CB305" s="40"/>
      <c r="CC305" s="5"/>
      <c r="CE305" s="40"/>
      <c r="CF305" s="5"/>
      <c r="CH305" s="40"/>
      <c r="CI305" s="5"/>
      <c r="CK305" s="40"/>
      <c r="CL305" s="5"/>
      <c r="CN305" s="40"/>
      <c r="CO305" s="5"/>
      <c r="CQ305" s="40"/>
      <c r="CR305" s="5"/>
    </row>
    <row r="306">
      <c r="AL306" s="40"/>
      <c r="AM306" s="5"/>
      <c r="AO306" s="40"/>
      <c r="AP306" s="5"/>
      <c r="AR306" s="40"/>
      <c r="AS306" s="5"/>
      <c r="AU306" s="40"/>
      <c r="AV306" s="5"/>
      <c r="AX306" s="40"/>
      <c r="AY306" s="5"/>
      <c r="BA306" s="40"/>
      <c r="BB306" s="5"/>
      <c r="BD306" s="40"/>
      <c r="BE306" s="5"/>
      <c r="BG306" s="40"/>
      <c r="BH306" s="5"/>
      <c r="BJ306" s="40"/>
      <c r="BK306" s="5"/>
      <c r="BM306" s="40"/>
      <c r="BN306" s="5"/>
      <c r="BP306" s="40"/>
      <c r="BQ306" s="5"/>
      <c r="BS306" s="40"/>
      <c r="BT306" s="5"/>
      <c r="BV306" s="40"/>
      <c r="BW306" s="5"/>
      <c r="BY306" s="40"/>
      <c r="BZ306" s="5"/>
      <c r="CB306" s="40"/>
      <c r="CC306" s="5"/>
      <c r="CE306" s="40"/>
      <c r="CF306" s="5"/>
      <c r="CH306" s="40"/>
      <c r="CI306" s="5"/>
      <c r="CK306" s="40"/>
      <c r="CL306" s="5"/>
      <c r="CN306" s="40"/>
      <c r="CO306" s="5"/>
      <c r="CQ306" s="40"/>
      <c r="CR306" s="5"/>
    </row>
    <row r="307">
      <c r="AL307" s="40"/>
      <c r="AM307" s="5"/>
      <c r="AO307" s="40"/>
      <c r="AP307" s="5"/>
      <c r="AR307" s="40"/>
      <c r="AS307" s="5"/>
      <c r="AU307" s="40"/>
      <c r="AV307" s="5"/>
      <c r="AX307" s="40"/>
      <c r="AY307" s="5"/>
      <c r="BA307" s="40"/>
      <c r="BB307" s="5"/>
      <c r="BD307" s="40"/>
      <c r="BE307" s="5"/>
      <c r="BG307" s="40"/>
      <c r="BH307" s="5"/>
      <c r="BJ307" s="40"/>
      <c r="BK307" s="5"/>
      <c r="BM307" s="40"/>
      <c r="BN307" s="5"/>
      <c r="BP307" s="40"/>
      <c r="BQ307" s="5"/>
      <c r="BS307" s="40"/>
      <c r="BT307" s="5"/>
      <c r="BV307" s="40"/>
      <c r="BW307" s="5"/>
      <c r="BY307" s="40"/>
      <c r="BZ307" s="5"/>
      <c r="CB307" s="40"/>
      <c r="CC307" s="5"/>
      <c r="CE307" s="40"/>
      <c r="CF307" s="5"/>
      <c r="CH307" s="40"/>
      <c r="CI307" s="5"/>
      <c r="CK307" s="40"/>
      <c r="CL307" s="5"/>
      <c r="CN307" s="40"/>
      <c r="CO307" s="5"/>
      <c r="CQ307" s="40"/>
      <c r="CR307" s="5"/>
    </row>
    <row r="308">
      <c r="AL308" s="40"/>
      <c r="AM308" s="5"/>
      <c r="AO308" s="40"/>
      <c r="AP308" s="5"/>
      <c r="AR308" s="40"/>
      <c r="AS308" s="5"/>
      <c r="AU308" s="40"/>
      <c r="AV308" s="5"/>
      <c r="AX308" s="40"/>
      <c r="AY308" s="5"/>
      <c r="BA308" s="40"/>
      <c r="BB308" s="5"/>
      <c r="BD308" s="40"/>
      <c r="BE308" s="5"/>
      <c r="BG308" s="40"/>
      <c r="BH308" s="5"/>
      <c r="BJ308" s="40"/>
      <c r="BK308" s="5"/>
      <c r="BM308" s="40"/>
      <c r="BN308" s="5"/>
      <c r="BP308" s="40"/>
      <c r="BQ308" s="5"/>
      <c r="BS308" s="40"/>
      <c r="BT308" s="5"/>
      <c r="BV308" s="40"/>
      <c r="BW308" s="5"/>
      <c r="BY308" s="40"/>
      <c r="BZ308" s="5"/>
      <c r="CB308" s="40"/>
      <c r="CC308" s="5"/>
      <c r="CE308" s="40"/>
      <c r="CF308" s="5"/>
      <c r="CH308" s="40"/>
      <c r="CI308" s="5"/>
      <c r="CK308" s="40"/>
      <c r="CL308" s="5"/>
      <c r="CN308" s="40"/>
      <c r="CO308" s="5"/>
      <c r="CQ308" s="40"/>
      <c r="CR308" s="5"/>
    </row>
    <row r="309">
      <c r="AL309" s="40"/>
      <c r="AM309" s="5"/>
      <c r="AO309" s="40"/>
      <c r="AP309" s="5"/>
      <c r="AR309" s="40"/>
      <c r="AS309" s="5"/>
      <c r="AU309" s="40"/>
      <c r="AV309" s="5"/>
      <c r="AX309" s="40"/>
      <c r="AY309" s="5"/>
      <c r="BA309" s="40"/>
      <c r="BB309" s="5"/>
      <c r="BD309" s="40"/>
      <c r="BE309" s="5"/>
      <c r="BG309" s="40"/>
      <c r="BH309" s="5"/>
      <c r="BJ309" s="40"/>
      <c r="BK309" s="5"/>
      <c r="BM309" s="40"/>
      <c r="BN309" s="5"/>
      <c r="BP309" s="40"/>
      <c r="BQ309" s="5"/>
      <c r="BS309" s="40"/>
      <c r="BT309" s="5"/>
      <c r="BV309" s="40"/>
      <c r="BW309" s="5"/>
      <c r="BY309" s="40"/>
      <c r="BZ309" s="5"/>
      <c r="CB309" s="40"/>
      <c r="CC309" s="5"/>
      <c r="CE309" s="40"/>
      <c r="CF309" s="5"/>
      <c r="CH309" s="40"/>
      <c r="CI309" s="5"/>
      <c r="CK309" s="40"/>
      <c r="CL309" s="5"/>
      <c r="CN309" s="40"/>
      <c r="CO309" s="5"/>
      <c r="CQ309" s="40"/>
      <c r="CR309" s="5"/>
    </row>
    <row r="310">
      <c r="AL310" s="40"/>
      <c r="AM310" s="5"/>
      <c r="AO310" s="40"/>
      <c r="AP310" s="5"/>
      <c r="AR310" s="40"/>
      <c r="AS310" s="5"/>
      <c r="AU310" s="40"/>
      <c r="AV310" s="5"/>
      <c r="AX310" s="40"/>
      <c r="AY310" s="5"/>
      <c r="BA310" s="40"/>
      <c r="BB310" s="5"/>
      <c r="BD310" s="40"/>
      <c r="BE310" s="5"/>
      <c r="BG310" s="40"/>
      <c r="BH310" s="5"/>
      <c r="BJ310" s="40"/>
      <c r="BK310" s="5"/>
      <c r="BM310" s="40"/>
      <c r="BN310" s="5"/>
      <c r="BP310" s="40"/>
      <c r="BQ310" s="5"/>
      <c r="BS310" s="40"/>
      <c r="BT310" s="5"/>
      <c r="BV310" s="40"/>
      <c r="BW310" s="5"/>
      <c r="BY310" s="40"/>
      <c r="BZ310" s="5"/>
      <c r="CB310" s="40"/>
      <c r="CC310" s="5"/>
      <c r="CE310" s="40"/>
      <c r="CF310" s="5"/>
      <c r="CH310" s="40"/>
      <c r="CI310" s="5"/>
      <c r="CK310" s="40"/>
      <c r="CL310" s="5"/>
      <c r="CN310" s="40"/>
      <c r="CO310" s="5"/>
      <c r="CQ310" s="40"/>
      <c r="CR310" s="5"/>
    </row>
    <row r="311">
      <c r="AL311" s="40"/>
      <c r="AM311" s="5"/>
      <c r="AO311" s="40"/>
      <c r="AP311" s="5"/>
      <c r="AR311" s="40"/>
      <c r="AS311" s="5"/>
      <c r="AU311" s="40"/>
      <c r="AV311" s="5"/>
      <c r="AX311" s="40"/>
      <c r="AY311" s="5"/>
      <c r="BA311" s="40"/>
      <c r="BB311" s="5"/>
      <c r="BD311" s="40"/>
      <c r="BE311" s="5"/>
      <c r="BG311" s="40"/>
      <c r="BH311" s="5"/>
      <c r="BJ311" s="40"/>
      <c r="BK311" s="5"/>
      <c r="BM311" s="40"/>
      <c r="BN311" s="5"/>
      <c r="BP311" s="40"/>
      <c r="BQ311" s="5"/>
      <c r="BS311" s="40"/>
      <c r="BT311" s="5"/>
      <c r="BV311" s="40"/>
      <c r="BW311" s="5"/>
      <c r="BY311" s="40"/>
      <c r="BZ311" s="5"/>
      <c r="CB311" s="40"/>
      <c r="CC311" s="5"/>
      <c r="CE311" s="40"/>
      <c r="CF311" s="5"/>
      <c r="CH311" s="40"/>
      <c r="CI311" s="5"/>
      <c r="CK311" s="40"/>
      <c r="CL311" s="5"/>
      <c r="CN311" s="40"/>
      <c r="CO311" s="5"/>
      <c r="CQ311" s="40"/>
      <c r="CR311" s="5"/>
    </row>
    <row r="312">
      <c r="AL312" s="40"/>
      <c r="AM312" s="5"/>
      <c r="AO312" s="40"/>
      <c r="AP312" s="5"/>
      <c r="AR312" s="40"/>
      <c r="AS312" s="5"/>
      <c r="AU312" s="40"/>
      <c r="AV312" s="5"/>
      <c r="AX312" s="40"/>
      <c r="AY312" s="5"/>
      <c r="BA312" s="40"/>
      <c r="BB312" s="5"/>
      <c r="BD312" s="40"/>
      <c r="BE312" s="5"/>
      <c r="BG312" s="40"/>
      <c r="BH312" s="5"/>
      <c r="BJ312" s="40"/>
      <c r="BK312" s="5"/>
      <c r="BM312" s="40"/>
      <c r="BN312" s="5"/>
      <c r="BP312" s="40"/>
      <c r="BQ312" s="5"/>
      <c r="BS312" s="40"/>
      <c r="BT312" s="5"/>
      <c r="BV312" s="40"/>
      <c r="BW312" s="5"/>
      <c r="BY312" s="40"/>
      <c r="BZ312" s="5"/>
      <c r="CB312" s="40"/>
      <c r="CC312" s="5"/>
      <c r="CE312" s="40"/>
      <c r="CF312" s="5"/>
      <c r="CH312" s="40"/>
      <c r="CI312" s="5"/>
      <c r="CK312" s="40"/>
      <c r="CL312" s="5"/>
      <c r="CN312" s="40"/>
      <c r="CO312" s="5"/>
      <c r="CQ312" s="40"/>
      <c r="CR312" s="5"/>
    </row>
    <row r="313">
      <c r="AL313" s="40"/>
      <c r="AM313" s="5"/>
      <c r="AO313" s="40"/>
      <c r="AP313" s="5"/>
      <c r="AR313" s="40"/>
      <c r="AS313" s="5"/>
      <c r="AU313" s="40"/>
      <c r="AV313" s="5"/>
      <c r="AX313" s="40"/>
      <c r="AY313" s="5"/>
      <c r="BA313" s="40"/>
      <c r="BB313" s="5"/>
      <c r="BD313" s="40"/>
      <c r="BE313" s="5"/>
      <c r="BG313" s="40"/>
      <c r="BH313" s="5"/>
      <c r="BJ313" s="40"/>
      <c r="BK313" s="5"/>
      <c r="BM313" s="40"/>
      <c r="BN313" s="5"/>
      <c r="BP313" s="40"/>
      <c r="BQ313" s="5"/>
      <c r="BS313" s="40"/>
      <c r="BT313" s="5"/>
      <c r="BV313" s="40"/>
      <c r="BW313" s="5"/>
      <c r="BY313" s="40"/>
      <c r="BZ313" s="5"/>
      <c r="CB313" s="40"/>
      <c r="CC313" s="5"/>
      <c r="CE313" s="40"/>
      <c r="CF313" s="5"/>
      <c r="CH313" s="40"/>
      <c r="CI313" s="5"/>
      <c r="CK313" s="40"/>
      <c r="CL313" s="5"/>
      <c r="CN313" s="40"/>
      <c r="CO313" s="5"/>
      <c r="CQ313" s="40"/>
      <c r="CR313" s="5"/>
    </row>
    <row r="314">
      <c r="AL314" s="40"/>
      <c r="AM314" s="5"/>
      <c r="AO314" s="40"/>
      <c r="AP314" s="5"/>
      <c r="AR314" s="40"/>
      <c r="AS314" s="5"/>
      <c r="AU314" s="40"/>
      <c r="AV314" s="5"/>
      <c r="AX314" s="40"/>
      <c r="AY314" s="5"/>
      <c r="BA314" s="40"/>
      <c r="BB314" s="5"/>
      <c r="BD314" s="40"/>
      <c r="BE314" s="5"/>
      <c r="BG314" s="40"/>
      <c r="BH314" s="5"/>
      <c r="BJ314" s="40"/>
      <c r="BK314" s="5"/>
      <c r="BM314" s="40"/>
      <c r="BN314" s="5"/>
      <c r="BP314" s="40"/>
      <c r="BQ314" s="5"/>
      <c r="BS314" s="40"/>
      <c r="BT314" s="5"/>
      <c r="BV314" s="40"/>
      <c r="BW314" s="5"/>
      <c r="BY314" s="40"/>
      <c r="BZ314" s="5"/>
      <c r="CB314" s="40"/>
      <c r="CC314" s="5"/>
      <c r="CE314" s="40"/>
      <c r="CF314" s="5"/>
      <c r="CH314" s="40"/>
      <c r="CI314" s="5"/>
      <c r="CK314" s="40"/>
      <c r="CL314" s="5"/>
      <c r="CN314" s="40"/>
      <c r="CO314" s="5"/>
      <c r="CQ314" s="40"/>
      <c r="CR314" s="5"/>
    </row>
    <row r="315">
      <c r="AL315" s="40"/>
      <c r="AM315" s="5"/>
      <c r="AO315" s="40"/>
      <c r="AP315" s="5"/>
      <c r="AR315" s="40"/>
      <c r="AS315" s="5"/>
      <c r="AU315" s="40"/>
      <c r="AV315" s="5"/>
      <c r="AX315" s="40"/>
      <c r="AY315" s="5"/>
      <c r="BA315" s="40"/>
      <c r="BB315" s="5"/>
      <c r="BD315" s="40"/>
      <c r="BE315" s="5"/>
      <c r="BG315" s="40"/>
      <c r="BH315" s="5"/>
      <c r="BJ315" s="40"/>
      <c r="BK315" s="5"/>
      <c r="BM315" s="40"/>
      <c r="BN315" s="5"/>
      <c r="BP315" s="40"/>
      <c r="BQ315" s="5"/>
      <c r="BS315" s="40"/>
      <c r="BT315" s="5"/>
      <c r="BV315" s="40"/>
      <c r="BW315" s="5"/>
      <c r="BY315" s="40"/>
      <c r="BZ315" s="5"/>
      <c r="CB315" s="40"/>
      <c r="CC315" s="5"/>
      <c r="CE315" s="40"/>
      <c r="CF315" s="5"/>
      <c r="CH315" s="40"/>
      <c r="CI315" s="5"/>
      <c r="CK315" s="40"/>
      <c r="CL315" s="5"/>
      <c r="CN315" s="40"/>
      <c r="CO315" s="5"/>
      <c r="CQ315" s="40"/>
      <c r="CR315" s="5"/>
    </row>
    <row r="316">
      <c r="AL316" s="40"/>
      <c r="AM316" s="5"/>
      <c r="AO316" s="40"/>
      <c r="AP316" s="5"/>
      <c r="AR316" s="40"/>
      <c r="AS316" s="5"/>
      <c r="AU316" s="40"/>
      <c r="AV316" s="5"/>
      <c r="AX316" s="40"/>
      <c r="AY316" s="5"/>
      <c r="BA316" s="40"/>
      <c r="BB316" s="5"/>
      <c r="BD316" s="40"/>
      <c r="BE316" s="5"/>
      <c r="BG316" s="40"/>
      <c r="BH316" s="5"/>
      <c r="BJ316" s="40"/>
      <c r="BK316" s="5"/>
      <c r="BM316" s="40"/>
      <c r="BN316" s="5"/>
      <c r="BP316" s="40"/>
      <c r="BQ316" s="5"/>
      <c r="BS316" s="40"/>
      <c r="BT316" s="5"/>
      <c r="BV316" s="40"/>
      <c r="BW316" s="5"/>
      <c r="BY316" s="40"/>
      <c r="BZ316" s="5"/>
      <c r="CB316" s="40"/>
      <c r="CC316" s="5"/>
      <c r="CE316" s="40"/>
      <c r="CF316" s="5"/>
      <c r="CH316" s="40"/>
      <c r="CI316" s="5"/>
      <c r="CK316" s="40"/>
      <c r="CL316" s="5"/>
      <c r="CN316" s="40"/>
      <c r="CO316" s="5"/>
      <c r="CQ316" s="40"/>
      <c r="CR316" s="5"/>
    </row>
    <row r="317">
      <c r="AL317" s="40"/>
      <c r="AM317" s="5"/>
      <c r="AO317" s="40"/>
      <c r="AP317" s="5"/>
      <c r="AR317" s="40"/>
      <c r="AS317" s="5"/>
      <c r="AU317" s="40"/>
      <c r="AV317" s="5"/>
      <c r="AX317" s="40"/>
      <c r="AY317" s="5"/>
      <c r="BA317" s="40"/>
      <c r="BB317" s="5"/>
      <c r="BD317" s="40"/>
      <c r="BE317" s="5"/>
      <c r="BG317" s="40"/>
      <c r="BH317" s="5"/>
      <c r="BJ317" s="40"/>
      <c r="BK317" s="5"/>
      <c r="BM317" s="40"/>
      <c r="BN317" s="5"/>
      <c r="BP317" s="40"/>
      <c r="BQ317" s="5"/>
      <c r="BS317" s="40"/>
      <c r="BT317" s="5"/>
      <c r="BV317" s="40"/>
      <c r="BW317" s="5"/>
      <c r="BY317" s="40"/>
      <c r="BZ317" s="5"/>
      <c r="CB317" s="40"/>
      <c r="CC317" s="5"/>
      <c r="CE317" s="40"/>
      <c r="CF317" s="5"/>
      <c r="CH317" s="40"/>
      <c r="CI317" s="5"/>
      <c r="CK317" s="40"/>
      <c r="CL317" s="5"/>
      <c r="CN317" s="40"/>
      <c r="CO317" s="5"/>
      <c r="CQ317" s="40"/>
      <c r="CR317" s="5"/>
    </row>
    <row r="318">
      <c r="AL318" s="40"/>
      <c r="AM318" s="5"/>
      <c r="AO318" s="40"/>
      <c r="AP318" s="5"/>
      <c r="AR318" s="40"/>
      <c r="AS318" s="5"/>
      <c r="AU318" s="40"/>
      <c r="AV318" s="5"/>
      <c r="AX318" s="40"/>
      <c r="AY318" s="5"/>
      <c r="BA318" s="40"/>
      <c r="BB318" s="5"/>
      <c r="BD318" s="40"/>
      <c r="BE318" s="5"/>
      <c r="BG318" s="40"/>
      <c r="BH318" s="5"/>
      <c r="BJ318" s="40"/>
      <c r="BK318" s="5"/>
      <c r="BM318" s="40"/>
      <c r="BN318" s="5"/>
      <c r="BP318" s="40"/>
      <c r="BQ318" s="5"/>
      <c r="BS318" s="40"/>
      <c r="BT318" s="5"/>
      <c r="BV318" s="40"/>
      <c r="BW318" s="5"/>
      <c r="BY318" s="40"/>
      <c r="BZ318" s="5"/>
      <c r="CB318" s="40"/>
      <c r="CC318" s="5"/>
      <c r="CE318" s="40"/>
      <c r="CF318" s="5"/>
      <c r="CH318" s="40"/>
      <c r="CI318" s="5"/>
      <c r="CK318" s="40"/>
      <c r="CL318" s="5"/>
      <c r="CN318" s="40"/>
      <c r="CO318" s="5"/>
      <c r="CQ318" s="40"/>
      <c r="CR318" s="5"/>
    </row>
    <row r="319">
      <c r="AL319" s="40"/>
      <c r="AM319" s="5"/>
      <c r="AO319" s="40"/>
      <c r="AP319" s="5"/>
      <c r="AR319" s="40"/>
      <c r="AS319" s="5"/>
      <c r="AU319" s="40"/>
      <c r="AV319" s="5"/>
      <c r="AX319" s="40"/>
      <c r="AY319" s="5"/>
      <c r="BA319" s="40"/>
      <c r="BB319" s="5"/>
      <c r="BD319" s="40"/>
      <c r="BE319" s="5"/>
      <c r="BG319" s="40"/>
      <c r="BH319" s="5"/>
      <c r="BJ319" s="40"/>
      <c r="BK319" s="5"/>
      <c r="BM319" s="40"/>
      <c r="BN319" s="5"/>
      <c r="BP319" s="40"/>
      <c r="BQ319" s="5"/>
      <c r="BS319" s="40"/>
      <c r="BT319" s="5"/>
      <c r="BV319" s="40"/>
      <c r="BW319" s="5"/>
      <c r="BY319" s="40"/>
      <c r="BZ319" s="5"/>
      <c r="CB319" s="40"/>
      <c r="CC319" s="5"/>
      <c r="CE319" s="40"/>
      <c r="CF319" s="5"/>
      <c r="CH319" s="40"/>
      <c r="CI319" s="5"/>
      <c r="CK319" s="40"/>
      <c r="CL319" s="5"/>
      <c r="CN319" s="40"/>
      <c r="CO319" s="5"/>
      <c r="CQ319" s="40"/>
      <c r="CR319" s="5"/>
    </row>
    <row r="320">
      <c r="AL320" s="40"/>
      <c r="AM320" s="5"/>
      <c r="AO320" s="40"/>
      <c r="AP320" s="5"/>
      <c r="AR320" s="40"/>
      <c r="AS320" s="5"/>
      <c r="AU320" s="40"/>
      <c r="AV320" s="5"/>
      <c r="AX320" s="40"/>
      <c r="AY320" s="5"/>
      <c r="BA320" s="40"/>
      <c r="BB320" s="5"/>
      <c r="BD320" s="40"/>
      <c r="BE320" s="5"/>
      <c r="BG320" s="40"/>
      <c r="BH320" s="5"/>
      <c r="BJ320" s="40"/>
      <c r="BK320" s="5"/>
      <c r="BM320" s="40"/>
      <c r="BN320" s="5"/>
      <c r="BP320" s="40"/>
      <c r="BQ320" s="5"/>
      <c r="BS320" s="40"/>
      <c r="BT320" s="5"/>
      <c r="BV320" s="40"/>
      <c r="BW320" s="5"/>
      <c r="BY320" s="40"/>
      <c r="BZ320" s="5"/>
      <c r="CB320" s="40"/>
      <c r="CC320" s="5"/>
      <c r="CE320" s="40"/>
      <c r="CF320" s="5"/>
      <c r="CH320" s="40"/>
      <c r="CI320" s="5"/>
      <c r="CK320" s="40"/>
      <c r="CL320" s="5"/>
      <c r="CN320" s="40"/>
      <c r="CO320" s="5"/>
      <c r="CQ320" s="40"/>
      <c r="CR320" s="5"/>
    </row>
    <row r="321">
      <c r="AL321" s="40"/>
      <c r="AM321" s="5"/>
      <c r="AO321" s="40"/>
      <c r="AP321" s="5"/>
      <c r="AR321" s="40"/>
      <c r="AS321" s="5"/>
      <c r="AU321" s="40"/>
      <c r="AV321" s="5"/>
      <c r="AX321" s="40"/>
      <c r="AY321" s="5"/>
      <c r="BA321" s="40"/>
      <c r="BB321" s="5"/>
      <c r="BD321" s="40"/>
      <c r="BE321" s="5"/>
      <c r="BG321" s="40"/>
      <c r="BH321" s="5"/>
      <c r="BJ321" s="40"/>
      <c r="BK321" s="5"/>
      <c r="BM321" s="40"/>
      <c r="BN321" s="5"/>
      <c r="BP321" s="40"/>
      <c r="BQ321" s="5"/>
      <c r="BS321" s="40"/>
      <c r="BT321" s="5"/>
      <c r="BV321" s="40"/>
      <c r="BW321" s="5"/>
      <c r="BY321" s="40"/>
      <c r="BZ321" s="5"/>
      <c r="CB321" s="40"/>
      <c r="CC321" s="5"/>
      <c r="CE321" s="40"/>
      <c r="CF321" s="5"/>
      <c r="CH321" s="40"/>
      <c r="CI321" s="5"/>
      <c r="CK321" s="40"/>
      <c r="CL321" s="5"/>
      <c r="CN321" s="40"/>
      <c r="CO321" s="5"/>
      <c r="CQ321" s="40"/>
      <c r="CR321" s="5"/>
    </row>
    <row r="322">
      <c r="AL322" s="40"/>
      <c r="AM322" s="5"/>
      <c r="AO322" s="40"/>
      <c r="AP322" s="5"/>
      <c r="AR322" s="40"/>
      <c r="AS322" s="5"/>
      <c r="AU322" s="40"/>
      <c r="AV322" s="5"/>
      <c r="AX322" s="40"/>
      <c r="AY322" s="5"/>
      <c r="BA322" s="40"/>
      <c r="BB322" s="5"/>
      <c r="BD322" s="40"/>
      <c r="BE322" s="5"/>
      <c r="BG322" s="40"/>
      <c r="BH322" s="5"/>
      <c r="BJ322" s="40"/>
      <c r="BK322" s="5"/>
      <c r="BM322" s="40"/>
      <c r="BN322" s="5"/>
      <c r="BP322" s="40"/>
      <c r="BQ322" s="5"/>
      <c r="BS322" s="40"/>
      <c r="BT322" s="5"/>
      <c r="BV322" s="40"/>
      <c r="BW322" s="5"/>
      <c r="BY322" s="40"/>
      <c r="BZ322" s="5"/>
      <c r="CB322" s="40"/>
      <c r="CC322" s="5"/>
      <c r="CE322" s="40"/>
      <c r="CF322" s="5"/>
      <c r="CH322" s="40"/>
      <c r="CI322" s="5"/>
      <c r="CK322" s="40"/>
      <c r="CL322" s="5"/>
      <c r="CN322" s="40"/>
      <c r="CO322" s="5"/>
      <c r="CQ322" s="40"/>
      <c r="CR322" s="5"/>
    </row>
    <row r="323">
      <c r="AL323" s="40"/>
      <c r="AM323" s="5"/>
      <c r="AO323" s="40"/>
      <c r="AP323" s="5"/>
      <c r="AR323" s="40"/>
      <c r="AS323" s="5"/>
      <c r="AU323" s="40"/>
      <c r="AV323" s="5"/>
      <c r="AX323" s="40"/>
      <c r="AY323" s="5"/>
      <c r="BA323" s="40"/>
      <c r="BB323" s="5"/>
      <c r="BD323" s="40"/>
      <c r="BE323" s="5"/>
      <c r="BG323" s="40"/>
      <c r="BH323" s="5"/>
      <c r="BJ323" s="40"/>
      <c r="BK323" s="5"/>
      <c r="BM323" s="40"/>
      <c r="BN323" s="5"/>
      <c r="BP323" s="40"/>
      <c r="BQ323" s="5"/>
      <c r="BS323" s="40"/>
      <c r="BT323" s="5"/>
      <c r="BV323" s="40"/>
      <c r="BW323" s="5"/>
      <c r="BY323" s="40"/>
      <c r="BZ323" s="5"/>
      <c r="CB323" s="40"/>
      <c r="CC323" s="5"/>
      <c r="CE323" s="40"/>
      <c r="CF323" s="5"/>
      <c r="CH323" s="40"/>
      <c r="CI323" s="5"/>
      <c r="CK323" s="40"/>
      <c r="CL323" s="5"/>
      <c r="CN323" s="40"/>
      <c r="CO323" s="5"/>
      <c r="CQ323" s="40"/>
      <c r="CR323" s="5"/>
    </row>
    <row r="324">
      <c r="AL324" s="40"/>
      <c r="AM324" s="5"/>
      <c r="AO324" s="40"/>
      <c r="AP324" s="5"/>
      <c r="AR324" s="40"/>
      <c r="AS324" s="5"/>
      <c r="AU324" s="40"/>
      <c r="AV324" s="5"/>
      <c r="AX324" s="40"/>
      <c r="AY324" s="5"/>
      <c r="BA324" s="40"/>
      <c r="BB324" s="5"/>
      <c r="BD324" s="40"/>
      <c r="BE324" s="5"/>
      <c r="BG324" s="40"/>
      <c r="BH324" s="5"/>
      <c r="BJ324" s="40"/>
      <c r="BK324" s="5"/>
      <c r="BM324" s="40"/>
      <c r="BN324" s="5"/>
      <c r="BP324" s="40"/>
      <c r="BQ324" s="5"/>
      <c r="BS324" s="40"/>
      <c r="BT324" s="5"/>
      <c r="BV324" s="40"/>
      <c r="BW324" s="5"/>
      <c r="BY324" s="40"/>
      <c r="BZ324" s="5"/>
      <c r="CB324" s="40"/>
      <c r="CC324" s="5"/>
      <c r="CE324" s="40"/>
      <c r="CF324" s="5"/>
      <c r="CH324" s="40"/>
      <c r="CI324" s="5"/>
      <c r="CK324" s="40"/>
      <c r="CL324" s="5"/>
      <c r="CN324" s="40"/>
      <c r="CO324" s="5"/>
      <c r="CQ324" s="40"/>
      <c r="CR324" s="5"/>
    </row>
    <row r="325">
      <c r="AL325" s="40"/>
      <c r="AM325" s="5"/>
      <c r="AO325" s="40"/>
      <c r="AP325" s="5"/>
      <c r="AR325" s="40"/>
      <c r="AS325" s="5"/>
      <c r="AU325" s="40"/>
      <c r="AV325" s="5"/>
      <c r="AX325" s="40"/>
      <c r="AY325" s="5"/>
      <c r="BA325" s="40"/>
      <c r="BB325" s="5"/>
      <c r="BD325" s="40"/>
      <c r="BE325" s="5"/>
      <c r="BG325" s="40"/>
      <c r="BH325" s="5"/>
      <c r="BJ325" s="40"/>
      <c r="BK325" s="5"/>
      <c r="BM325" s="40"/>
      <c r="BN325" s="5"/>
      <c r="BP325" s="40"/>
      <c r="BQ325" s="5"/>
      <c r="BS325" s="40"/>
      <c r="BT325" s="5"/>
      <c r="BV325" s="40"/>
      <c r="BW325" s="5"/>
      <c r="BY325" s="40"/>
      <c r="BZ325" s="5"/>
      <c r="CB325" s="40"/>
      <c r="CC325" s="5"/>
      <c r="CE325" s="40"/>
      <c r="CF325" s="5"/>
      <c r="CH325" s="40"/>
      <c r="CI325" s="5"/>
      <c r="CK325" s="40"/>
      <c r="CL325" s="5"/>
      <c r="CN325" s="40"/>
      <c r="CO325" s="5"/>
      <c r="CQ325" s="40"/>
      <c r="CR325" s="5"/>
    </row>
    <row r="326">
      <c r="AL326" s="40"/>
      <c r="AM326" s="5"/>
      <c r="AO326" s="40"/>
      <c r="AP326" s="5"/>
      <c r="AR326" s="40"/>
      <c r="AS326" s="5"/>
      <c r="AU326" s="40"/>
      <c r="AV326" s="5"/>
      <c r="AX326" s="40"/>
      <c r="AY326" s="5"/>
      <c r="BA326" s="40"/>
      <c r="BB326" s="5"/>
      <c r="BD326" s="40"/>
      <c r="BE326" s="5"/>
      <c r="BG326" s="40"/>
      <c r="BH326" s="5"/>
      <c r="BJ326" s="40"/>
      <c r="BK326" s="5"/>
      <c r="BM326" s="40"/>
      <c r="BN326" s="5"/>
      <c r="BP326" s="40"/>
      <c r="BQ326" s="5"/>
      <c r="BS326" s="40"/>
      <c r="BT326" s="5"/>
      <c r="BV326" s="40"/>
      <c r="BW326" s="5"/>
      <c r="BY326" s="40"/>
      <c r="BZ326" s="5"/>
      <c r="CB326" s="40"/>
      <c r="CC326" s="5"/>
      <c r="CE326" s="40"/>
      <c r="CF326" s="5"/>
      <c r="CH326" s="40"/>
      <c r="CI326" s="5"/>
      <c r="CK326" s="40"/>
      <c r="CL326" s="5"/>
      <c r="CN326" s="40"/>
      <c r="CO326" s="5"/>
      <c r="CQ326" s="40"/>
      <c r="CR326" s="5"/>
    </row>
    <row r="327">
      <c r="AL327" s="40"/>
      <c r="AM327" s="5"/>
      <c r="AO327" s="40"/>
      <c r="AP327" s="5"/>
      <c r="AR327" s="40"/>
      <c r="AS327" s="5"/>
      <c r="AU327" s="40"/>
      <c r="AV327" s="5"/>
      <c r="AX327" s="40"/>
      <c r="AY327" s="5"/>
      <c r="BA327" s="40"/>
      <c r="BB327" s="5"/>
      <c r="BD327" s="40"/>
      <c r="BE327" s="5"/>
      <c r="BG327" s="40"/>
      <c r="BH327" s="5"/>
      <c r="BJ327" s="40"/>
      <c r="BK327" s="5"/>
      <c r="BM327" s="40"/>
      <c r="BN327" s="5"/>
      <c r="BP327" s="40"/>
      <c r="BQ327" s="5"/>
      <c r="BS327" s="40"/>
      <c r="BT327" s="5"/>
      <c r="BV327" s="40"/>
      <c r="BW327" s="5"/>
      <c r="BY327" s="40"/>
      <c r="BZ327" s="5"/>
      <c r="CB327" s="40"/>
      <c r="CC327" s="5"/>
      <c r="CE327" s="40"/>
      <c r="CF327" s="5"/>
      <c r="CH327" s="40"/>
      <c r="CI327" s="5"/>
      <c r="CK327" s="40"/>
      <c r="CL327" s="5"/>
      <c r="CN327" s="40"/>
      <c r="CO327" s="5"/>
      <c r="CQ327" s="40"/>
      <c r="CR327" s="5"/>
    </row>
    <row r="328">
      <c r="AL328" s="40"/>
      <c r="AM328" s="5"/>
      <c r="AO328" s="40"/>
      <c r="AP328" s="5"/>
      <c r="AR328" s="40"/>
      <c r="AS328" s="5"/>
      <c r="AU328" s="40"/>
      <c r="AV328" s="5"/>
      <c r="AX328" s="40"/>
      <c r="AY328" s="5"/>
      <c r="BA328" s="40"/>
      <c r="BB328" s="5"/>
      <c r="BD328" s="40"/>
      <c r="BE328" s="5"/>
      <c r="BG328" s="40"/>
      <c r="BH328" s="5"/>
      <c r="BJ328" s="40"/>
      <c r="BK328" s="5"/>
      <c r="BM328" s="40"/>
      <c r="BN328" s="5"/>
      <c r="BP328" s="40"/>
      <c r="BQ328" s="5"/>
      <c r="BS328" s="40"/>
      <c r="BT328" s="5"/>
      <c r="BV328" s="40"/>
      <c r="BW328" s="5"/>
      <c r="BY328" s="40"/>
      <c r="BZ328" s="5"/>
      <c r="CB328" s="40"/>
      <c r="CC328" s="5"/>
      <c r="CE328" s="40"/>
      <c r="CF328" s="5"/>
      <c r="CH328" s="40"/>
      <c r="CI328" s="5"/>
      <c r="CK328" s="40"/>
      <c r="CL328" s="5"/>
      <c r="CN328" s="40"/>
      <c r="CO328" s="5"/>
      <c r="CQ328" s="40"/>
      <c r="CR328" s="5"/>
    </row>
    <row r="329">
      <c r="AL329" s="40"/>
      <c r="AM329" s="5"/>
      <c r="AO329" s="40"/>
      <c r="AP329" s="5"/>
      <c r="AR329" s="40"/>
      <c r="AS329" s="5"/>
      <c r="AU329" s="40"/>
      <c r="AV329" s="5"/>
      <c r="AX329" s="40"/>
      <c r="AY329" s="5"/>
      <c r="BA329" s="40"/>
      <c r="BB329" s="5"/>
      <c r="BD329" s="40"/>
      <c r="BE329" s="5"/>
      <c r="BG329" s="40"/>
      <c r="BH329" s="5"/>
      <c r="BJ329" s="40"/>
      <c r="BK329" s="5"/>
      <c r="BM329" s="40"/>
      <c r="BN329" s="5"/>
      <c r="BP329" s="40"/>
      <c r="BQ329" s="5"/>
      <c r="BS329" s="40"/>
      <c r="BT329" s="5"/>
      <c r="BV329" s="40"/>
      <c r="BW329" s="5"/>
      <c r="BY329" s="40"/>
      <c r="BZ329" s="5"/>
      <c r="CB329" s="40"/>
      <c r="CC329" s="5"/>
      <c r="CE329" s="40"/>
      <c r="CF329" s="5"/>
      <c r="CH329" s="40"/>
      <c r="CI329" s="5"/>
      <c r="CK329" s="40"/>
      <c r="CL329" s="5"/>
      <c r="CN329" s="40"/>
      <c r="CO329" s="5"/>
      <c r="CQ329" s="40"/>
      <c r="CR329" s="5"/>
    </row>
    <row r="330">
      <c r="AL330" s="40"/>
      <c r="AM330" s="5"/>
      <c r="AO330" s="40"/>
      <c r="AP330" s="5"/>
      <c r="AR330" s="40"/>
      <c r="AS330" s="5"/>
      <c r="AU330" s="40"/>
      <c r="AV330" s="5"/>
      <c r="AX330" s="40"/>
      <c r="AY330" s="5"/>
      <c r="BA330" s="40"/>
      <c r="BB330" s="5"/>
      <c r="BD330" s="40"/>
      <c r="BE330" s="5"/>
      <c r="BG330" s="40"/>
      <c r="BH330" s="5"/>
      <c r="BJ330" s="40"/>
      <c r="BK330" s="5"/>
      <c r="BM330" s="40"/>
      <c r="BN330" s="5"/>
      <c r="BP330" s="40"/>
      <c r="BQ330" s="5"/>
      <c r="BS330" s="40"/>
      <c r="BT330" s="5"/>
      <c r="BV330" s="40"/>
      <c r="BW330" s="5"/>
      <c r="BY330" s="40"/>
      <c r="BZ330" s="5"/>
      <c r="CB330" s="40"/>
      <c r="CC330" s="5"/>
      <c r="CE330" s="40"/>
      <c r="CF330" s="5"/>
      <c r="CH330" s="40"/>
      <c r="CI330" s="5"/>
      <c r="CK330" s="40"/>
      <c r="CL330" s="5"/>
      <c r="CN330" s="40"/>
      <c r="CO330" s="5"/>
      <c r="CQ330" s="40"/>
      <c r="CR330" s="5"/>
    </row>
    <row r="331">
      <c r="AL331" s="40"/>
      <c r="AM331" s="5"/>
      <c r="AO331" s="40"/>
      <c r="AP331" s="5"/>
      <c r="AR331" s="40"/>
      <c r="AS331" s="5"/>
      <c r="AU331" s="40"/>
      <c r="AV331" s="5"/>
      <c r="AX331" s="40"/>
      <c r="AY331" s="5"/>
      <c r="BA331" s="40"/>
      <c r="BB331" s="5"/>
      <c r="BD331" s="40"/>
      <c r="BE331" s="5"/>
      <c r="BG331" s="40"/>
      <c r="BH331" s="5"/>
      <c r="BJ331" s="40"/>
      <c r="BK331" s="5"/>
      <c r="BM331" s="40"/>
      <c r="BN331" s="5"/>
      <c r="BP331" s="40"/>
      <c r="BQ331" s="5"/>
      <c r="BS331" s="40"/>
      <c r="BT331" s="5"/>
      <c r="BV331" s="40"/>
      <c r="BW331" s="5"/>
      <c r="BY331" s="40"/>
      <c r="BZ331" s="5"/>
      <c r="CB331" s="40"/>
      <c r="CC331" s="5"/>
      <c r="CE331" s="40"/>
      <c r="CF331" s="5"/>
      <c r="CH331" s="40"/>
      <c r="CI331" s="5"/>
      <c r="CK331" s="40"/>
      <c r="CL331" s="5"/>
      <c r="CN331" s="40"/>
      <c r="CO331" s="5"/>
      <c r="CQ331" s="40"/>
      <c r="CR331" s="5"/>
    </row>
    <row r="332">
      <c r="AL332" s="40"/>
      <c r="AM332" s="5"/>
      <c r="AO332" s="40"/>
      <c r="AP332" s="5"/>
      <c r="AR332" s="40"/>
      <c r="AS332" s="5"/>
      <c r="AU332" s="40"/>
      <c r="AV332" s="5"/>
      <c r="AX332" s="40"/>
      <c r="AY332" s="5"/>
      <c r="BA332" s="40"/>
      <c r="BB332" s="5"/>
      <c r="BD332" s="40"/>
      <c r="BE332" s="5"/>
      <c r="BG332" s="40"/>
      <c r="BH332" s="5"/>
      <c r="BJ332" s="40"/>
      <c r="BK332" s="5"/>
      <c r="BM332" s="40"/>
      <c r="BN332" s="5"/>
      <c r="BP332" s="40"/>
      <c r="BQ332" s="5"/>
      <c r="BS332" s="40"/>
      <c r="BT332" s="5"/>
      <c r="BV332" s="40"/>
      <c r="BW332" s="5"/>
      <c r="BY332" s="40"/>
      <c r="BZ332" s="5"/>
      <c r="CB332" s="40"/>
      <c r="CC332" s="5"/>
      <c r="CE332" s="40"/>
      <c r="CF332" s="5"/>
      <c r="CH332" s="40"/>
      <c r="CI332" s="5"/>
      <c r="CK332" s="40"/>
      <c r="CL332" s="5"/>
      <c r="CN332" s="40"/>
      <c r="CO332" s="5"/>
      <c r="CQ332" s="40"/>
      <c r="CR332" s="5"/>
    </row>
    <row r="333">
      <c r="AL333" s="40"/>
      <c r="AM333" s="5"/>
      <c r="AO333" s="40"/>
      <c r="AP333" s="5"/>
      <c r="AR333" s="40"/>
      <c r="AS333" s="5"/>
      <c r="AU333" s="40"/>
      <c r="AV333" s="5"/>
      <c r="AX333" s="40"/>
      <c r="AY333" s="5"/>
      <c r="BA333" s="40"/>
      <c r="BB333" s="5"/>
      <c r="BD333" s="40"/>
      <c r="BE333" s="5"/>
      <c r="BG333" s="40"/>
      <c r="BH333" s="5"/>
      <c r="BJ333" s="40"/>
      <c r="BK333" s="5"/>
      <c r="BM333" s="40"/>
      <c r="BN333" s="5"/>
      <c r="BP333" s="40"/>
      <c r="BQ333" s="5"/>
      <c r="BS333" s="40"/>
      <c r="BT333" s="5"/>
      <c r="BV333" s="40"/>
      <c r="BW333" s="5"/>
      <c r="BY333" s="40"/>
      <c r="BZ333" s="5"/>
      <c r="CB333" s="40"/>
      <c r="CC333" s="5"/>
      <c r="CE333" s="40"/>
      <c r="CF333" s="5"/>
      <c r="CH333" s="40"/>
      <c r="CI333" s="5"/>
      <c r="CK333" s="40"/>
      <c r="CL333" s="5"/>
      <c r="CN333" s="40"/>
      <c r="CO333" s="5"/>
      <c r="CQ333" s="40"/>
      <c r="CR333" s="5"/>
    </row>
    <row r="334">
      <c r="AL334" s="40"/>
      <c r="AM334" s="5"/>
      <c r="AO334" s="40"/>
      <c r="AP334" s="5"/>
      <c r="AR334" s="40"/>
      <c r="AS334" s="5"/>
      <c r="AU334" s="40"/>
      <c r="AV334" s="5"/>
      <c r="AX334" s="40"/>
      <c r="AY334" s="5"/>
      <c r="BA334" s="40"/>
      <c r="BB334" s="5"/>
      <c r="BD334" s="40"/>
      <c r="BE334" s="5"/>
      <c r="BG334" s="40"/>
      <c r="BH334" s="5"/>
      <c r="BJ334" s="40"/>
      <c r="BK334" s="5"/>
      <c r="BM334" s="40"/>
      <c r="BN334" s="5"/>
      <c r="BP334" s="40"/>
      <c r="BQ334" s="5"/>
      <c r="BS334" s="40"/>
      <c r="BT334" s="5"/>
      <c r="BV334" s="40"/>
      <c r="BW334" s="5"/>
      <c r="BY334" s="40"/>
      <c r="BZ334" s="5"/>
      <c r="CB334" s="40"/>
      <c r="CC334" s="5"/>
      <c r="CE334" s="40"/>
      <c r="CF334" s="5"/>
      <c r="CH334" s="40"/>
      <c r="CI334" s="5"/>
      <c r="CK334" s="40"/>
      <c r="CL334" s="5"/>
      <c r="CN334" s="40"/>
      <c r="CO334" s="5"/>
      <c r="CQ334" s="40"/>
      <c r="CR334" s="5"/>
    </row>
    <row r="335">
      <c r="AL335" s="40"/>
      <c r="AM335" s="5"/>
      <c r="AO335" s="40"/>
      <c r="AP335" s="5"/>
      <c r="AR335" s="40"/>
      <c r="AS335" s="5"/>
      <c r="AU335" s="40"/>
      <c r="AV335" s="5"/>
      <c r="AX335" s="40"/>
      <c r="AY335" s="5"/>
      <c r="BA335" s="40"/>
      <c r="BB335" s="5"/>
      <c r="BD335" s="40"/>
      <c r="BE335" s="5"/>
      <c r="BG335" s="40"/>
      <c r="BH335" s="5"/>
      <c r="BJ335" s="40"/>
      <c r="BK335" s="5"/>
      <c r="BM335" s="40"/>
      <c r="BN335" s="5"/>
      <c r="BP335" s="40"/>
      <c r="BQ335" s="5"/>
      <c r="BS335" s="40"/>
      <c r="BT335" s="5"/>
      <c r="BV335" s="40"/>
      <c r="BW335" s="5"/>
      <c r="BY335" s="40"/>
      <c r="BZ335" s="5"/>
      <c r="CB335" s="40"/>
      <c r="CC335" s="5"/>
      <c r="CE335" s="40"/>
      <c r="CF335" s="5"/>
      <c r="CH335" s="40"/>
      <c r="CI335" s="5"/>
      <c r="CK335" s="40"/>
      <c r="CL335" s="5"/>
      <c r="CN335" s="40"/>
      <c r="CO335" s="5"/>
      <c r="CQ335" s="40"/>
      <c r="CR335" s="5"/>
    </row>
    <row r="336">
      <c r="AL336" s="40"/>
      <c r="AM336" s="5"/>
      <c r="AO336" s="40"/>
      <c r="AP336" s="5"/>
      <c r="AR336" s="40"/>
      <c r="AS336" s="5"/>
      <c r="AU336" s="40"/>
      <c r="AV336" s="5"/>
      <c r="AX336" s="40"/>
      <c r="AY336" s="5"/>
      <c r="BA336" s="40"/>
      <c r="BB336" s="5"/>
      <c r="BD336" s="40"/>
      <c r="BE336" s="5"/>
      <c r="BG336" s="40"/>
      <c r="BH336" s="5"/>
      <c r="BJ336" s="40"/>
      <c r="BK336" s="5"/>
      <c r="BM336" s="40"/>
      <c r="BN336" s="5"/>
      <c r="BP336" s="40"/>
      <c r="BQ336" s="5"/>
      <c r="BS336" s="40"/>
      <c r="BT336" s="5"/>
      <c r="BV336" s="40"/>
      <c r="BW336" s="5"/>
      <c r="BY336" s="40"/>
      <c r="BZ336" s="5"/>
      <c r="CB336" s="40"/>
      <c r="CC336" s="5"/>
      <c r="CE336" s="40"/>
      <c r="CF336" s="5"/>
      <c r="CH336" s="40"/>
      <c r="CI336" s="5"/>
      <c r="CK336" s="40"/>
      <c r="CL336" s="5"/>
      <c r="CN336" s="40"/>
      <c r="CO336" s="5"/>
      <c r="CQ336" s="40"/>
      <c r="CR336" s="5"/>
    </row>
    <row r="337">
      <c r="AL337" s="40"/>
      <c r="AM337" s="5"/>
      <c r="AO337" s="40"/>
      <c r="AP337" s="5"/>
      <c r="AR337" s="40"/>
      <c r="AS337" s="5"/>
      <c r="AU337" s="40"/>
      <c r="AV337" s="5"/>
      <c r="AX337" s="40"/>
      <c r="AY337" s="5"/>
      <c r="BA337" s="40"/>
      <c r="BB337" s="5"/>
      <c r="BD337" s="40"/>
      <c r="BE337" s="5"/>
      <c r="BG337" s="40"/>
      <c r="BH337" s="5"/>
      <c r="BJ337" s="40"/>
      <c r="BK337" s="5"/>
      <c r="BM337" s="40"/>
      <c r="BN337" s="5"/>
      <c r="BP337" s="40"/>
      <c r="BQ337" s="5"/>
      <c r="BS337" s="40"/>
      <c r="BT337" s="5"/>
      <c r="BV337" s="40"/>
      <c r="BW337" s="5"/>
      <c r="BY337" s="40"/>
      <c r="BZ337" s="5"/>
      <c r="CB337" s="40"/>
      <c r="CC337" s="5"/>
      <c r="CE337" s="40"/>
      <c r="CF337" s="5"/>
      <c r="CH337" s="40"/>
      <c r="CI337" s="5"/>
      <c r="CK337" s="40"/>
      <c r="CL337" s="5"/>
      <c r="CN337" s="40"/>
      <c r="CO337" s="5"/>
      <c r="CQ337" s="40"/>
      <c r="CR337" s="5"/>
    </row>
    <row r="338">
      <c r="AL338" s="40"/>
      <c r="AM338" s="5"/>
      <c r="AO338" s="40"/>
      <c r="AP338" s="5"/>
      <c r="AR338" s="40"/>
      <c r="AS338" s="5"/>
      <c r="AU338" s="40"/>
      <c r="AV338" s="5"/>
      <c r="AX338" s="40"/>
      <c r="AY338" s="5"/>
      <c r="BA338" s="40"/>
      <c r="BB338" s="5"/>
      <c r="BD338" s="40"/>
      <c r="BE338" s="5"/>
      <c r="BG338" s="40"/>
      <c r="BH338" s="5"/>
      <c r="BJ338" s="40"/>
      <c r="BK338" s="5"/>
      <c r="BM338" s="40"/>
      <c r="BN338" s="5"/>
      <c r="BP338" s="40"/>
      <c r="BQ338" s="5"/>
      <c r="BS338" s="40"/>
      <c r="BT338" s="5"/>
      <c r="BV338" s="40"/>
      <c r="BW338" s="5"/>
      <c r="BY338" s="40"/>
      <c r="BZ338" s="5"/>
      <c r="CB338" s="40"/>
      <c r="CC338" s="5"/>
      <c r="CE338" s="40"/>
      <c r="CF338" s="5"/>
      <c r="CH338" s="40"/>
      <c r="CI338" s="5"/>
      <c r="CK338" s="40"/>
      <c r="CL338" s="5"/>
      <c r="CN338" s="40"/>
      <c r="CO338" s="5"/>
      <c r="CQ338" s="40"/>
      <c r="CR338" s="5"/>
    </row>
    <row r="339">
      <c r="AL339" s="40"/>
      <c r="AM339" s="5"/>
      <c r="AO339" s="40"/>
      <c r="AP339" s="5"/>
      <c r="AR339" s="40"/>
      <c r="AS339" s="5"/>
      <c r="AU339" s="40"/>
      <c r="AV339" s="5"/>
      <c r="AX339" s="40"/>
      <c r="AY339" s="5"/>
      <c r="BA339" s="40"/>
      <c r="BB339" s="5"/>
      <c r="BD339" s="40"/>
      <c r="BE339" s="5"/>
      <c r="BG339" s="40"/>
      <c r="BH339" s="5"/>
      <c r="BJ339" s="40"/>
      <c r="BK339" s="5"/>
      <c r="BM339" s="40"/>
      <c r="BN339" s="5"/>
      <c r="BP339" s="40"/>
      <c r="BQ339" s="5"/>
      <c r="BS339" s="40"/>
      <c r="BT339" s="5"/>
      <c r="BV339" s="40"/>
      <c r="BW339" s="5"/>
      <c r="BY339" s="40"/>
      <c r="BZ339" s="5"/>
      <c r="CB339" s="40"/>
      <c r="CC339" s="5"/>
      <c r="CE339" s="40"/>
      <c r="CF339" s="5"/>
      <c r="CH339" s="40"/>
      <c r="CI339" s="5"/>
      <c r="CK339" s="40"/>
      <c r="CL339" s="5"/>
      <c r="CN339" s="40"/>
      <c r="CO339" s="5"/>
      <c r="CQ339" s="40"/>
      <c r="CR339" s="5"/>
    </row>
    <row r="340">
      <c r="AL340" s="40"/>
      <c r="AM340" s="5"/>
      <c r="AO340" s="40"/>
      <c r="AP340" s="5"/>
      <c r="AR340" s="40"/>
      <c r="AS340" s="5"/>
      <c r="AU340" s="40"/>
      <c r="AV340" s="5"/>
      <c r="AX340" s="40"/>
      <c r="AY340" s="5"/>
      <c r="BA340" s="40"/>
      <c r="BB340" s="5"/>
      <c r="BD340" s="40"/>
      <c r="BE340" s="5"/>
      <c r="BG340" s="40"/>
      <c r="BH340" s="5"/>
      <c r="BJ340" s="40"/>
      <c r="BK340" s="5"/>
      <c r="BM340" s="40"/>
      <c r="BN340" s="5"/>
      <c r="BP340" s="40"/>
      <c r="BQ340" s="5"/>
      <c r="BS340" s="40"/>
      <c r="BT340" s="5"/>
      <c r="BV340" s="40"/>
      <c r="BW340" s="5"/>
      <c r="BY340" s="40"/>
      <c r="BZ340" s="5"/>
      <c r="CB340" s="40"/>
      <c r="CC340" s="5"/>
      <c r="CE340" s="40"/>
      <c r="CF340" s="5"/>
      <c r="CH340" s="40"/>
      <c r="CI340" s="5"/>
      <c r="CK340" s="40"/>
      <c r="CL340" s="5"/>
      <c r="CN340" s="40"/>
      <c r="CO340" s="5"/>
      <c r="CQ340" s="40"/>
      <c r="CR340" s="5"/>
    </row>
    <row r="341">
      <c r="AL341" s="40"/>
      <c r="AM341" s="5"/>
      <c r="AO341" s="40"/>
      <c r="AP341" s="5"/>
      <c r="AR341" s="40"/>
      <c r="AS341" s="5"/>
      <c r="AU341" s="40"/>
      <c r="AV341" s="5"/>
      <c r="AX341" s="40"/>
      <c r="AY341" s="5"/>
      <c r="BA341" s="40"/>
      <c r="BB341" s="5"/>
      <c r="BD341" s="40"/>
      <c r="BE341" s="5"/>
      <c r="BG341" s="40"/>
      <c r="BH341" s="5"/>
      <c r="BJ341" s="40"/>
      <c r="BK341" s="5"/>
      <c r="BM341" s="40"/>
      <c r="BN341" s="5"/>
      <c r="BP341" s="40"/>
      <c r="BQ341" s="5"/>
      <c r="BS341" s="40"/>
      <c r="BT341" s="5"/>
      <c r="BV341" s="40"/>
      <c r="BW341" s="5"/>
      <c r="BY341" s="40"/>
      <c r="BZ341" s="5"/>
      <c r="CB341" s="40"/>
      <c r="CC341" s="5"/>
      <c r="CE341" s="40"/>
      <c r="CF341" s="5"/>
      <c r="CH341" s="40"/>
      <c r="CI341" s="5"/>
      <c r="CK341" s="40"/>
      <c r="CL341" s="5"/>
      <c r="CN341" s="40"/>
      <c r="CO341" s="5"/>
      <c r="CQ341" s="40"/>
      <c r="CR341" s="5"/>
    </row>
    <row r="342">
      <c r="AL342" s="40"/>
      <c r="AM342" s="5"/>
      <c r="AO342" s="40"/>
      <c r="AP342" s="5"/>
      <c r="AR342" s="40"/>
      <c r="AS342" s="5"/>
      <c r="AU342" s="40"/>
      <c r="AV342" s="5"/>
      <c r="AX342" s="40"/>
      <c r="AY342" s="5"/>
      <c r="BA342" s="40"/>
      <c r="BB342" s="5"/>
      <c r="BD342" s="40"/>
      <c r="BE342" s="5"/>
      <c r="BG342" s="40"/>
      <c r="BH342" s="5"/>
      <c r="BJ342" s="40"/>
      <c r="BK342" s="5"/>
      <c r="BM342" s="40"/>
      <c r="BN342" s="5"/>
      <c r="BP342" s="40"/>
      <c r="BQ342" s="5"/>
      <c r="BS342" s="40"/>
      <c r="BT342" s="5"/>
      <c r="BV342" s="40"/>
      <c r="BW342" s="5"/>
      <c r="BY342" s="40"/>
      <c r="BZ342" s="5"/>
      <c r="CB342" s="40"/>
      <c r="CC342" s="5"/>
      <c r="CE342" s="40"/>
      <c r="CF342" s="5"/>
      <c r="CH342" s="40"/>
      <c r="CI342" s="5"/>
      <c r="CK342" s="40"/>
      <c r="CL342" s="5"/>
      <c r="CN342" s="40"/>
      <c r="CO342" s="5"/>
      <c r="CQ342" s="40"/>
      <c r="CR342" s="5"/>
    </row>
    <row r="343">
      <c r="AL343" s="40"/>
      <c r="AM343" s="5"/>
      <c r="AO343" s="40"/>
      <c r="AP343" s="5"/>
      <c r="AR343" s="40"/>
      <c r="AS343" s="5"/>
      <c r="AU343" s="40"/>
      <c r="AV343" s="5"/>
      <c r="AX343" s="40"/>
      <c r="AY343" s="5"/>
      <c r="BA343" s="40"/>
      <c r="BB343" s="5"/>
      <c r="BD343" s="40"/>
      <c r="BE343" s="5"/>
      <c r="BG343" s="40"/>
      <c r="BH343" s="5"/>
      <c r="BJ343" s="40"/>
      <c r="BK343" s="5"/>
      <c r="BM343" s="40"/>
      <c r="BN343" s="5"/>
      <c r="BP343" s="40"/>
      <c r="BQ343" s="5"/>
      <c r="BS343" s="40"/>
      <c r="BT343" s="5"/>
      <c r="BV343" s="40"/>
      <c r="BW343" s="5"/>
      <c r="BY343" s="40"/>
      <c r="BZ343" s="5"/>
      <c r="CB343" s="40"/>
      <c r="CC343" s="5"/>
      <c r="CE343" s="40"/>
      <c r="CF343" s="5"/>
      <c r="CH343" s="40"/>
      <c r="CI343" s="5"/>
      <c r="CK343" s="40"/>
      <c r="CL343" s="5"/>
      <c r="CN343" s="40"/>
      <c r="CO343" s="5"/>
      <c r="CQ343" s="40"/>
      <c r="CR343" s="5"/>
    </row>
    <row r="344">
      <c r="AL344" s="40"/>
      <c r="AM344" s="5"/>
      <c r="AO344" s="40"/>
      <c r="AP344" s="5"/>
      <c r="AR344" s="40"/>
      <c r="AS344" s="5"/>
      <c r="AU344" s="40"/>
      <c r="AV344" s="5"/>
      <c r="AX344" s="40"/>
      <c r="AY344" s="5"/>
      <c r="BA344" s="40"/>
      <c r="BB344" s="5"/>
      <c r="BD344" s="40"/>
      <c r="BE344" s="5"/>
      <c r="BG344" s="40"/>
      <c r="BH344" s="5"/>
      <c r="BJ344" s="40"/>
      <c r="BK344" s="5"/>
      <c r="BM344" s="40"/>
      <c r="BN344" s="5"/>
      <c r="BP344" s="40"/>
      <c r="BQ344" s="5"/>
      <c r="BS344" s="40"/>
      <c r="BT344" s="5"/>
      <c r="BV344" s="40"/>
      <c r="BW344" s="5"/>
      <c r="BY344" s="40"/>
      <c r="BZ344" s="5"/>
      <c r="CB344" s="40"/>
      <c r="CC344" s="5"/>
      <c r="CE344" s="40"/>
      <c r="CF344" s="5"/>
      <c r="CH344" s="40"/>
      <c r="CI344" s="5"/>
      <c r="CK344" s="40"/>
      <c r="CL344" s="5"/>
      <c r="CN344" s="40"/>
      <c r="CO344" s="5"/>
      <c r="CQ344" s="40"/>
      <c r="CR344" s="5"/>
    </row>
    <row r="345">
      <c r="AL345" s="40"/>
      <c r="AM345" s="5"/>
      <c r="AO345" s="40"/>
      <c r="AP345" s="5"/>
      <c r="AR345" s="40"/>
      <c r="AS345" s="5"/>
      <c r="AU345" s="40"/>
      <c r="AV345" s="5"/>
      <c r="AX345" s="40"/>
      <c r="AY345" s="5"/>
      <c r="BA345" s="40"/>
      <c r="BB345" s="5"/>
      <c r="BD345" s="40"/>
      <c r="BE345" s="5"/>
      <c r="BG345" s="40"/>
      <c r="BH345" s="5"/>
      <c r="BJ345" s="40"/>
      <c r="BK345" s="5"/>
      <c r="BM345" s="40"/>
      <c r="BN345" s="5"/>
      <c r="BP345" s="40"/>
      <c r="BQ345" s="5"/>
      <c r="BS345" s="40"/>
      <c r="BT345" s="5"/>
      <c r="BV345" s="40"/>
      <c r="BW345" s="5"/>
      <c r="BY345" s="40"/>
      <c r="BZ345" s="5"/>
      <c r="CB345" s="40"/>
      <c r="CC345" s="5"/>
      <c r="CE345" s="40"/>
      <c r="CF345" s="5"/>
      <c r="CH345" s="40"/>
      <c r="CI345" s="5"/>
      <c r="CK345" s="40"/>
      <c r="CL345" s="5"/>
      <c r="CN345" s="40"/>
      <c r="CO345" s="5"/>
      <c r="CQ345" s="40"/>
      <c r="CR345" s="5"/>
    </row>
    <row r="346">
      <c r="AL346" s="40"/>
      <c r="AM346" s="5"/>
      <c r="AO346" s="40"/>
      <c r="AP346" s="5"/>
      <c r="AR346" s="40"/>
      <c r="AS346" s="5"/>
      <c r="AU346" s="40"/>
      <c r="AV346" s="5"/>
      <c r="AX346" s="40"/>
      <c r="AY346" s="5"/>
      <c r="BA346" s="40"/>
      <c r="BB346" s="5"/>
      <c r="BD346" s="40"/>
      <c r="BE346" s="5"/>
      <c r="BG346" s="40"/>
      <c r="BH346" s="5"/>
      <c r="BJ346" s="40"/>
      <c r="BK346" s="5"/>
      <c r="BM346" s="40"/>
      <c r="BN346" s="5"/>
      <c r="BP346" s="40"/>
      <c r="BQ346" s="5"/>
      <c r="BS346" s="40"/>
      <c r="BT346" s="5"/>
      <c r="BV346" s="40"/>
      <c r="BW346" s="5"/>
      <c r="BY346" s="40"/>
      <c r="BZ346" s="5"/>
      <c r="CB346" s="40"/>
      <c r="CC346" s="5"/>
      <c r="CE346" s="40"/>
      <c r="CF346" s="5"/>
      <c r="CH346" s="40"/>
      <c r="CI346" s="5"/>
      <c r="CK346" s="40"/>
      <c r="CL346" s="5"/>
      <c r="CN346" s="40"/>
      <c r="CO346" s="5"/>
      <c r="CQ346" s="40"/>
      <c r="CR346" s="5"/>
    </row>
    <row r="347">
      <c r="AL347" s="40"/>
      <c r="AM347" s="5"/>
      <c r="AO347" s="40"/>
      <c r="AP347" s="5"/>
      <c r="AR347" s="40"/>
      <c r="AS347" s="5"/>
      <c r="AU347" s="40"/>
      <c r="AV347" s="5"/>
      <c r="AX347" s="40"/>
      <c r="AY347" s="5"/>
      <c r="BA347" s="40"/>
      <c r="BB347" s="5"/>
      <c r="BD347" s="40"/>
      <c r="BE347" s="5"/>
      <c r="BG347" s="40"/>
      <c r="BH347" s="5"/>
      <c r="BJ347" s="40"/>
      <c r="BK347" s="5"/>
      <c r="BM347" s="40"/>
      <c r="BN347" s="5"/>
      <c r="BP347" s="40"/>
      <c r="BQ347" s="5"/>
      <c r="BS347" s="40"/>
      <c r="BT347" s="5"/>
      <c r="BV347" s="40"/>
      <c r="BW347" s="5"/>
      <c r="BY347" s="40"/>
      <c r="BZ347" s="5"/>
      <c r="CB347" s="40"/>
      <c r="CC347" s="5"/>
      <c r="CE347" s="40"/>
      <c r="CF347" s="5"/>
      <c r="CH347" s="40"/>
      <c r="CI347" s="5"/>
      <c r="CK347" s="40"/>
      <c r="CL347" s="5"/>
      <c r="CN347" s="40"/>
      <c r="CO347" s="5"/>
      <c r="CQ347" s="40"/>
      <c r="CR347" s="5"/>
    </row>
    <row r="348">
      <c r="AL348" s="40"/>
      <c r="AM348" s="5"/>
      <c r="AO348" s="40"/>
      <c r="AP348" s="5"/>
      <c r="AR348" s="40"/>
      <c r="AS348" s="5"/>
      <c r="AU348" s="40"/>
      <c r="AV348" s="5"/>
      <c r="AX348" s="40"/>
      <c r="AY348" s="5"/>
      <c r="BA348" s="40"/>
      <c r="BB348" s="5"/>
      <c r="BD348" s="40"/>
      <c r="BE348" s="5"/>
      <c r="BG348" s="40"/>
      <c r="BH348" s="5"/>
      <c r="BJ348" s="40"/>
      <c r="BK348" s="5"/>
      <c r="BM348" s="40"/>
      <c r="BN348" s="5"/>
      <c r="BP348" s="40"/>
      <c r="BQ348" s="5"/>
      <c r="BS348" s="40"/>
      <c r="BT348" s="5"/>
      <c r="BV348" s="40"/>
      <c r="BW348" s="5"/>
      <c r="BY348" s="40"/>
      <c r="BZ348" s="5"/>
      <c r="CB348" s="40"/>
      <c r="CC348" s="5"/>
      <c r="CE348" s="40"/>
      <c r="CF348" s="5"/>
      <c r="CH348" s="40"/>
      <c r="CI348" s="5"/>
      <c r="CK348" s="40"/>
      <c r="CL348" s="5"/>
      <c r="CN348" s="40"/>
      <c r="CO348" s="5"/>
      <c r="CQ348" s="40"/>
      <c r="CR348" s="5"/>
    </row>
    <row r="349">
      <c r="AL349" s="40"/>
      <c r="AM349" s="5"/>
      <c r="AO349" s="40"/>
      <c r="AP349" s="5"/>
      <c r="AR349" s="40"/>
      <c r="AS349" s="5"/>
      <c r="AU349" s="40"/>
      <c r="AV349" s="5"/>
      <c r="AX349" s="40"/>
      <c r="AY349" s="5"/>
      <c r="BA349" s="40"/>
      <c r="BB349" s="5"/>
      <c r="BD349" s="40"/>
      <c r="BE349" s="5"/>
      <c r="BG349" s="40"/>
      <c r="BH349" s="5"/>
      <c r="BJ349" s="40"/>
      <c r="BK349" s="5"/>
      <c r="BM349" s="40"/>
      <c r="BN349" s="5"/>
      <c r="BP349" s="40"/>
      <c r="BQ349" s="5"/>
      <c r="BS349" s="40"/>
      <c r="BT349" s="5"/>
      <c r="BV349" s="40"/>
      <c r="BW349" s="5"/>
      <c r="BY349" s="40"/>
      <c r="BZ349" s="5"/>
      <c r="CB349" s="40"/>
      <c r="CC349" s="5"/>
      <c r="CE349" s="40"/>
      <c r="CF349" s="5"/>
      <c r="CH349" s="40"/>
      <c r="CI349" s="5"/>
      <c r="CK349" s="40"/>
      <c r="CL349" s="5"/>
      <c r="CN349" s="40"/>
      <c r="CO349" s="5"/>
      <c r="CQ349" s="40"/>
      <c r="CR349" s="5"/>
    </row>
    <row r="350">
      <c r="AL350" s="40"/>
      <c r="AM350" s="5"/>
      <c r="AO350" s="40"/>
      <c r="AP350" s="5"/>
      <c r="AR350" s="40"/>
      <c r="AS350" s="5"/>
      <c r="AU350" s="40"/>
      <c r="AV350" s="5"/>
      <c r="AX350" s="40"/>
      <c r="AY350" s="5"/>
      <c r="BA350" s="40"/>
      <c r="BB350" s="5"/>
      <c r="BD350" s="40"/>
      <c r="BE350" s="5"/>
      <c r="BG350" s="40"/>
      <c r="BH350" s="5"/>
      <c r="BJ350" s="40"/>
      <c r="BK350" s="5"/>
      <c r="BM350" s="40"/>
      <c r="BN350" s="5"/>
      <c r="BP350" s="40"/>
      <c r="BQ350" s="5"/>
      <c r="BS350" s="40"/>
      <c r="BT350" s="5"/>
      <c r="BV350" s="40"/>
      <c r="BW350" s="5"/>
      <c r="BY350" s="40"/>
      <c r="BZ350" s="5"/>
      <c r="CB350" s="40"/>
      <c r="CC350" s="5"/>
      <c r="CE350" s="40"/>
      <c r="CF350" s="5"/>
      <c r="CH350" s="40"/>
      <c r="CI350" s="5"/>
      <c r="CK350" s="40"/>
      <c r="CL350" s="5"/>
      <c r="CN350" s="40"/>
      <c r="CO350" s="5"/>
      <c r="CQ350" s="40"/>
      <c r="CR350" s="5"/>
    </row>
    <row r="351">
      <c r="AL351" s="40"/>
      <c r="AM351" s="5"/>
      <c r="AO351" s="40"/>
      <c r="AP351" s="5"/>
      <c r="AR351" s="40"/>
      <c r="AS351" s="5"/>
      <c r="AU351" s="40"/>
      <c r="AV351" s="5"/>
      <c r="AX351" s="40"/>
      <c r="AY351" s="5"/>
      <c r="BA351" s="40"/>
      <c r="BB351" s="5"/>
      <c r="BD351" s="40"/>
      <c r="BE351" s="5"/>
      <c r="BG351" s="40"/>
      <c r="BH351" s="5"/>
      <c r="BJ351" s="40"/>
      <c r="BK351" s="5"/>
      <c r="BM351" s="40"/>
      <c r="BN351" s="5"/>
      <c r="BP351" s="40"/>
      <c r="BQ351" s="5"/>
      <c r="BS351" s="40"/>
      <c r="BT351" s="5"/>
      <c r="BV351" s="40"/>
      <c r="BW351" s="5"/>
      <c r="BY351" s="40"/>
      <c r="BZ351" s="5"/>
      <c r="CB351" s="40"/>
      <c r="CC351" s="5"/>
      <c r="CE351" s="40"/>
      <c r="CF351" s="5"/>
      <c r="CH351" s="40"/>
      <c r="CI351" s="5"/>
      <c r="CK351" s="40"/>
      <c r="CL351" s="5"/>
      <c r="CN351" s="40"/>
      <c r="CO351" s="5"/>
      <c r="CQ351" s="40"/>
      <c r="CR351" s="5"/>
    </row>
    <row r="352">
      <c r="AL352" s="40"/>
      <c r="AM352" s="5"/>
      <c r="AO352" s="40"/>
      <c r="AP352" s="5"/>
      <c r="AR352" s="40"/>
      <c r="AS352" s="5"/>
      <c r="AU352" s="40"/>
      <c r="AV352" s="5"/>
      <c r="AX352" s="40"/>
      <c r="AY352" s="5"/>
      <c r="BA352" s="40"/>
      <c r="BB352" s="5"/>
      <c r="BD352" s="40"/>
      <c r="BE352" s="5"/>
      <c r="BG352" s="40"/>
      <c r="BH352" s="5"/>
      <c r="BJ352" s="40"/>
      <c r="BK352" s="5"/>
      <c r="BM352" s="40"/>
      <c r="BN352" s="5"/>
      <c r="BP352" s="40"/>
      <c r="BQ352" s="5"/>
      <c r="BS352" s="40"/>
      <c r="BT352" s="5"/>
      <c r="BV352" s="40"/>
      <c r="BW352" s="5"/>
      <c r="BY352" s="40"/>
      <c r="BZ352" s="5"/>
      <c r="CB352" s="40"/>
      <c r="CC352" s="5"/>
      <c r="CE352" s="40"/>
      <c r="CF352" s="5"/>
      <c r="CH352" s="40"/>
      <c r="CI352" s="5"/>
      <c r="CK352" s="40"/>
      <c r="CL352" s="5"/>
      <c r="CN352" s="40"/>
      <c r="CO352" s="5"/>
      <c r="CQ352" s="40"/>
      <c r="CR352" s="5"/>
    </row>
    <row r="353">
      <c r="AL353" s="40"/>
      <c r="AM353" s="5"/>
      <c r="AO353" s="40"/>
      <c r="AP353" s="5"/>
      <c r="AR353" s="40"/>
      <c r="AS353" s="5"/>
      <c r="AU353" s="40"/>
      <c r="AV353" s="5"/>
      <c r="AX353" s="40"/>
      <c r="AY353" s="5"/>
      <c r="BA353" s="40"/>
      <c r="BB353" s="5"/>
      <c r="BD353" s="40"/>
      <c r="BE353" s="5"/>
      <c r="BG353" s="40"/>
      <c r="BH353" s="5"/>
      <c r="BJ353" s="40"/>
      <c r="BK353" s="5"/>
      <c r="BM353" s="40"/>
      <c r="BN353" s="5"/>
      <c r="BP353" s="40"/>
      <c r="BQ353" s="5"/>
      <c r="BS353" s="40"/>
      <c r="BT353" s="5"/>
      <c r="BV353" s="40"/>
      <c r="BW353" s="5"/>
      <c r="BY353" s="40"/>
      <c r="BZ353" s="5"/>
      <c r="CB353" s="40"/>
      <c r="CC353" s="5"/>
      <c r="CE353" s="40"/>
      <c r="CF353" s="5"/>
      <c r="CH353" s="40"/>
      <c r="CI353" s="5"/>
      <c r="CK353" s="40"/>
      <c r="CL353" s="5"/>
      <c r="CN353" s="40"/>
      <c r="CO353" s="5"/>
      <c r="CQ353" s="40"/>
      <c r="CR353" s="5"/>
    </row>
    <row r="354">
      <c r="AL354" s="40"/>
      <c r="AM354" s="5"/>
      <c r="AO354" s="40"/>
      <c r="AP354" s="5"/>
      <c r="AR354" s="40"/>
      <c r="AS354" s="5"/>
      <c r="AU354" s="40"/>
      <c r="AV354" s="5"/>
      <c r="AX354" s="40"/>
      <c r="AY354" s="5"/>
      <c r="BA354" s="40"/>
      <c r="BB354" s="5"/>
      <c r="BD354" s="40"/>
      <c r="BE354" s="5"/>
      <c r="BG354" s="40"/>
      <c r="BH354" s="5"/>
      <c r="BJ354" s="40"/>
      <c r="BK354" s="5"/>
      <c r="BM354" s="40"/>
      <c r="BN354" s="5"/>
      <c r="BP354" s="40"/>
      <c r="BQ354" s="5"/>
      <c r="BS354" s="40"/>
      <c r="BT354" s="5"/>
      <c r="BV354" s="40"/>
      <c r="BW354" s="5"/>
      <c r="BY354" s="40"/>
      <c r="BZ354" s="5"/>
      <c r="CB354" s="40"/>
      <c r="CC354" s="5"/>
      <c r="CE354" s="40"/>
      <c r="CF354" s="5"/>
      <c r="CH354" s="40"/>
      <c r="CI354" s="5"/>
      <c r="CK354" s="40"/>
      <c r="CL354" s="5"/>
      <c r="CN354" s="40"/>
      <c r="CO354" s="5"/>
      <c r="CQ354" s="40"/>
      <c r="CR354" s="5"/>
    </row>
    <row r="355">
      <c r="AL355" s="40"/>
      <c r="AM355" s="5"/>
      <c r="AO355" s="40"/>
      <c r="AP355" s="5"/>
      <c r="AR355" s="40"/>
      <c r="AS355" s="5"/>
      <c r="AU355" s="40"/>
      <c r="AV355" s="5"/>
      <c r="AX355" s="40"/>
      <c r="AY355" s="5"/>
      <c r="BA355" s="40"/>
      <c r="BB355" s="5"/>
      <c r="BD355" s="40"/>
      <c r="BE355" s="5"/>
      <c r="BG355" s="40"/>
      <c r="BH355" s="5"/>
      <c r="BJ355" s="40"/>
      <c r="BK355" s="5"/>
      <c r="BM355" s="40"/>
      <c r="BN355" s="5"/>
      <c r="BP355" s="40"/>
      <c r="BQ355" s="5"/>
      <c r="BS355" s="40"/>
      <c r="BT355" s="5"/>
      <c r="BV355" s="40"/>
      <c r="BW355" s="5"/>
      <c r="BY355" s="40"/>
      <c r="BZ355" s="5"/>
      <c r="CB355" s="40"/>
      <c r="CC355" s="5"/>
      <c r="CE355" s="40"/>
      <c r="CF355" s="5"/>
      <c r="CH355" s="40"/>
      <c r="CI355" s="5"/>
      <c r="CK355" s="40"/>
      <c r="CL355" s="5"/>
      <c r="CN355" s="40"/>
      <c r="CO355" s="5"/>
      <c r="CQ355" s="40"/>
      <c r="CR355" s="5"/>
    </row>
    <row r="356">
      <c r="AL356" s="40"/>
      <c r="AM356" s="5"/>
      <c r="AO356" s="40"/>
      <c r="AP356" s="5"/>
      <c r="AR356" s="40"/>
      <c r="AS356" s="5"/>
      <c r="AU356" s="40"/>
      <c r="AV356" s="5"/>
      <c r="AX356" s="40"/>
      <c r="AY356" s="5"/>
      <c r="BA356" s="40"/>
      <c r="BB356" s="5"/>
      <c r="BD356" s="40"/>
      <c r="BE356" s="5"/>
      <c r="BG356" s="40"/>
      <c r="BH356" s="5"/>
      <c r="BJ356" s="40"/>
      <c r="BK356" s="5"/>
      <c r="BM356" s="40"/>
      <c r="BN356" s="5"/>
      <c r="BP356" s="40"/>
      <c r="BQ356" s="5"/>
      <c r="BS356" s="40"/>
      <c r="BT356" s="5"/>
      <c r="BV356" s="40"/>
      <c r="BW356" s="5"/>
      <c r="BY356" s="40"/>
      <c r="BZ356" s="5"/>
      <c r="CB356" s="40"/>
      <c r="CC356" s="5"/>
      <c r="CE356" s="40"/>
      <c r="CF356" s="5"/>
      <c r="CH356" s="40"/>
      <c r="CI356" s="5"/>
      <c r="CK356" s="40"/>
      <c r="CL356" s="5"/>
      <c r="CN356" s="40"/>
      <c r="CO356" s="5"/>
      <c r="CQ356" s="40"/>
      <c r="CR356" s="5"/>
    </row>
    <row r="357">
      <c r="AL357" s="40"/>
      <c r="AM357" s="5"/>
      <c r="AO357" s="40"/>
      <c r="AP357" s="5"/>
      <c r="AR357" s="40"/>
      <c r="AS357" s="5"/>
      <c r="AU357" s="40"/>
      <c r="AV357" s="5"/>
      <c r="AX357" s="40"/>
      <c r="AY357" s="5"/>
      <c r="BA357" s="40"/>
      <c r="BB357" s="5"/>
      <c r="BD357" s="40"/>
      <c r="BE357" s="5"/>
      <c r="BG357" s="40"/>
      <c r="BH357" s="5"/>
      <c r="BJ357" s="40"/>
      <c r="BK357" s="5"/>
      <c r="BM357" s="40"/>
      <c r="BN357" s="5"/>
      <c r="BP357" s="40"/>
      <c r="BQ357" s="5"/>
      <c r="BS357" s="40"/>
      <c r="BT357" s="5"/>
      <c r="BV357" s="40"/>
      <c r="BW357" s="5"/>
      <c r="BY357" s="40"/>
      <c r="BZ357" s="5"/>
      <c r="CB357" s="40"/>
      <c r="CC357" s="5"/>
      <c r="CE357" s="40"/>
      <c r="CF357" s="5"/>
      <c r="CH357" s="40"/>
      <c r="CI357" s="5"/>
      <c r="CK357" s="40"/>
      <c r="CL357" s="5"/>
      <c r="CN357" s="40"/>
      <c r="CO357" s="5"/>
      <c r="CQ357" s="40"/>
      <c r="CR357" s="5"/>
    </row>
    <row r="358">
      <c r="AL358" s="40"/>
      <c r="AM358" s="5"/>
      <c r="AO358" s="40"/>
      <c r="AP358" s="5"/>
      <c r="AR358" s="40"/>
      <c r="AS358" s="5"/>
      <c r="AU358" s="40"/>
      <c r="AV358" s="5"/>
      <c r="AX358" s="40"/>
      <c r="AY358" s="5"/>
      <c r="BA358" s="40"/>
      <c r="BB358" s="5"/>
      <c r="BD358" s="40"/>
      <c r="BE358" s="5"/>
      <c r="BG358" s="40"/>
      <c r="BH358" s="5"/>
      <c r="BJ358" s="40"/>
      <c r="BK358" s="5"/>
      <c r="BM358" s="40"/>
      <c r="BN358" s="5"/>
      <c r="BP358" s="40"/>
      <c r="BQ358" s="5"/>
      <c r="BS358" s="40"/>
      <c r="BT358" s="5"/>
      <c r="BV358" s="40"/>
      <c r="BW358" s="5"/>
      <c r="BY358" s="40"/>
      <c r="BZ358" s="5"/>
      <c r="CB358" s="40"/>
      <c r="CC358" s="5"/>
      <c r="CE358" s="40"/>
      <c r="CF358" s="5"/>
      <c r="CH358" s="40"/>
      <c r="CI358" s="5"/>
      <c r="CK358" s="40"/>
      <c r="CL358" s="5"/>
      <c r="CN358" s="40"/>
      <c r="CO358" s="5"/>
      <c r="CQ358" s="40"/>
      <c r="CR358" s="5"/>
    </row>
    <row r="359">
      <c r="AL359" s="40"/>
      <c r="AM359" s="5"/>
      <c r="AO359" s="40"/>
      <c r="AP359" s="5"/>
      <c r="AR359" s="40"/>
      <c r="AS359" s="5"/>
      <c r="AU359" s="40"/>
      <c r="AV359" s="5"/>
      <c r="AX359" s="40"/>
      <c r="AY359" s="5"/>
      <c r="BA359" s="40"/>
      <c r="BB359" s="5"/>
      <c r="BD359" s="40"/>
      <c r="BE359" s="5"/>
      <c r="BG359" s="40"/>
      <c r="BH359" s="5"/>
      <c r="BJ359" s="40"/>
      <c r="BK359" s="5"/>
      <c r="BM359" s="40"/>
      <c r="BN359" s="5"/>
      <c r="BP359" s="40"/>
      <c r="BQ359" s="5"/>
      <c r="BS359" s="40"/>
      <c r="BT359" s="5"/>
      <c r="BV359" s="40"/>
      <c r="BW359" s="5"/>
      <c r="BY359" s="40"/>
      <c r="BZ359" s="5"/>
      <c r="CB359" s="40"/>
      <c r="CC359" s="5"/>
      <c r="CE359" s="40"/>
      <c r="CF359" s="5"/>
      <c r="CH359" s="40"/>
      <c r="CI359" s="5"/>
      <c r="CK359" s="40"/>
      <c r="CL359" s="5"/>
      <c r="CN359" s="40"/>
      <c r="CO359" s="5"/>
      <c r="CQ359" s="40"/>
      <c r="CR359" s="5"/>
    </row>
    <row r="360">
      <c r="AL360" s="40"/>
      <c r="AM360" s="5"/>
      <c r="AO360" s="40"/>
      <c r="AP360" s="5"/>
      <c r="AR360" s="40"/>
      <c r="AS360" s="5"/>
      <c r="AU360" s="40"/>
      <c r="AV360" s="5"/>
      <c r="AX360" s="40"/>
      <c r="AY360" s="5"/>
      <c r="BA360" s="40"/>
      <c r="BB360" s="5"/>
      <c r="BD360" s="40"/>
      <c r="BE360" s="5"/>
      <c r="BG360" s="40"/>
      <c r="BH360" s="5"/>
      <c r="BJ360" s="40"/>
      <c r="BK360" s="5"/>
      <c r="BM360" s="40"/>
      <c r="BN360" s="5"/>
      <c r="BP360" s="40"/>
      <c r="BQ360" s="5"/>
      <c r="BS360" s="40"/>
      <c r="BT360" s="5"/>
      <c r="BV360" s="40"/>
      <c r="BW360" s="5"/>
      <c r="BY360" s="40"/>
      <c r="BZ360" s="5"/>
      <c r="CB360" s="40"/>
      <c r="CC360" s="5"/>
      <c r="CE360" s="40"/>
      <c r="CF360" s="5"/>
      <c r="CH360" s="40"/>
      <c r="CI360" s="5"/>
      <c r="CK360" s="40"/>
      <c r="CL360" s="5"/>
      <c r="CN360" s="40"/>
      <c r="CO360" s="5"/>
      <c r="CQ360" s="40"/>
      <c r="CR360" s="5"/>
    </row>
    <row r="361">
      <c r="AL361" s="40"/>
      <c r="AM361" s="5"/>
      <c r="AO361" s="40"/>
      <c r="AP361" s="5"/>
      <c r="AR361" s="40"/>
      <c r="AS361" s="5"/>
      <c r="AU361" s="40"/>
      <c r="AV361" s="5"/>
      <c r="AX361" s="40"/>
      <c r="AY361" s="5"/>
      <c r="BA361" s="40"/>
      <c r="BB361" s="5"/>
      <c r="BD361" s="40"/>
      <c r="BE361" s="5"/>
      <c r="BG361" s="40"/>
      <c r="BH361" s="5"/>
      <c r="BJ361" s="40"/>
      <c r="BK361" s="5"/>
      <c r="BM361" s="40"/>
      <c r="BN361" s="5"/>
      <c r="BP361" s="40"/>
      <c r="BQ361" s="5"/>
      <c r="BS361" s="40"/>
      <c r="BT361" s="5"/>
      <c r="BV361" s="40"/>
      <c r="BW361" s="5"/>
      <c r="BY361" s="40"/>
      <c r="BZ361" s="5"/>
      <c r="CB361" s="40"/>
      <c r="CC361" s="5"/>
      <c r="CE361" s="40"/>
      <c r="CF361" s="5"/>
      <c r="CH361" s="40"/>
      <c r="CI361" s="5"/>
      <c r="CK361" s="40"/>
      <c r="CL361" s="5"/>
      <c r="CN361" s="40"/>
      <c r="CO361" s="5"/>
      <c r="CQ361" s="40"/>
      <c r="CR361" s="5"/>
    </row>
    <row r="362">
      <c r="AL362" s="40"/>
      <c r="AM362" s="5"/>
      <c r="AO362" s="40"/>
      <c r="AP362" s="5"/>
      <c r="AR362" s="40"/>
      <c r="AS362" s="5"/>
      <c r="AU362" s="40"/>
      <c r="AV362" s="5"/>
      <c r="AX362" s="40"/>
      <c r="AY362" s="5"/>
      <c r="BA362" s="40"/>
      <c r="BB362" s="5"/>
      <c r="BD362" s="40"/>
      <c r="BE362" s="5"/>
      <c r="BG362" s="40"/>
      <c r="BH362" s="5"/>
      <c r="BJ362" s="40"/>
      <c r="BK362" s="5"/>
      <c r="BM362" s="40"/>
      <c r="BN362" s="5"/>
      <c r="BP362" s="40"/>
      <c r="BQ362" s="5"/>
      <c r="BS362" s="40"/>
      <c r="BT362" s="5"/>
      <c r="BV362" s="40"/>
      <c r="BW362" s="5"/>
      <c r="BY362" s="40"/>
      <c r="BZ362" s="5"/>
      <c r="CB362" s="40"/>
      <c r="CC362" s="5"/>
      <c r="CE362" s="40"/>
      <c r="CF362" s="5"/>
      <c r="CH362" s="40"/>
      <c r="CI362" s="5"/>
      <c r="CK362" s="40"/>
      <c r="CL362" s="5"/>
      <c r="CN362" s="40"/>
      <c r="CO362" s="5"/>
      <c r="CQ362" s="40"/>
      <c r="CR362" s="5"/>
    </row>
    <row r="363">
      <c r="AL363" s="40"/>
      <c r="AM363" s="5"/>
      <c r="AO363" s="40"/>
      <c r="AP363" s="5"/>
      <c r="AR363" s="40"/>
      <c r="AS363" s="5"/>
      <c r="AU363" s="40"/>
      <c r="AV363" s="5"/>
      <c r="AX363" s="40"/>
      <c r="AY363" s="5"/>
      <c r="BA363" s="40"/>
      <c r="BB363" s="5"/>
      <c r="BD363" s="40"/>
      <c r="BE363" s="5"/>
      <c r="BG363" s="40"/>
      <c r="BH363" s="5"/>
      <c r="BJ363" s="40"/>
      <c r="BK363" s="5"/>
      <c r="BM363" s="40"/>
      <c r="BN363" s="5"/>
      <c r="BP363" s="40"/>
      <c r="BQ363" s="5"/>
      <c r="BS363" s="40"/>
      <c r="BT363" s="5"/>
      <c r="BV363" s="40"/>
      <c r="BW363" s="5"/>
      <c r="BY363" s="40"/>
      <c r="BZ363" s="5"/>
      <c r="CB363" s="40"/>
      <c r="CC363" s="5"/>
      <c r="CE363" s="40"/>
      <c r="CF363" s="5"/>
      <c r="CH363" s="40"/>
      <c r="CI363" s="5"/>
      <c r="CK363" s="40"/>
      <c r="CL363" s="5"/>
      <c r="CN363" s="40"/>
      <c r="CO363" s="5"/>
      <c r="CQ363" s="40"/>
      <c r="CR363" s="5"/>
    </row>
    <row r="364">
      <c r="AL364" s="40"/>
      <c r="AM364" s="5"/>
      <c r="AO364" s="40"/>
      <c r="AP364" s="5"/>
      <c r="AR364" s="40"/>
      <c r="AS364" s="5"/>
      <c r="AU364" s="40"/>
      <c r="AV364" s="5"/>
      <c r="AX364" s="40"/>
      <c r="AY364" s="5"/>
      <c r="BA364" s="40"/>
      <c r="BB364" s="5"/>
      <c r="BD364" s="40"/>
      <c r="BE364" s="5"/>
      <c r="BG364" s="40"/>
      <c r="BH364" s="5"/>
      <c r="BJ364" s="40"/>
      <c r="BK364" s="5"/>
      <c r="BM364" s="40"/>
      <c r="BN364" s="5"/>
      <c r="BP364" s="40"/>
      <c r="BQ364" s="5"/>
      <c r="BS364" s="40"/>
      <c r="BT364" s="5"/>
      <c r="BV364" s="40"/>
      <c r="BW364" s="5"/>
      <c r="BY364" s="40"/>
      <c r="BZ364" s="5"/>
      <c r="CB364" s="40"/>
      <c r="CC364" s="5"/>
      <c r="CE364" s="40"/>
      <c r="CF364" s="5"/>
      <c r="CH364" s="40"/>
      <c r="CI364" s="5"/>
      <c r="CK364" s="40"/>
      <c r="CL364" s="5"/>
      <c r="CN364" s="40"/>
      <c r="CO364" s="5"/>
      <c r="CQ364" s="40"/>
      <c r="CR364" s="5"/>
    </row>
    <row r="365">
      <c r="AL365" s="40"/>
      <c r="AM365" s="5"/>
      <c r="AO365" s="40"/>
      <c r="AP365" s="5"/>
      <c r="AR365" s="40"/>
      <c r="AS365" s="5"/>
      <c r="AU365" s="40"/>
      <c r="AV365" s="5"/>
      <c r="AX365" s="40"/>
      <c r="AY365" s="5"/>
      <c r="BA365" s="40"/>
      <c r="BB365" s="5"/>
      <c r="BD365" s="40"/>
      <c r="BE365" s="5"/>
      <c r="BG365" s="40"/>
      <c r="BH365" s="5"/>
      <c r="BJ365" s="40"/>
      <c r="BK365" s="5"/>
      <c r="BM365" s="40"/>
      <c r="BN365" s="5"/>
      <c r="BP365" s="40"/>
      <c r="BQ365" s="5"/>
      <c r="BS365" s="40"/>
      <c r="BT365" s="5"/>
      <c r="BV365" s="40"/>
      <c r="BW365" s="5"/>
      <c r="BY365" s="40"/>
      <c r="BZ365" s="5"/>
      <c r="CB365" s="40"/>
      <c r="CC365" s="5"/>
      <c r="CE365" s="40"/>
      <c r="CF365" s="5"/>
      <c r="CH365" s="40"/>
      <c r="CI365" s="5"/>
      <c r="CK365" s="40"/>
      <c r="CL365" s="5"/>
      <c r="CN365" s="40"/>
      <c r="CO365" s="5"/>
      <c r="CQ365" s="40"/>
      <c r="CR365" s="5"/>
    </row>
    <row r="366">
      <c r="AL366" s="40"/>
      <c r="AM366" s="5"/>
      <c r="AO366" s="40"/>
      <c r="AP366" s="5"/>
      <c r="AR366" s="40"/>
      <c r="AS366" s="5"/>
      <c r="AU366" s="40"/>
      <c r="AV366" s="5"/>
      <c r="AX366" s="40"/>
      <c r="AY366" s="5"/>
      <c r="BA366" s="40"/>
      <c r="BB366" s="5"/>
      <c r="BD366" s="40"/>
      <c r="BE366" s="5"/>
      <c r="BG366" s="40"/>
      <c r="BH366" s="5"/>
      <c r="BJ366" s="40"/>
      <c r="BK366" s="5"/>
      <c r="BM366" s="40"/>
      <c r="BN366" s="5"/>
      <c r="BP366" s="40"/>
      <c r="BQ366" s="5"/>
      <c r="BS366" s="40"/>
      <c r="BT366" s="5"/>
      <c r="BV366" s="40"/>
      <c r="BW366" s="5"/>
      <c r="BY366" s="40"/>
      <c r="BZ366" s="5"/>
      <c r="CB366" s="40"/>
      <c r="CC366" s="5"/>
      <c r="CE366" s="40"/>
      <c r="CF366" s="5"/>
      <c r="CH366" s="40"/>
      <c r="CI366" s="5"/>
      <c r="CK366" s="40"/>
      <c r="CL366" s="5"/>
      <c r="CN366" s="40"/>
      <c r="CO366" s="5"/>
      <c r="CQ366" s="40"/>
      <c r="CR366" s="5"/>
    </row>
    <row r="367">
      <c r="AL367" s="40"/>
      <c r="AM367" s="5"/>
      <c r="AO367" s="40"/>
      <c r="AP367" s="5"/>
      <c r="AR367" s="40"/>
      <c r="AS367" s="5"/>
      <c r="AU367" s="40"/>
      <c r="AV367" s="5"/>
      <c r="AX367" s="40"/>
      <c r="AY367" s="5"/>
      <c r="BA367" s="40"/>
      <c r="BB367" s="5"/>
      <c r="BD367" s="40"/>
      <c r="BE367" s="5"/>
      <c r="BG367" s="40"/>
      <c r="BH367" s="5"/>
      <c r="BJ367" s="40"/>
      <c r="BK367" s="5"/>
      <c r="BM367" s="40"/>
      <c r="BN367" s="5"/>
      <c r="BP367" s="40"/>
      <c r="BQ367" s="5"/>
      <c r="BS367" s="40"/>
      <c r="BT367" s="5"/>
      <c r="BV367" s="40"/>
      <c r="BW367" s="5"/>
      <c r="BY367" s="40"/>
      <c r="BZ367" s="5"/>
      <c r="CB367" s="40"/>
      <c r="CC367" s="5"/>
      <c r="CE367" s="40"/>
      <c r="CF367" s="5"/>
      <c r="CH367" s="40"/>
      <c r="CI367" s="5"/>
      <c r="CK367" s="40"/>
      <c r="CL367" s="5"/>
      <c r="CN367" s="40"/>
      <c r="CO367" s="5"/>
      <c r="CQ367" s="40"/>
      <c r="CR367" s="5"/>
    </row>
    <row r="368">
      <c r="AL368" s="40"/>
      <c r="AM368" s="5"/>
      <c r="AO368" s="40"/>
      <c r="AP368" s="5"/>
      <c r="AR368" s="40"/>
      <c r="AS368" s="5"/>
      <c r="AU368" s="40"/>
      <c r="AV368" s="5"/>
      <c r="AX368" s="40"/>
      <c r="AY368" s="5"/>
      <c r="BA368" s="40"/>
      <c r="BB368" s="5"/>
      <c r="BD368" s="40"/>
      <c r="BE368" s="5"/>
      <c r="BG368" s="40"/>
      <c r="BH368" s="5"/>
      <c r="BJ368" s="40"/>
      <c r="BK368" s="5"/>
      <c r="BM368" s="40"/>
      <c r="BN368" s="5"/>
      <c r="BP368" s="40"/>
      <c r="BQ368" s="5"/>
      <c r="BS368" s="40"/>
      <c r="BT368" s="5"/>
      <c r="BV368" s="40"/>
      <c r="BW368" s="5"/>
      <c r="BY368" s="40"/>
      <c r="BZ368" s="5"/>
      <c r="CB368" s="40"/>
      <c r="CC368" s="5"/>
      <c r="CE368" s="40"/>
      <c r="CF368" s="5"/>
      <c r="CH368" s="40"/>
      <c r="CI368" s="5"/>
      <c r="CK368" s="40"/>
      <c r="CL368" s="5"/>
      <c r="CN368" s="40"/>
      <c r="CO368" s="5"/>
      <c r="CQ368" s="40"/>
      <c r="CR368" s="5"/>
    </row>
    <row r="369">
      <c r="AL369" s="40"/>
      <c r="AM369" s="5"/>
      <c r="AO369" s="40"/>
      <c r="AP369" s="5"/>
      <c r="AR369" s="40"/>
      <c r="AS369" s="5"/>
      <c r="AU369" s="40"/>
      <c r="AV369" s="5"/>
      <c r="AX369" s="40"/>
      <c r="AY369" s="5"/>
      <c r="BA369" s="40"/>
      <c r="BB369" s="5"/>
      <c r="BD369" s="40"/>
      <c r="BE369" s="5"/>
      <c r="BG369" s="40"/>
      <c r="BH369" s="5"/>
      <c r="BJ369" s="40"/>
      <c r="BK369" s="5"/>
      <c r="BM369" s="40"/>
      <c r="BN369" s="5"/>
      <c r="BP369" s="40"/>
      <c r="BQ369" s="5"/>
      <c r="BS369" s="40"/>
      <c r="BT369" s="5"/>
      <c r="BV369" s="40"/>
      <c r="BW369" s="5"/>
      <c r="BY369" s="40"/>
      <c r="BZ369" s="5"/>
      <c r="CB369" s="40"/>
      <c r="CC369" s="5"/>
      <c r="CE369" s="40"/>
      <c r="CF369" s="5"/>
      <c r="CH369" s="40"/>
      <c r="CI369" s="5"/>
      <c r="CK369" s="40"/>
      <c r="CL369" s="5"/>
      <c r="CN369" s="40"/>
      <c r="CO369" s="5"/>
      <c r="CQ369" s="40"/>
      <c r="CR369" s="5"/>
    </row>
    <row r="370">
      <c r="AL370" s="40"/>
      <c r="AM370" s="5"/>
      <c r="AO370" s="40"/>
      <c r="AP370" s="5"/>
      <c r="AR370" s="40"/>
      <c r="AS370" s="5"/>
      <c r="AU370" s="40"/>
      <c r="AV370" s="5"/>
      <c r="AX370" s="40"/>
      <c r="AY370" s="5"/>
      <c r="BA370" s="40"/>
      <c r="BB370" s="5"/>
      <c r="BD370" s="40"/>
      <c r="BE370" s="5"/>
      <c r="BG370" s="40"/>
      <c r="BH370" s="5"/>
      <c r="BJ370" s="40"/>
      <c r="BK370" s="5"/>
      <c r="BM370" s="40"/>
      <c r="BN370" s="5"/>
      <c r="BP370" s="40"/>
      <c r="BQ370" s="5"/>
      <c r="BS370" s="40"/>
      <c r="BT370" s="5"/>
      <c r="BV370" s="40"/>
      <c r="BW370" s="5"/>
      <c r="BY370" s="40"/>
      <c r="BZ370" s="5"/>
      <c r="CB370" s="40"/>
      <c r="CC370" s="5"/>
      <c r="CE370" s="40"/>
      <c r="CF370" s="5"/>
      <c r="CH370" s="40"/>
      <c r="CI370" s="5"/>
      <c r="CK370" s="40"/>
      <c r="CL370" s="5"/>
      <c r="CN370" s="40"/>
      <c r="CO370" s="5"/>
      <c r="CQ370" s="40"/>
      <c r="CR370" s="5"/>
    </row>
    <row r="371">
      <c r="AL371" s="40"/>
      <c r="AM371" s="5"/>
      <c r="AO371" s="40"/>
      <c r="AP371" s="5"/>
      <c r="AR371" s="40"/>
      <c r="AS371" s="5"/>
      <c r="AU371" s="40"/>
      <c r="AV371" s="5"/>
      <c r="AX371" s="40"/>
      <c r="AY371" s="5"/>
      <c r="BA371" s="40"/>
      <c r="BB371" s="5"/>
      <c r="BD371" s="40"/>
      <c r="BE371" s="5"/>
      <c r="BG371" s="40"/>
      <c r="BH371" s="5"/>
      <c r="BJ371" s="40"/>
      <c r="BK371" s="5"/>
      <c r="BM371" s="40"/>
      <c r="BN371" s="5"/>
      <c r="BP371" s="40"/>
      <c r="BQ371" s="5"/>
      <c r="BS371" s="40"/>
      <c r="BT371" s="5"/>
      <c r="BV371" s="40"/>
      <c r="BW371" s="5"/>
      <c r="BY371" s="40"/>
      <c r="BZ371" s="5"/>
      <c r="CB371" s="40"/>
      <c r="CC371" s="5"/>
      <c r="CE371" s="40"/>
      <c r="CF371" s="5"/>
      <c r="CH371" s="40"/>
      <c r="CI371" s="5"/>
      <c r="CK371" s="40"/>
      <c r="CL371" s="5"/>
      <c r="CN371" s="40"/>
      <c r="CO371" s="5"/>
      <c r="CQ371" s="40"/>
      <c r="CR371" s="5"/>
    </row>
    <row r="372">
      <c r="AL372" s="40"/>
      <c r="AM372" s="5"/>
      <c r="AO372" s="40"/>
      <c r="AP372" s="5"/>
      <c r="AR372" s="40"/>
      <c r="AS372" s="5"/>
      <c r="AU372" s="40"/>
      <c r="AV372" s="5"/>
      <c r="AX372" s="40"/>
      <c r="AY372" s="5"/>
      <c r="BA372" s="40"/>
      <c r="BB372" s="5"/>
      <c r="BD372" s="40"/>
      <c r="BE372" s="5"/>
      <c r="BG372" s="40"/>
      <c r="BH372" s="5"/>
      <c r="BJ372" s="40"/>
      <c r="BK372" s="5"/>
      <c r="BM372" s="40"/>
      <c r="BN372" s="5"/>
      <c r="BP372" s="40"/>
      <c r="BQ372" s="5"/>
      <c r="BS372" s="40"/>
      <c r="BT372" s="5"/>
      <c r="BV372" s="40"/>
      <c r="BW372" s="5"/>
      <c r="BY372" s="40"/>
      <c r="BZ372" s="5"/>
      <c r="CB372" s="40"/>
      <c r="CC372" s="5"/>
      <c r="CE372" s="40"/>
      <c r="CF372" s="5"/>
      <c r="CH372" s="40"/>
      <c r="CI372" s="5"/>
      <c r="CK372" s="40"/>
      <c r="CL372" s="5"/>
      <c r="CN372" s="40"/>
      <c r="CO372" s="5"/>
      <c r="CQ372" s="40"/>
      <c r="CR372" s="5"/>
    </row>
    <row r="373">
      <c r="AL373" s="40"/>
      <c r="AM373" s="5"/>
      <c r="AO373" s="40"/>
      <c r="AP373" s="5"/>
      <c r="AR373" s="40"/>
      <c r="AS373" s="5"/>
      <c r="AU373" s="40"/>
      <c r="AV373" s="5"/>
      <c r="AX373" s="40"/>
      <c r="AY373" s="5"/>
      <c r="BA373" s="40"/>
      <c r="BB373" s="5"/>
      <c r="BD373" s="40"/>
      <c r="BE373" s="5"/>
      <c r="BG373" s="40"/>
      <c r="BH373" s="5"/>
      <c r="BJ373" s="40"/>
      <c r="BK373" s="5"/>
      <c r="BM373" s="40"/>
      <c r="BN373" s="5"/>
      <c r="BP373" s="40"/>
      <c r="BQ373" s="5"/>
      <c r="BS373" s="40"/>
      <c r="BT373" s="5"/>
      <c r="BV373" s="40"/>
      <c r="BW373" s="5"/>
      <c r="BY373" s="40"/>
      <c r="BZ373" s="5"/>
      <c r="CB373" s="40"/>
      <c r="CC373" s="5"/>
      <c r="CE373" s="40"/>
      <c r="CF373" s="5"/>
      <c r="CH373" s="40"/>
      <c r="CI373" s="5"/>
      <c r="CK373" s="40"/>
      <c r="CL373" s="5"/>
      <c r="CN373" s="40"/>
      <c r="CO373" s="5"/>
      <c r="CQ373" s="40"/>
      <c r="CR373" s="5"/>
    </row>
    <row r="374">
      <c r="AL374" s="40"/>
      <c r="AM374" s="5"/>
      <c r="AO374" s="40"/>
      <c r="AP374" s="5"/>
      <c r="AR374" s="40"/>
      <c r="AS374" s="5"/>
      <c r="AU374" s="40"/>
      <c r="AV374" s="5"/>
      <c r="AX374" s="40"/>
      <c r="AY374" s="5"/>
      <c r="BA374" s="40"/>
      <c r="BB374" s="5"/>
      <c r="BD374" s="40"/>
      <c r="BE374" s="5"/>
      <c r="BG374" s="40"/>
      <c r="BH374" s="5"/>
      <c r="BJ374" s="40"/>
      <c r="BK374" s="5"/>
      <c r="BM374" s="40"/>
      <c r="BN374" s="5"/>
      <c r="BP374" s="40"/>
      <c r="BQ374" s="5"/>
      <c r="BS374" s="40"/>
      <c r="BT374" s="5"/>
      <c r="BV374" s="40"/>
      <c r="BW374" s="5"/>
      <c r="BY374" s="40"/>
      <c r="BZ374" s="5"/>
      <c r="CB374" s="40"/>
      <c r="CC374" s="5"/>
      <c r="CE374" s="40"/>
      <c r="CF374" s="5"/>
      <c r="CH374" s="40"/>
      <c r="CI374" s="5"/>
      <c r="CK374" s="40"/>
      <c r="CL374" s="5"/>
      <c r="CN374" s="40"/>
      <c r="CO374" s="5"/>
      <c r="CQ374" s="40"/>
      <c r="CR374" s="5"/>
    </row>
    <row r="375">
      <c r="AL375" s="40"/>
      <c r="AM375" s="5"/>
      <c r="AO375" s="40"/>
      <c r="AP375" s="5"/>
      <c r="AR375" s="40"/>
      <c r="AS375" s="5"/>
      <c r="AU375" s="40"/>
      <c r="AV375" s="5"/>
      <c r="AX375" s="40"/>
      <c r="AY375" s="5"/>
      <c r="BA375" s="40"/>
      <c r="BB375" s="5"/>
      <c r="BD375" s="40"/>
      <c r="BE375" s="5"/>
      <c r="BG375" s="40"/>
      <c r="BH375" s="5"/>
      <c r="BJ375" s="40"/>
      <c r="BK375" s="5"/>
      <c r="BM375" s="40"/>
      <c r="BN375" s="5"/>
      <c r="BP375" s="40"/>
      <c r="BQ375" s="5"/>
      <c r="BS375" s="40"/>
      <c r="BT375" s="5"/>
      <c r="BV375" s="40"/>
      <c r="BW375" s="5"/>
      <c r="BY375" s="40"/>
      <c r="BZ375" s="5"/>
      <c r="CB375" s="40"/>
      <c r="CC375" s="5"/>
      <c r="CE375" s="40"/>
      <c r="CF375" s="5"/>
      <c r="CH375" s="40"/>
      <c r="CI375" s="5"/>
      <c r="CK375" s="40"/>
      <c r="CL375" s="5"/>
      <c r="CN375" s="40"/>
      <c r="CO375" s="5"/>
      <c r="CQ375" s="40"/>
      <c r="CR375" s="5"/>
    </row>
    <row r="376">
      <c r="AL376" s="40"/>
      <c r="AM376" s="5"/>
      <c r="AO376" s="40"/>
      <c r="AP376" s="5"/>
      <c r="AR376" s="40"/>
      <c r="AS376" s="5"/>
      <c r="AU376" s="40"/>
      <c r="AV376" s="5"/>
      <c r="AX376" s="40"/>
      <c r="AY376" s="5"/>
      <c r="BA376" s="40"/>
      <c r="BB376" s="5"/>
      <c r="BD376" s="40"/>
      <c r="BE376" s="5"/>
      <c r="BG376" s="40"/>
      <c r="BH376" s="5"/>
      <c r="BJ376" s="40"/>
      <c r="BK376" s="5"/>
      <c r="BM376" s="40"/>
      <c r="BN376" s="5"/>
      <c r="BP376" s="40"/>
      <c r="BQ376" s="5"/>
      <c r="BS376" s="40"/>
      <c r="BT376" s="5"/>
      <c r="BV376" s="40"/>
      <c r="BW376" s="5"/>
      <c r="BY376" s="40"/>
      <c r="BZ376" s="5"/>
      <c r="CB376" s="40"/>
      <c r="CC376" s="5"/>
      <c r="CE376" s="40"/>
      <c r="CF376" s="5"/>
      <c r="CH376" s="40"/>
      <c r="CI376" s="5"/>
      <c r="CK376" s="40"/>
      <c r="CL376" s="5"/>
      <c r="CN376" s="40"/>
      <c r="CO376" s="5"/>
      <c r="CQ376" s="40"/>
      <c r="CR376" s="5"/>
    </row>
    <row r="377">
      <c r="AL377" s="40"/>
      <c r="AM377" s="5"/>
      <c r="AO377" s="40"/>
      <c r="AP377" s="5"/>
      <c r="AR377" s="40"/>
      <c r="AS377" s="5"/>
      <c r="AU377" s="40"/>
      <c r="AV377" s="5"/>
      <c r="AX377" s="40"/>
      <c r="AY377" s="5"/>
      <c r="BA377" s="40"/>
      <c r="BB377" s="5"/>
      <c r="BD377" s="40"/>
      <c r="BE377" s="5"/>
      <c r="BG377" s="40"/>
      <c r="BH377" s="5"/>
      <c r="BJ377" s="40"/>
      <c r="BK377" s="5"/>
      <c r="BM377" s="40"/>
      <c r="BN377" s="5"/>
      <c r="BP377" s="40"/>
      <c r="BQ377" s="5"/>
      <c r="BS377" s="40"/>
      <c r="BT377" s="5"/>
      <c r="BV377" s="40"/>
      <c r="BW377" s="5"/>
      <c r="BY377" s="40"/>
      <c r="BZ377" s="5"/>
      <c r="CB377" s="40"/>
      <c r="CC377" s="5"/>
      <c r="CE377" s="40"/>
      <c r="CF377" s="5"/>
      <c r="CH377" s="40"/>
      <c r="CI377" s="5"/>
      <c r="CK377" s="40"/>
      <c r="CL377" s="5"/>
      <c r="CN377" s="40"/>
      <c r="CO377" s="5"/>
      <c r="CQ377" s="40"/>
      <c r="CR377" s="5"/>
    </row>
    <row r="378">
      <c r="AL378" s="40"/>
      <c r="AM378" s="5"/>
      <c r="AO378" s="40"/>
      <c r="AP378" s="5"/>
      <c r="AR378" s="40"/>
      <c r="AS378" s="5"/>
      <c r="AU378" s="40"/>
      <c r="AV378" s="5"/>
      <c r="AX378" s="40"/>
      <c r="AY378" s="5"/>
      <c r="BA378" s="40"/>
      <c r="BB378" s="5"/>
      <c r="BD378" s="40"/>
      <c r="BE378" s="5"/>
      <c r="BG378" s="40"/>
      <c r="BH378" s="5"/>
      <c r="BJ378" s="40"/>
      <c r="BK378" s="5"/>
      <c r="BM378" s="40"/>
      <c r="BN378" s="5"/>
      <c r="BP378" s="40"/>
      <c r="BQ378" s="5"/>
      <c r="BS378" s="40"/>
      <c r="BT378" s="5"/>
      <c r="BV378" s="40"/>
      <c r="BW378" s="5"/>
      <c r="BY378" s="40"/>
      <c r="BZ378" s="5"/>
      <c r="CB378" s="40"/>
      <c r="CC378" s="5"/>
      <c r="CE378" s="40"/>
      <c r="CF378" s="5"/>
      <c r="CH378" s="40"/>
      <c r="CI378" s="5"/>
      <c r="CK378" s="40"/>
      <c r="CL378" s="5"/>
      <c r="CN378" s="40"/>
      <c r="CO378" s="5"/>
      <c r="CQ378" s="40"/>
      <c r="CR378" s="5"/>
    </row>
    <row r="379">
      <c r="AL379" s="40"/>
      <c r="AM379" s="5"/>
      <c r="AO379" s="40"/>
      <c r="AP379" s="5"/>
      <c r="AR379" s="40"/>
      <c r="AS379" s="5"/>
      <c r="AU379" s="40"/>
      <c r="AV379" s="5"/>
      <c r="AX379" s="40"/>
      <c r="AY379" s="5"/>
      <c r="BA379" s="40"/>
      <c r="BB379" s="5"/>
      <c r="BD379" s="40"/>
      <c r="BE379" s="5"/>
      <c r="BG379" s="40"/>
      <c r="BH379" s="5"/>
      <c r="BJ379" s="40"/>
      <c r="BK379" s="5"/>
      <c r="BM379" s="40"/>
      <c r="BN379" s="5"/>
      <c r="BP379" s="40"/>
      <c r="BQ379" s="5"/>
      <c r="BS379" s="40"/>
      <c r="BT379" s="5"/>
      <c r="BV379" s="40"/>
      <c r="BW379" s="5"/>
      <c r="BY379" s="40"/>
      <c r="BZ379" s="5"/>
      <c r="CB379" s="40"/>
      <c r="CC379" s="5"/>
      <c r="CE379" s="40"/>
      <c r="CF379" s="5"/>
      <c r="CH379" s="40"/>
      <c r="CI379" s="5"/>
      <c r="CK379" s="40"/>
      <c r="CL379" s="5"/>
      <c r="CN379" s="40"/>
      <c r="CO379" s="5"/>
      <c r="CQ379" s="40"/>
      <c r="CR379" s="5"/>
    </row>
    <row r="380">
      <c r="AL380" s="40"/>
      <c r="AM380" s="5"/>
      <c r="AO380" s="40"/>
      <c r="AP380" s="5"/>
      <c r="AR380" s="40"/>
      <c r="AS380" s="5"/>
      <c r="AU380" s="40"/>
      <c r="AV380" s="5"/>
      <c r="AX380" s="40"/>
      <c r="AY380" s="5"/>
      <c r="BA380" s="40"/>
      <c r="BB380" s="5"/>
      <c r="BD380" s="40"/>
      <c r="BE380" s="5"/>
      <c r="BG380" s="40"/>
      <c r="BH380" s="5"/>
      <c r="BJ380" s="40"/>
      <c r="BK380" s="5"/>
      <c r="BM380" s="40"/>
      <c r="BN380" s="5"/>
      <c r="BP380" s="40"/>
      <c r="BQ380" s="5"/>
      <c r="BS380" s="40"/>
      <c r="BT380" s="5"/>
      <c r="BV380" s="40"/>
      <c r="BW380" s="5"/>
      <c r="BY380" s="40"/>
      <c r="BZ380" s="5"/>
      <c r="CB380" s="40"/>
      <c r="CC380" s="5"/>
      <c r="CE380" s="40"/>
      <c r="CF380" s="5"/>
      <c r="CH380" s="40"/>
      <c r="CI380" s="5"/>
      <c r="CK380" s="40"/>
      <c r="CL380" s="5"/>
      <c r="CN380" s="40"/>
      <c r="CO380" s="5"/>
      <c r="CQ380" s="40"/>
      <c r="CR380" s="5"/>
    </row>
    <row r="381">
      <c r="AL381" s="40"/>
      <c r="AM381" s="5"/>
      <c r="AO381" s="40"/>
      <c r="AP381" s="5"/>
      <c r="AR381" s="40"/>
      <c r="AS381" s="5"/>
      <c r="AU381" s="40"/>
      <c r="AV381" s="5"/>
      <c r="AX381" s="40"/>
      <c r="AY381" s="5"/>
      <c r="BA381" s="40"/>
      <c r="BB381" s="5"/>
      <c r="BD381" s="40"/>
      <c r="BE381" s="5"/>
      <c r="BG381" s="40"/>
      <c r="BH381" s="5"/>
      <c r="BJ381" s="40"/>
      <c r="BK381" s="5"/>
      <c r="BM381" s="40"/>
      <c r="BN381" s="5"/>
      <c r="BP381" s="40"/>
      <c r="BQ381" s="5"/>
      <c r="BS381" s="40"/>
      <c r="BT381" s="5"/>
      <c r="BV381" s="40"/>
      <c r="BW381" s="5"/>
      <c r="BY381" s="40"/>
      <c r="BZ381" s="5"/>
      <c r="CB381" s="40"/>
      <c r="CC381" s="5"/>
      <c r="CE381" s="40"/>
      <c r="CF381" s="5"/>
      <c r="CH381" s="40"/>
      <c r="CI381" s="5"/>
      <c r="CK381" s="40"/>
      <c r="CL381" s="5"/>
      <c r="CN381" s="40"/>
      <c r="CO381" s="5"/>
      <c r="CQ381" s="40"/>
      <c r="CR381" s="5"/>
    </row>
    <row r="382">
      <c r="AL382" s="40"/>
      <c r="AM382" s="5"/>
      <c r="AO382" s="40"/>
      <c r="AP382" s="5"/>
      <c r="AR382" s="40"/>
      <c r="AS382" s="5"/>
      <c r="AU382" s="40"/>
      <c r="AV382" s="5"/>
      <c r="AX382" s="40"/>
      <c r="AY382" s="5"/>
      <c r="BA382" s="40"/>
      <c r="BB382" s="5"/>
      <c r="BD382" s="40"/>
      <c r="BE382" s="5"/>
      <c r="BG382" s="40"/>
      <c r="BH382" s="5"/>
      <c r="BJ382" s="40"/>
      <c r="BK382" s="5"/>
      <c r="BM382" s="40"/>
      <c r="BN382" s="5"/>
      <c r="BP382" s="40"/>
      <c r="BQ382" s="5"/>
      <c r="BS382" s="40"/>
      <c r="BT382" s="5"/>
      <c r="BV382" s="40"/>
      <c r="BW382" s="5"/>
      <c r="BY382" s="40"/>
      <c r="BZ382" s="5"/>
      <c r="CB382" s="40"/>
      <c r="CC382" s="5"/>
      <c r="CE382" s="40"/>
      <c r="CF382" s="5"/>
      <c r="CH382" s="40"/>
      <c r="CI382" s="5"/>
      <c r="CK382" s="40"/>
      <c r="CL382" s="5"/>
      <c r="CN382" s="40"/>
      <c r="CO382" s="5"/>
      <c r="CQ382" s="40"/>
      <c r="CR382" s="5"/>
    </row>
    <row r="383">
      <c r="AL383" s="40"/>
      <c r="AM383" s="5"/>
      <c r="AO383" s="40"/>
      <c r="AP383" s="5"/>
      <c r="AR383" s="40"/>
      <c r="AS383" s="5"/>
      <c r="AU383" s="40"/>
      <c r="AV383" s="5"/>
      <c r="AX383" s="40"/>
      <c r="AY383" s="5"/>
      <c r="BA383" s="40"/>
      <c r="BB383" s="5"/>
      <c r="BD383" s="40"/>
      <c r="BE383" s="5"/>
      <c r="BG383" s="40"/>
      <c r="BH383" s="5"/>
      <c r="BJ383" s="40"/>
      <c r="BK383" s="5"/>
      <c r="BM383" s="40"/>
      <c r="BN383" s="5"/>
      <c r="BP383" s="40"/>
      <c r="BQ383" s="5"/>
      <c r="BS383" s="40"/>
      <c r="BT383" s="5"/>
      <c r="BV383" s="40"/>
      <c r="BW383" s="5"/>
      <c r="BY383" s="40"/>
      <c r="BZ383" s="5"/>
      <c r="CB383" s="40"/>
      <c r="CC383" s="5"/>
      <c r="CE383" s="40"/>
      <c r="CF383" s="5"/>
      <c r="CH383" s="40"/>
      <c r="CI383" s="5"/>
      <c r="CK383" s="40"/>
      <c r="CL383" s="5"/>
      <c r="CN383" s="40"/>
      <c r="CO383" s="5"/>
      <c r="CQ383" s="40"/>
      <c r="CR383" s="5"/>
    </row>
    <row r="384">
      <c r="AL384" s="40"/>
      <c r="AM384" s="5"/>
      <c r="AO384" s="40"/>
      <c r="AP384" s="5"/>
      <c r="AR384" s="40"/>
      <c r="AS384" s="5"/>
      <c r="AU384" s="40"/>
      <c r="AV384" s="5"/>
      <c r="AX384" s="40"/>
      <c r="AY384" s="5"/>
      <c r="BA384" s="40"/>
      <c r="BB384" s="5"/>
      <c r="BD384" s="40"/>
      <c r="BE384" s="5"/>
      <c r="BG384" s="40"/>
      <c r="BH384" s="5"/>
      <c r="BJ384" s="40"/>
      <c r="BK384" s="5"/>
      <c r="BM384" s="40"/>
      <c r="BN384" s="5"/>
      <c r="BP384" s="40"/>
      <c r="BQ384" s="5"/>
      <c r="BS384" s="40"/>
      <c r="BT384" s="5"/>
      <c r="BV384" s="40"/>
      <c r="BW384" s="5"/>
      <c r="BY384" s="40"/>
      <c r="BZ384" s="5"/>
      <c r="CB384" s="40"/>
      <c r="CC384" s="5"/>
      <c r="CE384" s="40"/>
      <c r="CF384" s="5"/>
      <c r="CH384" s="40"/>
      <c r="CI384" s="5"/>
      <c r="CK384" s="40"/>
      <c r="CL384" s="5"/>
      <c r="CN384" s="40"/>
      <c r="CO384" s="5"/>
      <c r="CQ384" s="40"/>
      <c r="CR384" s="5"/>
    </row>
    <row r="385">
      <c r="AL385" s="40"/>
      <c r="AM385" s="5"/>
      <c r="AO385" s="40"/>
      <c r="AP385" s="5"/>
      <c r="AR385" s="40"/>
      <c r="AS385" s="5"/>
      <c r="AU385" s="40"/>
      <c r="AV385" s="5"/>
      <c r="AX385" s="40"/>
      <c r="AY385" s="5"/>
      <c r="BA385" s="40"/>
      <c r="BB385" s="5"/>
      <c r="BD385" s="40"/>
      <c r="BE385" s="5"/>
      <c r="BG385" s="40"/>
      <c r="BH385" s="5"/>
      <c r="BJ385" s="40"/>
      <c r="BK385" s="5"/>
      <c r="BM385" s="40"/>
      <c r="BN385" s="5"/>
      <c r="BP385" s="40"/>
      <c r="BQ385" s="5"/>
      <c r="BS385" s="40"/>
      <c r="BT385" s="5"/>
      <c r="BV385" s="40"/>
      <c r="BW385" s="5"/>
      <c r="BY385" s="40"/>
      <c r="BZ385" s="5"/>
      <c r="CB385" s="40"/>
      <c r="CC385" s="5"/>
      <c r="CE385" s="40"/>
      <c r="CF385" s="5"/>
      <c r="CH385" s="40"/>
      <c r="CI385" s="5"/>
      <c r="CK385" s="40"/>
      <c r="CL385" s="5"/>
      <c r="CN385" s="40"/>
      <c r="CO385" s="5"/>
      <c r="CQ385" s="40"/>
      <c r="CR385" s="5"/>
    </row>
    <row r="386">
      <c r="AL386" s="40"/>
      <c r="AM386" s="5"/>
      <c r="AO386" s="40"/>
      <c r="AP386" s="5"/>
      <c r="AR386" s="40"/>
      <c r="AS386" s="5"/>
      <c r="AU386" s="40"/>
      <c r="AV386" s="5"/>
      <c r="AX386" s="40"/>
      <c r="AY386" s="5"/>
      <c r="BA386" s="40"/>
      <c r="BB386" s="5"/>
      <c r="BD386" s="40"/>
      <c r="BE386" s="5"/>
      <c r="BG386" s="40"/>
      <c r="BH386" s="5"/>
      <c r="BJ386" s="40"/>
      <c r="BK386" s="5"/>
      <c r="BM386" s="40"/>
      <c r="BN386" s="5"/>
      <c r="BP386" s="40"/>
      <c r="BQ386" s="5"/>
      <c r="BS386" s="40"/>
      <c r="BT386" s="5"/>
      <c r="BV386" s="40"/>
      <c r="BW386" s="5"/>
      <c r="BY386" s="40"/>
      <c r="BZ386" s="5"/>
      <c r="CB386" s="40"/>
      <c r="CC386" s="5"/>
      <c r="CE386" s="40"/>
      <c r="CF386" s="5"/>
      <c r="CH386" s="40"/>
      <c r="CI386" s="5"/>
      <c r="CK386" s="40"/>
      <c r="CL386" s="5"/>
      <c r="CN386" s="40"/>
      <c r="CO386" s="5"/>
      <c r="CQ386" s="40"/>
      <c r="CR386" s="5"/>
    </row>
    <row r="387">
      <c r="AL387" s="40"/>
      <c r="AM387" s="5"/>
      <c r="AO387" s="40"/>
      <c r="AP387" s="5"/>
      <c r="AR387" s="40"/>
      <c r="AS387" s="5"/>
      <c r="AU387" s="40"/>
      <c r="AV387" s="5"/>
      <c r="AX387" s="40"/>
      <c r="AY387" s="5"/>
      <c r="BA387" s="40"/>
      <c r="BB387" s="5"/>
      <c r="BD387" s="40"/>
      <c r="BE387" s="5"/>
      <c r="BG387" s="40"/>
      <c r="BH387" s="5"/>
      <c r="BJ387" s="40"/>
      <c r="BK387" s="5"/>
      <c r="BM387" s="40"/>
      <c r="BN387" s="5"/>
      <c r="BP387" s="40"/>
      <c r="BQ387" s="5"/>
      <c r="BS387" s="40"/>
      <c r="BT387" s="5"/>
      <c r="BV387" s="40"/>
      <c r="BW387" s="5"/>
      <c r="BY387" s="40"/>
      <c r="BZ387" s="5"/>
      <c r="CB387" s="40"/>
      <c r="CC387" s="5"/>
      <c r="CE387" s="40"/>
      <c r="CF387" s="5"/>
      <c r="CH387" s="40"/>
      <c r="CI387" s="5"/>
      <c r="CK387" s="40"/>
      <c r="CL387" s="5"/>
      <c r="CN387" s="40"/>
      <c r="CO387" s="5"/>
      <c r="CQ387" s="40"/>
      <c r="CR387" s="5"/>
    </row>
    <row r="388">
      <c r="AL388" s="40"/>
      <c r="AM388" s="5"/>
      <c r="AO388" s="40"/>
      <c r="AP388" s="5"/>
      <c r="AR388" s="40"/>
      <c r="AS388" s="5"/>
      <c r="AU388" s="40"/>
      <c r="AV388" s="5"/>
      <c r="AX388" s="40"/>
      <c r="AY388" s="5"/>
      <c r="BA388" s="40"/>
      <c r="BB388" s="5"/>
      <c r="BD388" s="40"/>
      <c r="BE388" s="5"/>
      <c r="BG388" s="40"/>
      <c r="BH388" s="5"/>
      <c r="BJ388" s="40"/>
      <c r="BK388" s="5"/>
      <c r="BM388" s="40"/>
      <c r="BN388" s="5"/>
      <c r="BP388" s="40"/>
      <c r="BQ388" s="5"/>
      <c r="BS388" s="40"/>
      <c r="BT388" s="5"/>
      <c r="BV388" s="40"/>
      <c r="BW388" s="5"/>
      <c r="BY388" s="40"/>
      <c r="BZ388" s="5"/>
      <c r="CB388" s="40"/>
      <c r="CC388" s="5"/>
      <c r="CE388" s="40"/>
      <c r="CF388" s="5"/>
      <c r="CH388" s="40"/>
      <c r="CI388" s="5"/>
      <c r="CK388" s="40"/>
      <c r="CL388" s="5"/>
      <c r="CN388" s="40"/>
      <c r="CO388" s="5"/>
      <c r="CQ388" s="40"/>
      <c r="CR388" s="5"/>
    </row>
    <row r="389">
      <c r="AL389" s="40"/>
      <c r="AM389" s="5"/>
      <c r="AO389" s="40"/>
      <c r="AP389" s="5"/>
      <c r="AR389" s="40"/>
      <c r="AS389" s="5"/>
      <c r="AU389" s="40"/>
      <c r="AV389" s="5"/>
      <c r="AX389" s="40"/>
      <c r="AY389" s="5"/>
      <c r="BA389" s="40"/>
      <c r="BB389" s="5"/>
      <c r="BD389" s="40"/>
      <c r="BE389" s="5"/>
      <c r="BG389" s="40"/>
      <c r="BH389" s="5"/>
      <c r="BJ389" s="40"/>
      <c r="BK389" s="5"/>
      <c r="BM389" s="40"/>
      <c r="BN389" s="5"/>
      <c r="BP389" s="40"/>
      <c r="BQ389" s="5"/>
      <c r="BS389" s="40"/>
      <c r="BT389" s="5"/>
      <c r="BV389" s="40"/>
      <c r="BW389" s="5"/>
      <c r="BY389" s="40"/>
      <c r="BZ389" s="5"/>
      <c r="CB389" s="40"/>
      <c r="CC389" s="5"/>
      <c r="CE389" s="40"/>
      <c r="CF389" s="5"/>
      <c r="CH389" s="40"/>
      <c r="CI389" s="5"/>
      <c r="CK389" s="40"/>
      <c r="CL389" s="5"/>
      <c r="CN389" s="40"/>
      <c r="CO389" s="5"/>
      <c r="CQ389" s="40"/>
      <c r="CR389" s="5"/>
    </row>
    <row r="390">
      <c r="AL390" s="40"/>
      <c r="AM390" s="5"/>
      <c r="AO390" s="40"/>
      <c r="AP390" s="5"/>
      <c r="AR390" s="40"/>
      <c r="AS390" s="5"/>
      <c r="AU390" s="40"/>
      <c r="AV390" s="5"/>
      <c r="AX390" s="40"/>
      <c r="AY390" s="5"/>
      <c r="BA390" s="40"/>
      <c r="BB390" s="5"/>
      <c r="BD390" s="40"/>
      <c r="BE390" s="5"/>
      <c r="BG390" s="40"/>
      <c r="BH390" s="5"/>
      <c r="BJ390" s="40"/>
      <c r="BK390" s="5"/>
      <c r="BM390" s="40"/>
      <c r="BN390" s="5"/>
      <c r="BP390" s="40"/>
      <c r="BQ390" s="5"/>
      <c r="BS390" s="40"/>
      <c r="BT390" s="5"/>
      <c r="BV390" s="40"/>
      <c r="BW390" s="5"/>
      <c r="BY390" s="40"/>
      <c r="BZ390" s="5"/>
      <c r="CB390" s="40"/>
      <c r="CC390" s="5"/>
      <c r="CE390" s="40"/>
      <c r="CF390" s="5"/>
      <c r="CH390" s="40"/>
      <c r="CI390" s="5"/>
      <c r="CK390" s="40"/>
      <c r="CL390" s="5"/>
      <c r="CN390" s="40"/>
      <c r="CO390" s="5"/>
      <c r="CQ390" s="40"/>
      <c r="CR390" s="5"/>
    </row>
    <row r="391">
      <c r="AL391" s="40"/>
      <c r="AM391" s="5"/>
      <c r="AO391" s="40"/>
      <c r="AP391" s="5"/>
      <c r="AR391" s="40"/>
      <c r="AS391" s="5"/>
      <c r="AU391" s="40"/>
      <c r="AV391" s="5"/>
      <c r="AX391" s="40"/>
      <c r="AY391" s="5"/>
      <c r="BA391" s="40"/>
      <c r="BB391" s="5"/>
      <c r="BD391" s="40"/>
      <c r="BE391" s="5"/>
      <c r="BG391" s="40"/>
      <c r="BH391" s="5"/>
      <c r="BJ391" s="40"/>
      <c r="BK391" s="5"/>
      <c r="BM391" s="40"/>
      <c r="BN391" s="5"/>
      <c r="BP391" s="40"/>
      <c r="BQ391" s="5"/>
      <c r="BS391" s="40"/>
      <c r="BT391" s="5"/>
      <c r="BV391" s="40"/>
      <c r="BW391" s="5"/>
      <c r="BY391" s="40"/>
      <c r="BZ391" s="5"/>
      <c r="CB391" s="40"/>
      <c r="CC391" s="5"/>
      <c r="CE391" s="40"/>
      <c r="CF391" s="5"/>
      <c r="CH391" s="40"/>
      <c r="CI391" s="5"/>
      <c r="CK391" s="40"/>
      <c r="CL391" s="5"/>
      <c r="CN391" s="40"/>
      <c r="CO391" s="5"/>
      <c r="CQ391" s="40"/>
      <c r="CR391" s="5"/>
    </row>
    <row r="392">
      <c r="AL392" s="40"/>
      <c r="AM392" s="5"/>
      <c r="AO392" s="40"/>
      <c r="AP392" s="5"/>
      <c r="AR392" s="40"/>
      <c r="AS392" s="5"/>
      <c r="AU392" s="40"/>
      <c r="AV392" s="5"/>
      <c r="AX392" s="40"/>
      <c r="AY392" s="5"/>
      <c r="BA392" s="40"/>
      <c r="BB392" s="5"/>
      <c r="BD392" s="40"/>
      <c r="BE392" s="5"/>
      <c r="BG392" s="40"/>
      <c r="BH392" s="5"/>
      <c r="BJ392" s="40"/>
      <c r="BK392" s="5"/>
      <c r="BM392" s="40"/>
      <c r="BN392" s="5"/>
      <c r="BP392" s="40"/>
      <c r="BQ392" s="5"/>
      <c r="BS392" s="40"/>
      <c r="BT392" s="5"/>
      <c r="BV392" s="40"/>
      <c r="BW392" s="5"/>
      <c r="BY392" s="40"/>
      <c r="BZ392" s="5"/>
      <c r="CB392" s="40"/>
      <c r="CC392" s="5"/>
      <c r="CE392" s="40"/>
      <c r="CF392" s="5"/>
      <c r="CH392" s="40"/>
      <c r="CI392" s="5"/>
      <c r="CK392" s="40"/>
      <c r="CL392" s="5"/>
      <c r="CN392" s="40"/>
      <c r="CO392" s="5"/>
      <c r="CQ392" s="40"/>
      <c r="CR392" s="5"/>
    </row>
    <row r="393">
      <c r="AL393" s="40"/>
      <c r="AM393" s="5"/>
      <c r="AO393" s="40"/>
      <c r="AP393" s="5"/>
      <c r="AR393" s="40"/>
      <c r="AS393" s="5"/>
      <c r="AU393" s="40"/>
      <c r="AV393" s="5"/>
      <c r="AX393" s="40"/>
      <c r="AY393" s="5"/>
      <c r="BA393" s="40"/>
      <c r="BB393" s="5"/>
      <c r="BD393" s="40"/>
      <c r="BE393" s="5"/>
      <c r="BG393" s="40"/>
      <c r="BH393" s="5"/>
      <c r="BJ393" s="40"/>
      <c r="BK393" s="5"/>
      <c r="BM393" s="40"/>
      <c r="BN393" s="5"/>
      <c r="BP393" s="40"/>
      <c r="BQ393" s="5"/>
      <c r="BS393" s="40"/>
      <c r="BT393" s="5"/>
      <c r="BV393" s="40"/>
      <c r="BW393" s="5"/>
      <c r="BY393" s="40"/>
      <c r="BZ393" s="5"/>
      <c r="CB393" s="40"/>
      <c r="CC393" s="5"/>
      <c r="CE393" s="40"/>
      <c r="CF393" s="5"/>
      <c r="CH393" s="40"/>
      <c r="CI393" s="5"/>
      <c r="CK393" s="40"/>
      <c r="CL393" s="5"/>
      <c r="CN393" s="40"/>
      <c r="CO393" s="5"/>
      <c r="CQ393" s="40"/>
      <c r="CR393" s="5"/>
    </row>
    <row r="394">
      <c r="AL394" s="40"/>
      <c r="AM394" s="5"/>
      <c r="AO394" s="40"/>
      <c r="AP394" s="5"/>
      <c r="AR394" s="40"/>
      <c r="AS394" s="5"/>
      <c r="AU394" s="40"/>
      <c r="AV394" s="5"/>
      <c r="AX394" s="40"/>
      <c r="AY394" s="5"/>
      <c r="BA394" s="40"/>
      <c r="BB394" s="5"/>
      <c r="BD394" s="40"/>
      <c r="BE394" s="5"/>
      <c r="BG394" s="40"/>
      <c r="BH394" s="5"/>
      <c r="BJ394" s="40"/>
      <c r="BK394" s="5"/>
      <c r="BM394" s="40"/>
      <c r="BN394" s="5"/>
      <c r="BP394" s="40"/>
      <c r="BQ394" s="5"/>
      <c r="BS394" s="40"/>
      <c r="BT394" s="5"/>
      <c r="BV394" s="40"/>
      <c r="BW394" s="5"/>
      <c r="BY394" s="40"/>
      <c r="BZ394" s="5"/>
      <c r="CB394" s="40"/>
      <c r="CC394" s="5"/>
      <c r="CE394" s="40"/>
      <c r="CF394" s="5"/>
      <c r="CH394" s="40"/>
      <c r="CI394" s="5"/>
      <c r="CK394" s="40"/>
      <c r="CL394" s="5"/>
      <c r="CN394" s="40"/>
      <c r="CO394" s="5"/>
      <c r="CQ394" s="40"/>
      <c r="CR394" s="5"/>
    </row>
    <row r="395">
      <c r="AL395" s="40"/>
      <c r="AM395" s="5"/>
      <c r="AO395" s="40"/>
      <c r="AP395" s="5"/>
      <c r="AR395" s="40"/>
      <c r="AS395" s="5"/>
      <c r="AU395" s="40"/>
      <c r="AV395" s="5"/>
      <c r="AX395" s="40"/>
      <c r="AY395" s="5"/>
      <c r="BA395" s="40"/>
      <c r="BB395" s="5"/>
      <c r="BD395" s="40"/>
      <c r="BE395" s="5"/>
      <c r="BG395" s="40"/>
      <c r="BH395" s="5"/>
      <c r="BJ395" s="40"/>
      <c r="BK395" s="5"/>
      <c r="BM395" s="40"/>
      <c r="BN395" s="5"/>
      <c r="BP395" s="40"/>
      <c r="BQ395" s="5"/>
      <c r="BS395" s="40"/>
      <c r="BT395" s="5"/>
      <c r="BV395" s="40"/>
      <c r="BW395" s="5"/>
      <c r="BY395" s="40"/>
      <c r="BZ395" s="5"/>
      <c r="CB395" s="40"/>
      <c r="CC395" s="5"/>
      <c r="CE395" s="40"/>
      <c r="CF395" s="5"/>
      <c r="CH395" s="40"/>
      <c r="CI395" s="5"/>
      <c r="CK395" s="40"/>
      <c r="CL395" s="5"/>
      <c r="CN395" s="40"/>
      <c r="CO395" s="5"/>
      <c r="CQ395" s="40"/>
      <c r="CR395" s="5"/>
    </row>
    <row r="396">
      <c r="AL396" s="40"/>
      <c r="AM396" s="5"/>
      <c r="AO396" s="40"/>
      <c r="AP396" s="5"/>
      <c r="AR396" s="40"/>
      <c r="AS396" s="5"/>
      <c r="AU396" s="40"/>
      <c r="AV396" s="5"/>
      <c r="AX396" s="40"/>
      <c r="AY396" s="5"/>
      <c r="BA396" s="40"/>
      <c r="BB396" s="5"/>
      <c r="BD396" s="40"/>
      <c r="BE396" s="5"/>
      <c r="BG396" s="40"/>
      <c r="BH396" s="5"/>
      <c r="BJ396" s="40"/>
      <c r="BK396" s="5"/>
      <c r="BM396" s="40"/>
      <c r="BN396" s="5"/>
      <c r="BP396" s="40"/>
      <c r="BQ396" s="5"/>
      <c r="BS396" s="40"/>
      <c r="BT396" s="5"/>
      <c r="BV396" s="40"/>
      <c r="BW396" s="5"/>
      <c r="BY396" s="40"/>
      <c r="BZ396" s="5"/>
      <c r="CB396" s="40"/>
      <c r="CC396" s="5"/>
      <c r="CE396" s="40"/>
      <c r="CF396" s="5"/>
      <c r="CH396" s="40"/>
      <c r="CI396" s="5"/>
      <c r="CK396" s="40"/>
      <c r="CL396" s="5"/>
      <c r="CN396" s="40"/>
      <c r="CO396" s="5"/>
      <c r="CQ396" s="40"/>
      <c r="CR396" s="5"/>
    </row>
    <row r="397">
      <c r="AL397" s="40"/>
      <c r="AM397" s="5"/>
      <c r="AO397" s="40"/>
      <c r="AP397" s="5"/>
      <c r="AR397" s="40"/>
      <c r="AS397" s="5"/>
      <c r="AU397" s="40"/>
      <c r="AV397" s="5"/>
      <c r="AX397" s="40"/>
      <c r="AY397" s="5"/>
      <c r="BA397" s="40"/>
      <c r="BB397" s="5"/>
      <c r="BD397" s="40"/>
      <c r="BE397" s="5"/>
      <c r="BG397" s="40"/>
      <c r="BH397" s="5"/>
      <c r="BJ397" s="40"/>
      <c r="BK397" s="5"/>
      <c r="BM397" s="40"/>
      <c r="BN397" s="5"/>
      <c r="BP397" s="40"/>
      <c r="BQ397" s="5"/>
      <c r="BS397" s="40"/>
      <c r="BT397" s="5"/>
      <c r="BV397" s="40"/>
      <c r="BW397" s="5"/>
      <c r="BY397" s="40"/>
      <c r="BZ397" s="5"/>
      <c r="CB397" s="40"/>
      <c r="CC397" s="5"/>
      <c r="CE397" s="40"/>
      <c r="CF397" s="5"/>
      <c r="CH397" s="40"/>
      <c r="CI397" s="5"/>
      <c r="CK397" s="40"/>
      <c r="CL397" s="5"/>
      <c r="CN397" s="40"/>
      <c r="CO397" s="5"/>
      <c r="CQ397" s="40"/>
      <c r="CR397" s="5"/>
    </row>
    <row r="398">
      <c r="AL398" s="40"/>
      <c r="AM398" s="5"/>
      <c r="AO398" s="40"/>
      <c r="AP398" s="5"/>
      <c r="AR398" s="40"/>
      <c r="AS398" s="5"/>
      <c r="AU398" s="40"/>
      <c r="AV398" s="5"/>
      <c r="AX398" s="40"/>
      <c r="AY398" s="5"/>
      <c r="BA398" s="40"/>
      <c r="BB398" s="5"/>
      <c r="BD398" s="40"/>
      <c r="BE398" s="5"/>
      <c r="BG398" s="40"/>
      <c r="BH398" s="5"/>
      <c r="BJ398" s="40"/>
      <c r="BK398" s="5"/>
      <c r="BM398" s="40"/>
      <c r="BN398" s="5"/>
      <c r="BP398" s="40"/>
      <c r="BQ398" s="5"/>
      <c r="BS398" s="40"/>
      <c r="BT398" s="5"/>
      <c r="BV398" s="40"/>
      <c r="BW398" s="5"/>
      <c r="BY398" s="40"/>
      <c r="BZ398" s="5"/>
      <c r="CB398" s="40"/>
      <c r="CC398" s="5"/>
      <c r="CE398" s="40"/>
      <c r="CF398" s="5"/>
      <c r="CH398" s="40"/>
      <c r="CI398" s="5"/>
      <c r="CK398" s="40"/>
      <c r="CL398" s="5"/>
      <c r="CN398" s="40"/>
      <c r="CO398" s="5"/>
      <c r="CQ398" s="40"/>
      <c r="CR398" s="5"/>
    </row>
    <row r="399">
      <c r="AL399" s="40"/>
      <c r="AM399" s="5"/>
      <c r="AO399" s="40"/>
      <c r="AP399" s="5"/>
      <c r="AR399" s="40"/>
      <c r="AS399" s="5"/>
      <c r="AU399" s="40"/>
      <c r="AV399" s="5"/>
      <c r="AX399" s="40"/>
      <c r="AY399" s="5"/>
      <c r="BA399" s="40"/>
      <c r="BB399" s="5"/>
      <c r="BD399" s="40"/>
      <c r="BE399" s="5"/>
      <c r="BG399" s="40"/>
      <c r="BH399" s="5"/>
      <c r="BJ399" s="40"/>
      <c r="BK399" s="5"/>
      <c r="BM399" s="40"/>
      <c r="BN399" s="5"/>
      <c r="BP399" s="40"/>
      <c r="BQ399" s="5"/>
      <c r="BS399" s="40"/>
      <c r="BT399" s="5"/>
      <c r="BV399" s="40"/>
      <c r="BW399" s="5"/>
      <c r="BY399" s="40"/>
      <c r="BZ399" s="5"/>
      <c r="CB399" s="40"/>
      <c r="CC399" s="5"/>
      <c r="CE399" s="40"/>
      <c r="CF399" s="5"/>
      <c r="CH399" s="40"/>
      <c r="CI399" s="5"/>
      <c r="CK399" s="40"/>
      <c r="CL399" s="5"/>
      <c r="CN399" s="40"/>
      <c r="CO399" s="5"/>
      <c r="CQ399" s="40"/>
      <c r="CR399" s="5"/>
    </row>
    <row r="400">
      <c r="AL400" s="40"/>
      <c r="AM400" s="5"/>
      <c r="AO400" s="40"/>
      <c r="AP400" s="5"/>
      <c r="AR400" s="40"/>
      <c r="AS400" s="5"/>
      <c r="AU400" s="40"/>
      <c r="AV400" s="5"/>
      <c r="AX400" s="40"/>
      <c r="AY400" s="5"/>
      <c r="BA400" s="40"/>
      <c r="BB400" s="5"/>
      <c r="BD400" s="40"/>
      <c r="BE400" s="5"/>
      <c r="BG400" s="40"/>
      <c r="BH400" s="5"/>
      <c r="BJ400" s="40"/>
      <c r="BK400" s="5"/>
      <c r="BM400" s="40"/>
      <c r="BN400" s="5"/>
      <c r="BP400" s="40"/>
      <c r="BQ400" s="5"/>
      <c r="BS400" s="40"/>
      <c r="BT400" s="5"/>
      <c r="BV400" s="40"/>
      <c r="BW400" s="5"/>
      <c r="BY400" s="40"/>
      <c r="BZ400" s="5"/>
      <c r="CB400" s="40"/>
      <c r="CC400" s="5"/>
      <c r="CE400" s="40"/>
      <c r="CF400" s="5"/>
      <c r="CH400" s="40"/>
      <c r="CI400" s="5"/>
      <c r="CK400" s="40"/>
      <c r="CL400" s="5"/>
      <c r="CN400" s="40"/>
      <c r="CO400" s="5"/>
      <c r="CQ400" s="40"/>
      <c r="CR400" s="5"/>
    </row>
    <row r="401">
      <c r="AL401" s="40"/>
      <c r="AM401" s="5"/>
      <c r="AO401" s="40"/>
      <c r="AP401" s="5"/>
      <c r="AR401" s="40"/>
      <c r="AS401" s="5"/>
      <c r="AU401" s="40"/>
      <c r="AV401" s="5"/>
      <c r="AX401" s="40"/>
      <c r="AY401" s="5"/>
      <c r="BA401" s="40"/>
      <c r="BB401" s="5"/>
      <c r="BD401" s="40"/>
      <c r="BE401" s="5"/>
      <c r="BG401" s="40"/>
      <c r="BH401" s="5"/>
      <c r="BJ401" s="40"/>
      <c r="BK401" s="5"/>
      <c r="BM401" s="40"/>
      <c r="BN401" s="5"/>
      <c r="BP401" s="40"/>
      <c r="BQ401" s="5"/>
      <c r="BS401" s="40"/>
      <c r="BT401" s="5"/>
      <c r="BV401" s="40"/>
      <c r="BW401" s="5"/>
      <c r="BY401" s="40"/>
      <c r="BZ401" s="5"/>
      <c r="CB401" s="40"/>
      <c r="CC401" s="5"/>
      <c r="CE401" s="40"/>
      <c r="CF401" s="5"/>
      <c r="CH401" s="40"/>
      <c r="CI401" s="5"/>
      <c r="CK401" s="40"/>
      <c r="CL401" s="5"/>
      <c r="CN401" s="40"/>
      <c r="CO401" s="5"/>
      <c r="CQ401" s="40"/>
      <c r="CR401" s="5"/>
    </row>
    <row r="402">
      <c r="AL402" s="40"/>
      <c r="AM402" s="5"/>
      <c r="AO402" s="40"/>
      <c r="AP402" s="5"/>
      <c r="AR402" s="40"/>
      <c r="AS402" s="5"/>
      <c r="AU402" s="40"/>
      <c r="AV402" s="5"/>
      <c r="AX402" s="40"/>
      <c r="AY402" s="5"/>
      <c r="BA402" s="40"/>
      <c r="BB402" s="5"/>
      <c r="BD402" s="40"/>
      <c r="BE402" s="5"/>
      <c r="BG402" s="40"/>
      <c r="BH402" s="5"/>
      <c r="BJ402" s="40"/>
      <c r="BK402" s="5"/>
      <c r="BM402" s="40"/>
      <c r="BN402" s="5"/>
      <c r="BP402" s="40"/>
      <c r="BQ402" s="5"/>
      <c r="BS402" s="40"/>
      <c r="BT402" s="5"/>
      <c r="BV402" s="40"/>
      <c r="BW402" s="5"/>
      <c r="BY402" s="40"/>
      <c r="BZ402" s="5"/>
      <c r="CB402" s="40"/>
      <c r="CC402" s="5"/>
      <c r="CE402" s="40"/>
      <c r="CF402" s="5"/>
      <c r="CH402" s="40"/>
      <c r="CI402" s="5"/>
      <c r="CK402" s="40"/>
      <c r="CL402" s="5"/>
      <c r="CN402" s="40"/>
      <c r="CO402" s="5"/>
      <c r="CQ402" s="40"/>
      <c r="CR402" s="5"/>
    </row>
    <row r="403">
      <c r="AL403" s="40"/>
      <c r="AM403" s="5"/>
      <c r="AO403" s="40"/>
      <c r="AP403" s="5"/>
      <c r="AR403" s="40"/>
      <c r="AS403" s="5"/>
      <c r="AU403" s="40"/>
      <c r="AV403" s="5"/>
      <c r="AX403" s="40"/>
      <c r="AY403" s="5"/>
      <c r="BA403" s="40"/>
      <c r="BB403" s="5"/>
      <c r="BD403" s="40"/>
      <c r="BE403" s="5"/>
      <c r="BG403" s="40"/>
      <c r="BH403" s="5"/>
      <c r="BJ403" s="40"/>
      <c r="BK403" s="5"/>
      <c r="BM403" s="40"/>
      <c r="BN403" s="5"/>
      <c r="BP403" s="40"/>
      <c r="BQ403" s="5"/>
      <c r="BS403" s="40"/>
      <c r="BT403" s="5"/>
      <c r="BV403" s="40"/>
      <c r="BW403" s="5"/>
      <c r="BY403" s="40"/>
      <c r="BZ403" s="5"/>
      <c r="CB403" s="40"/>
      <c r="CC403" s="5"/>
      <c r="CE403" s="40"/>
      <c r="CF403" s="5"/>
      <c r="CH403" s="40"/>
      <c r="CI403" s="5"/>
      <c r="CK403" s="40"/>
      <c r="CL403" s="5"/>
      <c r="CN403" s="40"/>
      <c r="CO403" s="5"/>
      <c r="CQ403" s="40"/>
      <c r="CR403" s="5"/>
    </row>
    <row r="404">
      <c r="AL404" s="40"/>
      <c r="AM404" s="5"/>
      <c r="AO404" s="40"/>
      <c r="AP404" s="5"/>
      <c r="AR404" s="40"/>
      <c r="AS404" s="5"/>
      <c r="AU404" s="40"/>
      <c r="AV404" s="5"/>
      <c r="AX404" s="40"/>
      <c r="AY404" s="5"/>
      <c r="BA404" s="40"/>
      <c r="BB404" s="5"/>
      <c r="BD404" s="40"/>
      <c r="BE404" s="5"/>
      <c r="BG404" s="40"/>
      <c r="BH404" s="5"/>
      <c r="BJ404" s="40"/>
      <c r="BK404" s="5"/>
      <c r="BM404" s="40"/>
      <c r="BN404" s="5"/>
      <c r="BP404" s="40"/>
      <c r="BQ404" s="5"/>
      <c r="BS404" s="40"/>
      <c r="BT404" s="5"/>
      <c r="BV404" s="40"/>
      <c r="BW404" s="5"/>
      <c r="BY404" s="40"/>
      <c r="BZ404" s="5"/>
      <c r="CB404" s="40"/>
      <c r="CC404" s="5"/>
      <c r="CE404" s="40"/>
      <c r="CF404" s="5"/>
      <c r="CH404" s="40"/>
      <c r="CI404" s="5"/>
      <c r="CK404" s="40"/>
      <c r="CL404" s="5"/>
      <c r="CN404" s="40"/>
      <c r="CO404" s="5"/>
      <c r="CQ404" s="40"/>
      <c r="CR404" s="5"/>
    </row>
    <row r="405">
      <c r="AL405" s="40"/>
      <c r="AM405" s="5"/>
      <c r="AO405" s="40"/>
      <c r="AP405" s="5"/>
      <c r="AR405" s="40"/>
      <c r="AS405" s="5"/>
      <c r="AU405" s="40"/>
      <c r="AV405" s="5"/>
      <c r="AX405" s="40"/>
      <c r="AY405" s="5"/>
      <c r="BA405" s="40"/>
      <c r="BB405" s="5"/>
      <c r="BD405" s="40"/>
      <c r="BE405" s="5"/>
      <c r="BG405" s="40"/>
      <c r="BH405" s="5"/>
      <c r="BJ405" s="40"/>
      <c r="BK405" s="5"/>
      <c r="BM405" s="40"/>
      <c r="BN405" s="5"/>
      <c r="BP405" s="40"/>
      <c r="BQ405" s="5"/>
      <c r="BS405" s="40"/>
      <c r="BT405" s="5"/>
      <c r="BV405" s="40"/>
      <c r="BW405" s="5"/>
      <c r="BY405" s="40"/>
      <c r="BZ405" s="5"/>
      <c r="CB405" s="40"/>
      <c r="CC405" s="5"/>
      <c r="CE405" s="40"/>
      <c r="CF405" s="5"/>
      <c r="CH405" s="40"/>
      <c r="CI405" s="5"/>
      <c r="CK405" s="40"/>
      <c r="CL405" s="5"/>
      <c r="CN405" s="40"/>
      <c r="CO405" s="5"/>
      <c r="CQ405" s="40"/>
      <c r="CR405" s="5"/>
    </row>
    <row r="406">
      <c r="AL406" s="40"/>
      <c r="AM406" s="5"/>
      <c r="AO406" s="40"/>
      <c r="AP406" s="5"/>
      <c r="AR406" s="40"/>
      <c r="AS406" s="5"/>
      <c r="AU406" s="40"/>
      <c r="AV406" s="5"/>
      <c r="AX406" s="40"/>
      <c r="AY406" s="5"/>
      <c r="BA406" s="40"/>
      <c r="BB406" s="5"/>
      <c r="BD406" s="40"/>
      <c r="BE406" s="5"/>
      <c r="BG406" s="40"/>
      <c r="BH406" s="5"/>
      <c r="BJ406" s="40"/>
      <c r="BK406" s="5"/>
      <c r="BM406" s="40"/>
      <c r="BN406" s="5"/>
      <c r="BP406" s="40"/>
      <c r="BQ406" s="5"/>
      <c r="BS406" s="40"/>
      <c r="BT406" s="5"/>
      <c r="BV406" s="40"/>
      <c r="BW406" s="5"/>
      <c r="BY406" s="40"/>
      <c r="BZ406" s="5"/>
      <c r="CB406" s="40"/>
      <c r="CC406" s="5"/>
      <c r="CE406" s="40"/>
      <c r="CF406" s="5"/>
      <c r="CH406" s="40"/>
      <c r="CI406" s="5"/>
      <c r="CK406" s="40"/>
      <c r="CL406" s="5"/>
      <c r="CN406" s="40"/>
      <c r="CO406" s="5"/>
      <c r="CQ406" s="40"/>
      <c r="CR406" s="5"/>
    </row>
    <row r="407">
      <c r="AL407" s="40"/>
      <c r="AM407" s="5"/>
      <c r="AO407" s="40"/>
      <c r="AP407" s="5"/>
      <c r="AR407" s="40"/>
      <c r="AS407" s="5"/>
      <c r="AU407" s="40"/>
      <c r="AV407" s="5"/>
      <c r="AX407" s="40"/>
      <c r="AY407" s="5"/>
      <c r="BA407" s="40"/>
      <c r="BB407" s="5"/>
      <c r="BD407" s="40"/>
      <c r="BE407" s="5"/>
      <c r="BG407" s="40"/>
      <c r="BH407" s="5"/>
      <c r="BJ407" s="40"/>
      <c r="BK407" s="5"/>
      <c r="BM407" s="40"/>
      <c r="BN407" s="5"/>
      <c r="BP407" s="40"/>
      <c r="BQ407" s="5"/>
      <c r="BS407" s="40"/>
      <c r="BT407" s="5"/>
      <c r="BV407" s="40"/>
      <c r="BW407" s="5"/>
      <c r="BY407" s="40"/>
      <c r="BZ407" s="5"/>
      <c r="CB407" s="40"/>
      <c r="CC407" s="5"/>
      <c r="CE407" s="40"/>
      <c r="CF407" s="5"/>
      <c r="CH407" s="40"/>
      <c r="CI407" s="5"/>
      <c r="CK407" s="40"/>
      <c r="CL407" s="5"/>
      <c r="CN407" s="40"/>
      <c r="CO407" s="5"/>
      <c r="CQ407" s="40"/>
      <c r="CR407" s="5"/>
    </row>
    <row r="408">
      <c r="AL408" s="40"/>
      <c r="AM408" s="5"/>
      <c r="AO408" s="40"/>
      <c r="AP408" s="5"/>
      <c r="AR408" s="40"/>
      <c r="AS408" s="5"/>
      <c r="AU408" s="40"/>
      <c r="AV408" s="5"/>
      <c r="AX408" s="40"/>
      <c r="AY408" s="5"/>
      <c r="BA408" s="40"/>
      <c r="BB408" s="5"/>
      <c r="BD408" s="40"/>
      <c r="BE408" s="5"/>
      <c r="BG408" s="40"/>
      <c r="BH408" s="5"/>
      <c r="BJ408" s="40"/>
      <c r="BK408" s="5"/>
      <c r="BM408" s="40"/>
      <c r="BN408" s="5"/>
      <c r="BP408" s="40"/>
      <c r="BQ408" s="5"/>
      <c r="BS408" s="40"/>
      <c r="BT408" s="5"/>
      <c r="BV408" s="40"/>
      <c r="BW408" s="5"/>
      <c r="BY408" s="40"/>
      <c r="BZ408" s="5"/>
      <c r="CB408" s="40"/>
      <c r="CC408" s="5"/>
      <c r="CE408" s="40"/>
      <c r="CF408" s="5"/>
      <c r="CH408" s="40"/>
      <c r="CI408" s="5"/>
      <c r="CK408" s="40"/>
      <c r="CL408" s="5"/>
      <c r="CN408" s="40"/>
      <c r="CO408" s="5"/>
      <c r="CQ408" s="40"/>
      <c r="CR408" s="5"/>
    </row>
    <row r="409">
      <c r="AL409" s="40"/>
      <c r="AM409" s="5"/>
      <c r="AO409" s="40"/>
      <c r="AP409" s="5"/>
      <c r="AR409" s="40"/>
      <c r="AS409" s="5"/>
      <c r="AU409" s="40"/>
      <c r="AV409" s="5"/>
      <c r="AX409" s="40"/>
      <c r="AY409" s="5"/>
      <c r="BA409" s="40"/>
      <c r="BB409" s="5"/>
      <c r="BD409" s="40"/>
      <c r="BE409" s="5"/>
      <c r="BG409" s="40"/>
      <c r="BH409" s="5"/>
      <c r="BJ409" s="40"/>
      <c r="BK409" s="5"/>
      <c r="BM409" s="40"/>
      <c r="BN409" s="5"/>
      <c r="BP409" s="40"/>
      <c r="BQ409" s="5"/>
      <c r="BS409" s="40"/>
      <c r="BT409" s="5"/>
      <c r="BV409" s="40"/>
      <c r="BW409" s="5"/>
      <c r="BY409" s="40"/>
      <c r="BZ409" s="5"/>
      <c r="CB409" s="40"/>
      <c r="CC409" s="5"/>
      <c r="CE409" s="40"/>
      <c r="CF409" s="5"/>
      <c r="CH409" s="40"/>
      <c r="CI409" s="5"/>
      <c r="CK409" s="40"/>
      <c r="CL409" s="5"/>
      <c r="CN409" s="40"/>
      <c r="CO409" s="5"/>
      <c r="CQ409" s="40"/>
      <c r="CR409" s="5"/>
    </row>
    <row r="410">
      <c r="AL410" s="40"/>
      <c r="AM410" s="5"/>
      <c r="AO410" s="40"/>
      <c r="AP410" s="5"/>
      <c r="AR410" s="40"/>
      <c r="AS410" s="5"/>
      <c r="AU410" s="40"/>
      <c r="AV410" s="5"/>
      <c r="AX410" s="40"/>
      <c r="AY410" s="5"/>
      <c r="BA410" s="40"/>
      <c r="BB410" s="5"/>
      <c r="BD410" s="40"/>
      <c r="BE410" s="5"/>
      <c r="BG410" s="40"/>
      <c r="BH410" s="5"/>
      <c r="BJ410" s="40"/>
      <c r="BK410" s="5"/>
      <c r="BM410" s="40"/>
      <c r="BN410" s="5"/>
      <c r="BP410" s="40"/>
      <c r="BQ410" s="5"/>
      <c r="BS410" s="40"/>
      <c r="BT410" s="5"/>
      <c r="BV410" s="40"/>
      <c r="BW410" s="5"/>
      <c r="BY410" s="40"/>
      <c r="BZ410" s="5"/>
      <c r="CB410" s="40"/>
      <c r="CC410" s="5"/>
      <c r="CE410" s="40"/>
      <c r="CF410" s="5"/>
      <c r="CH410" s="40"/>
      <c r="CI410" s="5"/>
      <c r="CK410" s="40"/>
      <c r="CL410" s="5"/>
      <c r="CN410" s="40"/>
      <c r="CO410" s="5"/>
      <c r="CQ410" s="40"/>
      <c r="CR410" s="5"/>
    </row>
    <row r="411">
      <c r="AL411" s="40"/>
      <c r="AM411" s="5"/>
      <c r="AO411" s="40"/>
      <c r="AP411" s="5"/>
      <c r="AR411" s="40"/>
      <c r="AS411" s="5"/>
      <c r="AU411" s="40"/>
      <c r="AV411" s="5"/>
      <c r="AX411" s="40"/>
      <c r="AY411" s="5"/>
      <c r="BA411" s="40"/>
      <c r="BB411" s="5"/>
      <c r="BD411" s="40"/>
      <c r="BE411" s="5"/>
      <c r="BG411" s="40"/>
      <c r="BH411" s="5"/>
      <c r="BJ411" s="40"/>
      <c r="BK411" s="5"/>
      <c r="BM411" s="40"/>
      <c r="BN411" s="5"/>
      <c r="BP411" s="40"/>
      <c r="BQ411" s="5"/>
      <c r="BS411" s="40"/>
      <c r="BT411" s="5"/>
      <c r="BV411" s="40"/>
      <c r="BW411" s="5"/>
      <c r="BY411" s="40"/>
      <c r="BZ411" s="5"/>
      <c r="CB411" s="40"/>
      <c r="CC411" s="5"/>
      <c r="CE411" s="40"/>
      <c r="CF411" s="5"/>
      <c r="CH411" s="40"/>
      <c r="CI411" s="5"/>
      <c r="CK411" s="40"/>
      <c r="CL411" s="5"/>
      <c r="CN411" s="40"/>
      <c r="CO411" s="5"/>
      <c r="CQ411" s="40"/>
      <c r="CR411" s="5"/>
    </row>
    <row r="412">
      <c r="AL412" s="40"/>
      <c r="AM412" s="5"/>
      <c r="AO412" s="40"/>
      <c r="AP412" s="5"/>
      <c r="AR412" s="40"/>
      <c r="AS412" s="5"/>
      <c r="AU412" s="40"/>
      <c r="AV412" s="5"/>
      <c r="AX412" s="40"/>
      <c r="AY412" s="5"/>
      <c r="BA412" s="40"/>
      <c r="BB412" s="5"/>
      <c r="BD412" s="40"/>
      <c r="BE412" s="5"/>
      <c r="BG412" s="40"/>
      <c r="BH412" s="5"/>
      <c r="BJ412" s="40"/>
      <c r="BK412" s="5"/>
      <c r="BM412" s="40"/>
      <c r="BN412" s="5"/>
      <c r="BP412" s="40"/>
      <c r="BQ412" s="5"/>
      <c r="BS412" s="40"/>
      <c r="BT412" s="5"/>
      <c r="BV412" s="40"/>
      <c r="BW412" s="5"/>
      <c r="BY412" s="40"/>
      <c r="BZ412" s="5"/>
      <c r="CB412" s="40"/>
      <c r="CC412" s="5"/>
      <c r="CE412" s="40"/>
      <c r="CF412" s="5"/>
      <c r="CH412" s="40"/>
      <c r="CI412" s="5"/>
      <c r="CK412" s="40"/>
      <c r="CL412" s="5"/>
      <c r="CN412" s="40"/>
      <c r="CO412" s="5"/>
      <c r="CQ412" s="40"/>
      <c r="CR412" s="5"/>
    </row>
    <row r="413">
      <c r="AL413" s="40"/>
      <c r="AM413" s="5"/>
      <c r="AO413" s="40"/>
      <c r="AP413" s="5"/>
      <c r="AR413" s="40"/>
      <c r="AS413" s="5"/>
      <c r="AU413" s="40"/>
      <c r="AV413" s="5"/>
      <c r="AX413" s="40"/>
      <c r="AY413" s="5"/>
      <c r="BA413" s="40"/>
      <c r="BB413" s="5"/>
      <c r="BD413" s="40"/>
      <c r="BE413" s="5"/>
      <c r="BG413" s="40"/>
      <c r="BH413" s="5"/>
      <c r="BJ413" s="40"/>
      <c r="BK413" s="5"/>
      <c r="BM413" s="40"/>
      <c r="BN413" s="5"/>
      <c r="BP413" s="40"/>
      <c r="BQ413" s="5"/>
      <c r="BS413" s="40"/>
      <c r="BT413" s="5"/>
      <c r="BV413" s="40"/>
      <c r="BW413" s="5"/>
      <c r="BY413" s="40"/>
      <c r="BZ413" s="5"/>
      <c r="CB413" s="40"/>
      <c r="CC413" s="5"/>
      <c r="CE413" s="40"/>
      <c r="CF413" s="5"/>
      <c r="CH413" s="40"/>
      <c r="CI413" s="5"/>
      <c r="CK413" s="40"/>
      <c r="CL413" s="5"/>
      <c r="CN413" s="40"/>
      <c r="CO413" s="5"/>
      <c r="CQ413" s="40"/>
      <c r="CR413" s="5"/>
    </row>
    <row r="414">
      <c r="AL414" s="40"/>
      <c r="AM414" s="5"/>
      <c r="AO414" s="40"/>
      <c r="AP414" s="5"/>
      <c r="AR414" s="40"/>
      <c r="AS414" s="5"/>
      <c r="AU414" s="40"/>
      <c r="AV414" s="5"/>
      <c r="AX414" s="40"/>
      <c r="AY414" s="5"/>
      <c r="BA414" s="40"/>
      <c r="BB414" s="5"/>
      <c r="BD414" s="40"/>
      <c r="BE414" s="5"/>
      <c r="BG414" s="40"/>
      <c r="BH414" s="5"/>
      <c r="BJ414" s="40"/>
      <c r="BK414" s="5"/>
      <c r="BM414" s="40"/>
      <c r="BN414" s="5"/>
      <c r="BP414" s="40"/>
      <c r="BQ414" s="5"/>
      <c r="BS414" s="40"/>
      <c r="BT414" s="5"/>
      <c r="BV414" s="40"/>
      <c r="BW414" s="5"/>
      <c r="BY414" s="40"/>
      <c r="BZ414" s="5"/>
      <c r="CB414" s="40"/>
      <c r="CC414" s="5"/>
      <c r="CE414" s="40"/>
      <c r="CF414" s="5"/>
      <c r="CH414" s="40"/>
      <c r="CI414" s="5"/>
      <c r="CK414" s="40"/>
      <c r="CL414" s="5"/>
      <c r="CN414" s="40"/>
      <c r="CO414" s="5"/>
      <c r="CQ414" s="40"/>
      <c r="CR414" s="5"/>
    </row>
    <row r="415">
      <c r="AL415" s="40"/>
      <c r="AM415" s="5"/>
      <c r="AO415" s="40"/>
      <c r="AP415" s="5"/>
      <c r="AR415" s="40"/>
      <c r="AS415" s="5"/>
      <c r="AU415" s="40"/>
      <c r="AV415" s="5"/>
      <c r="AX415" s="40"/>
      <c r="AY415" s="5"/>
      <c r="BA415" s="40"/>
      <c r="BB415" s="5"/>
      <c r="BD415" s="40"/>
      <c r="BE415" s="5"/>
      <c r="BG415" s="40"/>
      <c r="BH415" s="5"/>
      <c r="BJ415" s="40"/>
      <c r="BK415" s="5"/>
      <c r="BM415" s="40"/>
      <c r="BN415" s="5"/>
      <c r="BP415" s="40"/>
      <c r="BQ415" s="5"/>
      <c r="BS415" s="40"/>
      <c r="BT415" s="5"/>
      <c r="BV415" s="40"/>
      <c r="BW415" s="5"/>
      <c r="BY415" s="40"/>
      <c r="BZ415" s="5"/>
      <c r="CB415" s="40"/>
      <c r="CC415" s="5"/>
      <c r="CE415" s="40"/>
      <c r="CF415" s="5"/>
      <c r="CH415" s="40"/>
      <c r="CI415" s="5"/>
      <c r="CK415" s="40"/>
      <c r="CL415" s="5"/>
      <c r="CN415" s="40"/>
      <c r="CO415" s="5"/>
      <c r="CQ415" s="40"/>
      <c r="CR415" s="5"/>
    </row>
    <row r="416">
      <c r="AL416" s="40"/>
      <c r="AM416" s="5"/>
      <c r="AO416" s="40"/>
      <c r="AP416" s="5"/>
      <c r="AR416" s="40"/>
      <c r="AS416" s="5"/>
      <c r="AU416" s="40"/>
      <c r="AV416" s="5"/>
      <c r="AX416" s="40"/>
      <c r="AY416" s="5"/>
      <c r="BA416" s="40"/>
      <c r="BB416" s="5"/>
      <c r="BD416" s="40"/>
      <c r="BE416" s="5"/>
      <c r="BG416" s="40"/>
      <c r="BH416" s="5"/>
      <c r="BJ416" s="40"/>
      <c r="BK416" s="5"/>
      <c r="BM416" s="40"/>
      <c r="BN416" s="5"/>
      <c r="BP416" s="40"/>
      <c r="BQ416" s="5"/>
      <c r="BS416" s="40"/>
      <c r="BT416" s="5"/>
      <c r="BV416" s="40"/>
      <c r="BW416" s="5"/>
      <c r="BY416" s="40"/>
      <c r="BZ416" s="5"/>
      <c r="CB416" s="40"/>
      <c r="CC416" s="5"/>
      <c r="CE416" s="40"/>
      <c r="CF416" s="5"/>
      <c r="CH416" s="40"/>
      <c r="CI416" s="5"/>
      <c r="CK416" s="40"/>
      <c r="CL416" s="5"/>
      <c r="CN416" s="40"/>
      <c r="CO416" s="5"/>
      <c r="CQ416" s="40"/>
      <c r="CR416" s="5"/>
    </row>
    <row r="417">
      <c r="AL417" s="40"/>
      <c r="AM417" s="5"/>
      <c r="AO417" s="40"/>
      <c r="AP417" s="5"/>
      <c r="AR417" s="40"/>
      <c r="AS417" s="5"/>
      <c r="AU417" s="40"/>
      <c r="AV417" s="5"/>
      <c r="AX417" s="40"/>
      <c r="AY417" s="5"/>
      <c r="BA417" s="40"/>
      <c r="BB417" s="5"/>
      <c r="BD417" s="40"/>
      <c r="BE417" s="5"/>
      <c r="BG417" s="40"/>
      <c r="BH417" s="5"/>
      <c r="BJ417" s="40"/>
      <c r="BK417" s="5"/>
      <c r="BM417" s="40"/>
      <c r="BN417" s="5"/>
      <c r="BP417" s="40"/>
      <c r="BQ417" s="5"/>
      <c r="BS417" s="40"/>
      <c r="BT417" s="5"/>
      <c r="BV417" s="40"/>
      <c r="BW417" s="5"/>
      <c r="BY417" s="40"/>
      <c r="BZ417" s="5"/>
      <c r="CB417" s="40"/>
      <c r="CC417" s="5"/>
      <c r="CE417" s="40"/>
      <c r="CF417" s="5"/>
      <c r="CH417" s="40"/>
      <c r="CI417" s="5"/>
      <c r="CK417" s="40"/>
      <c r="CL417" s="5"/>
      <c r="CN417" s="40"/>
      <c r="CO417" s="5"/>
      <c r="CQ417" s="40"/>
      <c r="CR417" s="5"/>
    </row>
    <row r="418">
      <c r="AL418" s="40"/>
      <c r="AM418" s="5"/>
      <c r="AO418" s="40"/>
      <c r="AP418" s="5"/>
      <c r="AR418" s="40"/>
      <c r="AS418" s="5"/>
      <c r="AU418" s="40"/>
      <c r="AV418" s="5"/>
      <c r="AX418" s="40"/>
      <c r="AY418" s="5"/>
      <c r="BA418" s="40"/>
      <c r="BB418" s="5"/>
      <c r="BD418" s="40"/>
      <c r="BE418" s="5"/>
      <c r="BG418" s="40"/>
      <c r="BH418" s="5"/>
      <c r="BJ418" s="40"/>
      <c r="BK418" s="5"/>
      <c r="BM418" s="40"/>
      <c r="BN418" s="5"/>
      <c r="BP418" s="40"/>
      <c r="BQ418" s="5"/>
      <c r="BS418" s="40"/>
      <c r="BT418" s="5"/>
      <c r="BV418" s="40"/>
      <c r="BW418" s="5"/>
      <c r="BY418" s="40"/>
      <c r="BZ418" s="5"/>
      <c r="CB418" s="40"/>
      <c r="CC418" s="5"/>
      <c r="CE418" s="40"/>
      <c r="CF418" s="5"/>
      <c r="CH418" s="40"/>
      <c r="CI418" s="5"/>
      <c r="CK418" s="40"/>
      <c r="CL418" s="5"/>
      <c r="CN418" s="40"/>
      <c r="CO418" s="5"/>
      <c r="CQ418" s="40"/>
      <c r="CR418" s="5"/>
    </row>
    <row r="419">
      <c r="AL419" s="40"/>
      <c r="AM419" s="5"/>
      <c r="AO419" s="40"/>
      <c r="AP419" s="5"/>
      <c r="AR419" s="40"/>
      <c r="AS419" s="5"/>
      <c r="AU419" s="40"/>
      <c r="AV419" s="5"/>
      <c r="AX419" s="40"/>
      <c r="AY419" s="5"/>
      <c r="BA419" s="40"/>
      <c r="BB419" s="5"/>
      <c r="BD419" s="40"/>
      <c r="BE419" s="5"/>
      <c r="BG419" s="40"/>
      <c r="BH419" s="5"/>
      <c r="BJ419" s="40"/>
      <c r="BK419" s="5"/>
      <c r="BM419" s="40"/>
      <c r="BN419" s="5"/>
      <c r="BP419" s="40"/>
      <c r="BQ419" s="5"/>
      <c r="BS419" s="40"/>
      <c r="BT419" s="5"/>
      <c r="BV419" s="40"/>
      <c r="BW419" s="5"/>
      <c r="BY419" s="40"/>
      <c r="BZ419" s="5"/>
      <c r="CB419" s="40"/>
      <c r="CC419" s="5"/>
      <c r="CE419" s="40"/>
      <c r="CF419" s="5"/>
      <c r="CH419" s="40"/>
      <c r="CI419" s="5"/>
      <c r="CK419" s="40"/>
      <c r="CL419" s="5"/>
      <c r="CN419" s="40"/>
      <c r="CO419" s="5"/>
      <c r="CQ419" s="40"/>
      <c r="CR419" s="5"/>
    </row>
    <row r="420">
      <c r="AL420" s="40"/>
      <c r="AM420" s="5"/>
      <c r="AO420" s="40"/>
      <c r="AP420" s="5"/>
      <c r="AR420" s="40"/>
      <c r="AS420" s="5"/>
      <c r="AU420" s="40"/>
      <c r="AV420" s="5"/>
      <c r="AX420" s="40"/>
      <c r="AY420" s="5"/>
      <c r="BA420" s="40"/>
      <c r="BB420" s="5"/>
      <c r="BD420" s="40"/>
      <c r="BE420" s="5"/>
      <c r="BG420" s="40"/>
      <c r="BH420" s="5"/>
      <c r="BJ420" s="40"/>
      <c r="BK420" s="5"/>
      <c r="BM420" s="40"/>
      <c r="BN420" s="5"/>
      <c r="BP420" s="40"/>
      <c r="BQ420" s="5"/>
      <c r="BS420" s="40"/>
      <c r="BT420" s="5"/>
      <c r="BV420" s="40"/>
      <c r="BW420" s="5"/>
      <c r="BY420" s="40"/>
      <c r="BZ420" s="5"/>
      <c r="CB420" s="40"/>
      <c r="CC420" s="5"/>
      <c r="CE420" s="40"/>
      <c r="CF420" s="5"/>
      <c r="CH420" s="40"/>
      <c r="CI420" s="5"/>
      <c r="CK420" s="40"/>
      <c r="CL420" s="5"/>
      <c r="CN420" s="40"/>
      <c r="CO420" s="5"/>
      <c r="CQ420" s="40"/>
      <c r="CR420" s="5"/>
    </row>
    <row r="421">
      <c r="AL421" s="40"/>
      <c r="AM421" s="5"/>
      <c r="AO421" s="40"/>
      <c r="AP421" s="5"/>
      <c r="AR421" s="40"/>
      <c r="AS421" s="5"/>
      <c r="AU421" s="40"/>
      <c r="AV421" s="5"/>
      <c r="AX421" s="40"/>
      <c r="AY421" s="5"/>
      <c r="BA421" s="40"/>
      <c r="BB421" s="5"/>
      <c r="BD421" s="40"/>
      <c r="BE421" s="5"/>
      <c r="BG421" s="40"/>
      <c r="BH421" s="5"/>
      <c r="BJ421" s="40"/>
      <c r="BK421" s="5"/>
      <c r="BM421" s="40"/>
      <c r="BN421" s="5"/>
      <c r="BP421" s="40"/>
      <c r="BQ421" s="5"/>
      <c r="BS421" s="40"/>
      <c r="BT421" s="5"/>
      <c r="BV421" s="40"/>
      <c r="BW421" s="5"/>
      <c r="BY421" s="40"/>
      <c r="BZ421" s="5"/>
      <c r="CB421" s="40"/>
      <c r="CC421" s="5"/>
      <c r="CE421" s="40"/>
      <c r="CF421" s="5"/>
      <c r="CH421" s="40"/>
      <c r="CI421" s="5"/>
      <c r="CK421" s="40"/>
      <c r="CL421" s="5"/>
      <c r="CN421" s="40"/>
      <c r="CO421" s="5"/>
      <c r="CQ421" s="40"/>
      <c r="CR421" s="5"/>
    </row>
    <row r="422">
      <c r="AL422" s="40"/>
      <c r="AM422" s="5"/>
      <c r="AO422" s="40"/>
      <c r="AP422" s="5"/>
      <c r="AR422" s="40"/>
      <c r="AS422" s="5"/>
      <c r="AU422" s="40"/>
      <c r="AV422" s="5"/>
      <c r="AX422" s="40"/>
      <c r="AY422" s="5"/>
      <c r="BA422" s="40"/>
      <c r="BB422" s="5"/>
      <c r="BD422" s="40"/>
      <c r="BE422" s="5"/>
      <c r="BG422" s="40"/>
      <c r="BH422" s="5"/>
      <c r="BJ422" s="40"/>
      <c r="BK422" s="5"/>
      <c r="BM422" s="40"/>
      <c r="BN422" s="5"/>
      <c r="BP422" s="40"/>
      <c r="BQ422" s="5"/>
      <c r="BS422" s="40"/>
      <c r="BT422" s="5"/>
      <c r="BV422" s="40"/>
      <c r="BW422" s="5"/>
      <c r="BY422" s="40"/>
      <c r="BZ422" s="5"/>
      <c r="CB422" s="40"/>
      <c r="CC422" s="5"/>
      <c r="CE422" s="40"/>
      <c r="CF422" s="5"/>
      <c r="CH422" s="40"/>
      <c r="CI422" s="5"/>
      <c r="CK422" s="40"/>
      <c r="CL422" s="5"/>
      <c r="CN422" s="40"/>
      <c r="CO422" s="5"/>
      <c r="CQ422" s="40"/>
      <c r="CR422" s="5"/>
    </row>
    <row r="423">
      <c r="AL423" s="40"/>
      <c r="AM423" s="5"/>
      <c r="AO423" s="40"/>
      <c r="AP423" s="5"/>
      <c r="AR423" s="40"/>
      <c r="AS423" s="5"/>
      <c r="AU423" s="40"/>
      <c r="AV423" s="5"/>
      <c r="AX423" s="40"/>
      <c r="AY423" s="5"/>
      <c r="BA423" s="40"/>
      <c r="BB423" s="5"/>
      <c r="BD423" s="40"/>
      <c r="BE423" s="5"/>
      <c r="BG423" s="40"/>
      <c r="BH423" s="5"/>
      <c r="BJ423" s="40"/>
      <c r="BK423" s="5"/>
      <c r="BM423" s="40"/>
      <c r="BN423" s="5"/>
      <c r="BP423" s="40"/>
      <c r="BQ423" s="5"/>
      <c r="BS423" s="40"/>
      <c r="BT423" s="5"/>
      <c r="BV423" s="40"/>
      <c r="BW423" s="5"/>
      <c r="BY423" s="40"/>
      <c r="BZ423" s="5"/>
      <c r="CB423" s="40"/>
      <c r="CC423" s="5"/>
      <c r="CE423" s="40"/>
      <c r="CF423" s="5"/>
      <c r="CH423" s="40"/>
      <c r="CI423" s="5"/>
      <c r="CK423" s="40"/>
      <c r="CL423" s="5"/>
      <c r="CN423" s="40"/>
      <c r="CO423" s="5"/>
      <c r="CQ423" s="40"/>
      <c r="CR423" s="5"/>
    </row>
    <row r="424">
      <c r="AL424" s="40"/>
      <c r="AM424" s="5"/>
      <c r="AO424" s="40"/>
      <c r="AP424" s="5"/>
      <c r="AR424" s="40"/>
      <c r="AS424" s="5"/>
      <c r="AU424" s="40"/>
      <c r="AV424" s="5"/>
      <c r="AX424" s="40"/>
      <c r="AY424" s="5"/>
      <c r="BA424" s="40"/>
      <c r="BB424" s="5"/>
      <c r="BD424" s="40"/>
      <c r="BE424" s="5"/>
      <c r="BG424" s="40"/>
      <c r="BH424" s="5"/>
      <c r="BJ424" s="40"/>
      <c r="BK424" s="5"/>
      <c r="BM424" s="40"/>
      <c r="BN424" s="5"/>
      <c r="BP424" s="40"/>
      <c r="BQ424" s="5"/>
      <c r="BS424" s="40"/>
      <c r="BT424" s="5"/>
      <c r="BV424" s="40"/>
      <c r="BW424" s="5"/>
      <c r="BY424" s="40"/>
      <c r="BZ424" s="5"/>
      <c r="CB424" s="40"/>
      <c r="CC424" s="5"/>
      <c r="CE424" s="40"/>
      <c r="CF424" s="5"/>
      <c r="CH424" s="40"/>
      <c r="CI424" s="5"/>
      <c r="CK424" s="40"/>
      <c r="CL424" s="5"/>
      <c r="CN424" s="40"/>
      <c r="CO424" s="5"/>
      <c r="CQ424" s="40"/>
      <c r="CR424" s="5"/>
    </row>
    <row r="425">
      <c r="AL425" s="40"/>
      <c r="AM425" s="5"/>
      <c r="AO425" s="40"/>
      <c r="AP425" s="5"/>
      <c r="AR425" s="40"/>
      <c r="AS425" s="5"/>
      <c r="AU425" s="40"/>
      <c r="AV425" s="5"/>
      <c r="AX425" s="40"/>
      <c r="AY425" s="5"/>
      <c r="BA425" s="40"/>
      <c r="BB425" s="5"/>
      <c r="BD425" s="40"/>
      <c r="BE425" s="5"/>
      <c r="BG425" s="40"/>
      <c r="BH425" s="5"/>
      <c r="BJ425" s="40"/>
      <c r="BK425" s="5"/>
      <c r="BM425" s="40"/>
      <c r="BN425" s="5"/>
      <c r="BP425" s="40"/>
      <c r="BQ425" s="5"/>
      <c r="BS425" s="40"/>
      <c r="BT425" s="5"/>
      <c r="BV425" s="40"/>
      <c r="BW425" s="5"/>
      <c r="BY425" s="40"/>
      <c r="BZ425" s="5"/>
      <c r="CB425" s="40"/>
      <c r="CC425" s="5"/>
      <c r="CE425" s="40"/>
      <c r="CF425" s="5"/>
      <c r="CH425" s="40"/>
      <c r="CI425" s="5"/>
      <c r="CK425" s="40"/>
      <c r="CL425" s="5"/>
      <c r="CN425" s="40"/>
      <c r="CO425" s="5"/>
      <c r="CQ425" s="40"/>
      <c r="CR425" s="5"/>
    </row>
    <row r="426">
      <c r="AL426" s="40"/>
      <c r="AM426" s="5"/>
      <c r="AO426" s="40"/>
      <c r="AP426" s="5"/>
      <c r="AR426" s="40"/>
      <c r="AS426" s="5"/>
      <c r="AU426" s="40"/>
      <c r="AV426" s="5"/>
      <c r="AX426" s="40"/>
      <c r="AY426" s="5"/>
      <c r="BA426" s="40"/>
      <c r="BB426" s="5"/>
      <c r="BD426" s="40"/>
      <c r="BE426" s="5"/>
      <c r="BG426" s="40"/>
      <c r="BH426" s="5"/>
      <c r="BJ426" s="40"/>
      <c r="BK426" s="5"/>
      <c r="BM426" s="40"/>
      <c r="BN426" s="5"/>
      <c r="BP426" s="40"/>
      <c r="BQ426" s="5"/>
      <c r="BS426" s="40"/>
      <c r="BT426" s="5"/>
      <c r="BV426" s="40"/>
      <c r="BW426" s="5"/>
      <c r="BY426" s="40"/>
      <c r="BZ426" s="5"/>
      <c r="CB426" s="40"/>
      <c r="CC426" s="5"/>
      <c r="CE426" s="40"/>
      <c r="CF426" s="5"/>
      <c r="CH426" s="40"/>
      <c r="CI426" s="5"/>
      <c r="CK426" s="40"/>
      <c r="CL426" s="5"/>
      <c r="CN426" s="40"/>
      <c r="CO426" s="5"/>
      <c r="CQ426" s="40"/>
      <c r="CR426" s="5"/>
    </row>
    <row r="427">
      <c r="AL427" s="40"/>
      <c r="AM427" s="5"/>
      <c r="AO427" s="40"/>
      <c r="AP427" s="5"/>
      <c r="AR427" s="40"/>
      <c r="AS427" s="5"/>
      <c r="AU427" s="40"/>
      <c r="AV427" s="5"/>
      <c r="AX427" s="40"/>
      <c r="AY427" s="5"/>
      <c r="BA427" s="40"/>
      <c r="BB427" s="5"/>
      <c r="BD427" s="40"/>
      <c r="BE427" s="5"/>
      <c r="BG427" s="40"/>
      <c r="BH427" s="5"/>
      <c r="BJ427" s="40"/>
      <c r="BK427" s="5"/>
      <c r="BM427" s="40"/>
      <c r="BN427" s="5"/>
      <c r="BP427" s="40"/>
      <c r="BQ427" s="5"/>
      <c r="BS427" s="40"/>
      <c r="BT427" s="5"/>
      <c r="BV427" s="40"/>
      <c r="BW427" s="5"/>
      <c r="BY427" s="40"/>
      <c r="BZ427" s="5"/>
      <c r="CB427" s="40"/>
      <c r="CC427" s="5"/>
      <c r="CE427" s="40"/>
      <c r="CF427" s="5"/>
      <c r="CH427" s="40"/>
      <c r="CI427" s="5"/>
      <c r="CK427" s="40"/>
      <c r="CL427" s="5"/>
      <c r="CN427" s="40"/>
      <c r="CO427" s="5"/>
      <c r="CQ427" s="40"/>
      <c r="CR427" s="5"/>
    </row>
    <row r="428">
      <c r="AL428" s="40"/>
      <c r="AM428" s="5"/>
      <c r="AO428" s="40"/>
      <c r="AP428" s="5"/>
      <c r="AR428" s="40"/>
      <c r="AS428" s="5"/>
      <c r="AU428" s="40"/>
      <c r="AV428" s="5"/>
      <c r="AX428" s="40"/>
      <c r="AY428" s="5"/>
      <c r="BA428" s="40"/>
      <c r="BB428" s="5"/>
      <c r="BD428" s="40"/>
      <c r="BE428" s="5"/>
      <c r="BG428" s="40"/>
      <c r="BH428" s="5"/>
      <c r="BJ428" s="40"/>
      <c r="BK428" s="5"/>
      <c r="BM428" s="40"/>
      <c r="BN428" s="5"/>
      <c r="BP428" s="40"/>
      <c r="BQ428" s="5"/>
      <c r="BS428" s="40"/>
      <c r="BT428" s="5"/>
      <c r="BV428" s="40"/>
      <c r="BW428" s="5"/>
      <c r="BY428" s="40"/>
      <c r="BZ428" s="5"/>
      <c r="CB428" s="40"/>
      <c r="CC428" s="5"/>
      <c r="CE428" s="40"/>
      <c r="CF428" s="5"/>
      <c r="CH428" s="40"/>
      <c r="CI428" s="5"/>
      <c r="CK428" s="40"/>
      <c r="CL428" s="5"/>
      <c r="CN428" s="40"/>
      <c r="CO428" s="5"/>
      <c r="CQ428" s="40"/>
      <c r="CR428" s="5"/>
    </row>
    <row r="429">
      <c r="AL429" s="40"/>
      <c r="AM429" s="5"/>
      <c r="AO429" s="40"/>
      <c r="AP429" s="5"/>
      <c r="AR429" s="40"/>
      <c r="AS429" s="5"/>
      <c r="AU429" s="40"/>
      <c r="AV429" s="5"/>
      <c r="AX429" s="40"/>
      <c r="AY429" s="5"/>
      <c r="BA429" s="40"/>
      <c r="BB429" s="5"/>
      <c r="BD429" s="40"/>
      <c r="BE429" s="5"/>
      <c r="BG429" s="40"/>
      <c r="BH429" s="5"/>
      <c r="BJ429" s="40"/>
      <c r="BK429" s="5"/>
      <c r="BM429" s="40"/>
      <c r="BN429" s="5"/>
      <c r="BP429" s="40"/>
      <c r="BQ429" s="5"/>
      <c r="BS429" s="40"/>
      <c r="BT429" s="5"/>
      <c r="BV429" s="40"/>
      <c r="BW429" s="5"/>
      <c r="BY429" s="40"/>
      <c r="BZ429" s="5"/>
      <c r="CB429" s="40"/>
      <c r="CC429" s="5"/>
      <c r="CE429" s="40"/>
      <c r="CF429" s="5"/>
      <c r="CH429" s="40"/>
      <c r="CI429" s="5"/>
      <c r="CK429" s="40"/>
      <c r="CL429" s="5"/>
      <c r="CN429" s="40"/>
      <c r="CO429" s="5"/>
      <c r="CQ429" s="40"/>
      <c r="CR429" s="5"/>
    </row>
    <row r="430">
      <c r="AL430" s="40"/>
      <c r="AM430" s="5"/>
      <c r="AO430" s="40"/>
      <c r="AP430" s="5"/>
      <c r="AR430" s="40"/>
      <c r="AS430" s="5"/>
      <c r="AU430" s="40"/>
      <c r="AV430" s="5"/>
      <c r="AX430" s="40"/>
      <c r="AY430" s="5"/>
      <c r="BA430" s="40"/>
      <c r="BB430" s="5"/>
      <c r="BD430" s="40"/>
      <c r="BE430" s="5"/>
      <c r="BG430" s="40"/>
      <c r="BH430" s="5"/>
      <c r="BJ430" s="40"/>
      <c r="BK430" s="5"/>
      <c r="BM430" s="40"/>
      <c r="BN430" s="5"/>
      <c r="BP430" s="40"/>
      <c r="BQ430" s="5"/>
      <c r="BS430" s="40"/>
      <c r="BT430" s="5"/>
      <c r="BV430" s="40"/>
      <c r="BW430" s="5"/>
      <c r="BY430" s="40"/>
      <c r="BZ430" s="5"/>
      <c r="CB430" s="40"/>
      <c r="CC430" s="5"/>
      <c r="CE430" s="40"/>
      <c r="CF430" s="5"/>
      <c r="CH430" s="40"/>
      <c r="CI430" s="5"/>
      <c r="CK430" s="40"/>
      <c r="CL430" s="5"/>
      <c r="CN430" s="40"/>
      <c r="CO430" s="5"/>
      <c r="CQ430" s="40"/>
      <c r="CR430" s="5"/>
    </row>
    <row r="431">
      <c r="AL431" s="40"/>
      <c r="AM431" s="5"/>
      <c r="AO431" s="40"/>
      <c r="AP431" s="5"/>
      <c r="AR431" s="40"/>
      <c r="AS431" s="5"/>
      <c r="AU431" s="40"/>
      <c r="AV431" s="5"/>
      <c r="AX431" s="40"/>
      <c r="AY431" s="5"/>
      <c r="BA431" s="40"/>
      <c r="BB431" s="5"/>
      <c r="BD431" s="40"/>
      <c r="BE431" s="5"/>
      <c r="BG431" s="40"/>
      <c r="BH431" s="5"/>
      <c r="BJ431" s="40"/>
      <c r="BK431" s="5"/>
      <c r="BM431" s="40"/>
      <c r="BN431" s="5"/>
      <c r="BP431" s="40"/>
      <c r="BQ431" s="5"/>
      <c r="BS431" s="40"/>
      <c r="BT431" s="5"/>
      <c r="BV431" s="40"/>
      <c r="BW431" s="5"/>
      <c r="BY431" s="40"/>
      <c r="BZ431" s="5"/>
      <c r="CB431" s="40"/>
      <c r="CC431" s="5"/>
      <c r="CE431" s="40"/>
      <c r="CF431" s="5"/>
      <c r="CH431" s="40"/>
      <c r="CI431" s="5"/>
      <c r="CK431" s="40"/>
      <c r="CL431" s="5"/>
      <c r="CN431" s="40"/>
      <c r="CO431" s="5"/>
      <c r="CQ431" s="40"/>
      <c r="CR431" s="5"/>
    </row>
    <row r="432">
      <c r="AL432" s="40"/>
      <c r="AM432" s="5"/>
      <c r="AO432" s="40"/>
      <c r="AP432" s="5"/>
      <c r="AR432" s="40"/>
      <c r="AS432" s="5"/>
      <c r="AU432" s="40"/>
      <c r="AV432" s="5"/>
      <c r="AX432" s="40"/>
      <c r="AY432" s="5"/>
      <c r="BA432" s="40"/>
      <c r="BB432" s="5"/>
      <c r="BD432" s="40"/>
      <c r="BE432" s="5"/>
      <c r="BG432" s="40"/>
      <c r="BH432" s="5"/>
      <c r="BJ432" s="40"/>
      <c r="BK432" s="5"/>
      <c r="BM432" s="40"/>
      <c r="BN432" s="5"/>
      <c r="BP432" s="40"/>
      <c r="BQ432" s="5"/>
      <c r="BS432" s="40"/>
      <c r="BT432" s="5"/>
      <c r="BV432" s="40"/>
      <c r="BW432" s="5"/>
      <c r="BY432" s="40"/>
      <c r="BZ432" s="5"/>
      <c r="CB432" s="40"/>
      <c r="CC432" s="5"/>
      <c r="CE432" s="40"/>
      <c r="CF432" s="5"/>
      <c r="CH432" s="40"/>
      <c r="CI432" s="5"/>
      <c r="CK432" s="40"/>
      <c r="CL432" s="5"/>
      <c r="CN432" s="40"/>
      <c r="CO432" s="5"/>
      <c r="CQ432" s="40"/>
      <c r="CR432" s="5"/>
    </row>
    <row r="433">
      <c r="AL433" s="40"/>
      <c r="AM433" s="5"/>
      <c r="AO433" s="40"/>
      <c r="AP433" s="5"/>
      <c r="AR433" s="40"/>
      <c r="AS433" s="5"/>
      <c r="AU433" s="40"/>
      <c r="AV433" s="5"/>
      <c r="AX433" s="40"/>
      <c r="AY433" s="5"/>
      <c r="BA433" s="40"/>
      <c r="BB433" s="5"/>
      <c r="BD433" s="40"/>
      <c r="BE433" s="5"/>
      <c r="BG433" s="40"/>
      <c r="BH433" s="5"/>
      <c r="BJ433" s="40"/>
      <c r="BK433" s="5"/>
      <c r="BM433" s="40"/>
      <c r="BN433" s="5"/>
      <c r="BP433" s="40"/>
      <c r="BQ433" s="5"/>
      <c r="BS433" s="40"/>
      <c r="BT433" s="5"/>
      <c r="BV433" s="40"/>
      <c r="BW433" s="5"/>
      <c r="BY433" s="40"/>
      <c r="BZ433" s="5"/>
      <c r="CB433" s="40"/>
      <c r="CC433" s="5"/>
      <c r="CE433" s="40"/>
      <c r="CF433" s="5"/>
      <c r="CH433" s="40"/>
      <c r="CI433" s="5"/>
      <c r="CK433" s="40"/>
      <c r="CL433" s="5"/>
      <c r="CN433" s="40"/>
      <c r="CO433" s="5"/>
      <c r="CQ433" s="40"/>
      <c r="CR433" s="5"/>
    </row>
    <row r="434">
      <c r="AL434" s="40"/>
      <c r="AM434" s="5"/>
      <c r="AO434" s="40"/>
      <c r="AP434" s="5"/>
      <c r="AR434" s="40"/>
      <c r="AS434" s="5"/>
      <c r="AU434" s="40"/>
      <c r="AV434" s="5"/>
      <c r="AX434" s="40"/>
      <c r="AY434" s="5"/>
      <c r="BA434" s="40"/>
      <c r="BB434" s="5"/>
      <c r="BD434" s="40"/>
      <c r="BE434" s="5"/>
      <c r="BG434" s="40"/>
      <c r="BH434" s="5"/>
      <c r="BJ434" s="40"/>
      <c r="BK434" s="5"/>
      <c r="BM434" s="40"/>
      <c r="BN434" s="5"/>
      <c r="BP434" s="40"/>
      <c r="BQ434" s="5"/>
      <c r="BS434" s="40"/>
      <c r="BT434" s="5"/>
      <c r="BV434" s="40"/>
      <c r="BW434" s="5"/>
      <c r="BY434" s="40"/>
      <c r="BZ434" s="5"/>
      <c r="CB434" s="40"/>
      <c r="CC434" s="5"/>
      <c r="CE434" s="40"/>
      <c r="CF434" s="5"/>
      <c r="CH434" s="40"/>
      <c r="CI434" s="5"/>
      <c r="CK434" s="40"/>
      <c r="CL434" s="5"/>
      <c r="CN434" s="40"/>
      <c r="CO434" s="5"/>
      <c r="CQ434" s="40"/>
      <c r="CR434" s="5"/>
    </row>
    <row r="435">
      <c r="AL435" s="40"/>
      <c r="AM435" s="5"/>
      <c r="AO435" s="40"/>
      <c r="AP435" s="5"/>
      <c r="AR435" s="40"/>
      <c r="AS435" s="5"/>
      <c r="AU435" s="40"/>
      <c r="AV435" s="5"/>
      <c r="AX435" s="40"/>
      <c r="AY435" s="5"/>
      <c r="BA435" s="40"/>
      <c r="BB435" s="5"/>
      <c r="BD435" s="40"/>
      <c r="BE435" s="5"/>
      <c r="BG435" s="40"/>
      <c r="BH435" s="5"/>
      <c r="BJ435" s="40"/>
      <c r="BK435" s="5"/>
      <c r="BM435" s="40"/>
      <c r="BN435" s="5"/>
      <c r="BP435" s="40"/>
      <c r="BQ435" s="5"/>
      <c r="BS435" s="40"/>
      <c r="BT435" s="5"/>
      <c r="BV435" s="40"/>
      <c r="BW435" s="5"/>
      <c r="BY435" s="40"/>
      <c r="BZ435" s="5"/>
      <c r="CB435" s="40"/>
      <c r="CC435" s="5"/>
      <c r="CE435" s="40"/>
      <c r="CF435" s="5"/>
      <c r="CH435" s="40"/>
      <c r="CI435" s="5"/>
      <c r="CK435" s="40"/>
      <c r="CL435" s="5"/>
      <c r="CN435" s="40"/>
      <c r="CO435" s="5"/>
      <c r="CQ435" s="40"/>
      <c r="CR435" s="5"/>
    </row>
    <row r="436">
      <c r="AL436" s="40"/>
      <c r="AM436" s="5"/>
      <c r="AO436" s="40"/>
      <c r="AP436" s="5"/>
      <c r="AR436" s="40"/>
      <c r="AS436" s="5"/>
      <c r="AU436" s="40"/>
      <c r="AV436" s="5"/>
      <c r="AX436" s="40"/>
      <c r="AY436" s="5"/>
      <c r="BA436" s="40"/>
      <c r="BB436" s="5"/>
      <c r="BD436" s="40"/>
      <c r="BE436" s="5"/>
      <c r="BG436" s="40"/>
      <c r="BH436" s="5"/>
      <c r="BJ436" s="40"/>
      <c r="BK436" s="5"/>
      <c r="BM436" s="40"/>
      <c r="BN436" s="5"/>
      <c r="BP436" s="40"/>
      <c r="BQ436" s="5"/>
      <c r="BS436" s="40"/>
      <c r="BT436" s="5"/>
      <c r="BV436" s="40"/>
      <c r="BW436" s="5"/>
      <c r="BY436" s="40"/>
      <c r="BZ436" s="5"/>
      <c r="CB436" s="40"/>
      <c r="CC436" s="5"/>
      <c r="CE436" s="40"/>
      <c r="CF436" s="5"/>
      <c r="CH436" s="40"/>
      <c r="CI436" s="5"/>
      <c r="CK436" s="40"/>
      <c r="CL436" s="5"/>
      <c r="CN436" s="40"/>
      <c r="CO436" s="5"/>
      <c r="CQ436" s="40"/>
      <c r="CR436" s="5"/>
    </row>
    <row r="437">
      <c r="AL437" s="40"/>
      <c r="AM437" s="5"/>
      <c r="AO437" s="40"/>
      <c r="AP437" s="5"/>
      <c r="AR437" s="40"/>
      <c r="AS437" s="5"/>
      <c r="AU437" s="40"/>
      <c r="AV437" s="5"/>
      <c r="AX437" s="40"/>
      <c r="AY437" s="5"/>
      <c r="BA437" s="40"/>
      <c r="BB437" s="5"/>
      <c r="BD437" s="40"/>
      <c r="BE437" s="5"/>
      <c r="BG437" s="40"/>
      <c r="BH437" s="5"/>
      <c r="BJ437" s="40"/>
      <c r="BK437" s="5"/>
      <c r="BM437" s="40"/>
      <c r="BN437" s="5"/>
      <c r="BP437" s="40"/>
      <c r="BQ437" s="5"/>
      <c r="BS437" s="40"/>
      <c r="BT437" s="5"/>
      <c r="BV437" s="40"/>
      <c r="BW437" s="5"/>
      <c r="BY437" s="40"/>
      <c r="BZ437" s="5"/>
      <c r="CB437" s="40"/>
      <c r="CC437" s="5"/>
      <c r="CE437" s="40"/>
      <c r="CF437" s="5"/>
      <c r="CH437" s="40"/>
      <c r="CI437" s="5"/>
      <c r="CK437" s="40"/>
      <c r="CL437" s="5"/>
      <c r="CN437" s="40"/>
      <c r="CO437" s="5"/>
      <c r="CQ437" s="40"/>
      <c r="CR437" s="5"/>
    </row>
    <row r="438">
      <c r="AL438" s="40"/>
      <c r="AM438" s="5"/>
      <c r="AO438" s="40"/>
      <c r="AP438" s="5"/>
      <c r="AR438" s="40"/>
      <c r="AS438" s="5"/>
      <c r="AU438" s="40"/>
      <c r="AV438" s="5"/>
      <c r="AX438" s="40"/>
      <c r="AY438" s="5"/>
      <c r="BA438" s="40"/>
      <c r="BB438" s="5"/>
      <c r="BD438" s="40"/>
      <c r="BE438" s="5"/>
      <c r="BG438" s="40"/>
      <c r="BH438" s="5"/>
      <c r="BJ438" s="40"/>
      <c r="BK438" s="5"/>
      <c r="BM438" s="40"/>
      <c r="BN438" s="5"/>
      <c r="BP438" s="40"/>
      <c r="BQ438" s="5"/>
      <c r="BS438" s="40"/>
      <c r="BT438" s="5"/>
      <c r="BV438" s="40"/>
      <c r="BW438" s="5"/>
      <c r="BY438" s="40"/>
      <c r="BZ438" s="5"/>
      <c r="CB438" s="40"/>
      <c r="CC438" s="5"/>
      <c r="CE438" s="40"/>
      <c r="CF438" s="5"/>
      <c r="CH438" s="40"/>
      <c r="CI438" s="5"/>
      <c r="CK438" s="40"/>
      <c r="CL438" s="5"/>
      <c r="CN438" s="40"/>
      <c r="CO438" s="5"/>
      <c r="CQ438" s="40"/>
      <c r="CR438" s="5"/>
    </row>
    <row r="439">
      <c r="AL439" s="40"/>
      <c r="AM439" s="5"/>
      <c r="AO439" s="40"/>
      <c r="AP439" s="5"/>
      <c r="AR439" s="40"/>
      <c r="AS439" s="5"/>
      <c r="AU439" s="40"/>
      <c r="AV439" s="5"/>
      <c r="AX439" s="40"/>
      <c r="AY439" s="5"/>
      <c r="BA439" s="40"/>
      <c r="BB439" s="5"/>
      <c r="BD439" s="40"/>
      <c r="BE439" s="5"/>
      <c r="BG439" s="40"/>
      <c r="BH439" s="5"/>
      <c r="BJ439" s="40"/>
      <c r="BK439" s="5"/>
      <c r="BM439" s="40"/>
      <c r="BN439" s="5"/>
      <c r="BP439" s="40"/>
      <c r="BQ439" s="5"/>
      <c r="BS439" s="40"/>
      <c r="BT439" s="5"/>
      <c r="BV439" s="40"/>
      <c r="BW439" s="5"/>
      <c r="BY439" s="40"/>
      <c r="BZ439" s="5"/>
      <c r="CB439" s="40"/>
      <c r="CC439" s="5"/>
      <c r="CE439" s="40"/>
      <c r="CF439" s="5"/>
      <c r="CH439" s="40"/>
      <c r="CI439" s="5"/>
      <c r="CK439" s="40"/>
      <c r="CL439" s="5"/>
      <c r="CN439" s="40"/>
      <c r="CO439" s="5"/>
      <c r="CQ439" s="40"/>
      <c r="CR439" s="5"/>
    </row>
    <row r="440">
      <c r="AL440" s="40"/>
      <c r="AM440" s="5"/>
      <c r="AO440" s="40"/>
      <c r="AP440" s="5"/>
      <c r="AR440" s="40"/>
      <c r="AS440" s="5"/>
      <c r="AU440" s="40"/>
      <c r="AV440" s="5"/>
      <c r="AX440" s="40"/>
      <c r="AY440" s="5"/>
      <c r="BA440" s="40"/>
      <c r="BB440" s="5"/>
      <c r="BD440" s="40"/>
      <c r="BE440" s="5"/>
      <c r="BG440" s="40"/>
      <c r="BH440" s="5"/>
      <c r="BJ440" s="40"/>
      <c r="BK440" s="5"/>
      <c r="BM440" s="40"/>
      <c r="BN440" s="5"/>
      <c r="BP440" s="40"/>
      <c r="BQ440" s="5"/>
      <c r="BS440" s="40"/>
      <c r="BT440" s="5"/>
      <c r="BV440" s="40"/>
      <c r="BW440" s="5"/>
      <c r="BY440" s="40"/>
      <c r="BZ440" s="5"/>
      <c r="CB440" s="40"/>
      <c r="CC440" s="5"/>
      <c r="CE440" s="40"/>
      <c r="CF440" s="5"/>
      <c r="CH440" s="40"/>
      <c r="CI440" s="5"/>
      <c r="CK440" s="40"/>
      <c r="CL440" s="5"/>
      <c r="CN440" s="40"/>
      <c r="CO440" s="5"/>
      <c r="CQ440" s="40"/>
      <c r="CR440" s="5"/>
    </row>
    <row r="441">
      <c r="AL441" s="40"/>
      <c r="AM441" s="5"/>
      <c r="AO441" s="40"/>
      <c r="AP441" s="5"/>
      <c r="AR441" s="40"/>
      <c r="AS441" s="5"/>
      <c r="AU441" s="40"/>
      <c r="AV441" s="5"/>
      <c r="AX441" s="40"/>
      <c r="AY441" s="5"/>
      <c r="BA441" s="40"/>
      <c r="BB441" s="5"/>
      <c r="BD441" s="40"/>
      <c r="BE441" s="5"/>
      <c r="BG441" s="40"/>
      <c r="BH441" s="5"/>
      <c r="BJ441" s="40"/>
      <c r="BK441" s="5"/>
      <c r="BM441" s="40"/>
      <c r="BN441" s="5"/>
      <c r="BP441" s="40"/>
      <c r="BQ441" s="5"/>
      <c r="BS441" s="40"/>
      <c r="BT441" s="5"/>
      <c r="BV441" s="40"/>
      <c r="BW441" s="5"/>
      <c r="BY441" s="40"/>
      <c r="BZ441" s="5"/>
      <c r="CB441" s="40"/>
      <c r="CC441" s="5"/>
      <c r="CE441" s="40"/>
      <c r="CF441" s="5"/>
      <c r="CH441" s="40"/>
      <c r="CI441" s="5"/>
      <c r="CK441" s="40"/>
      <c r="CL441" s="5"/>
      <c r="CN441" s="40"/>
      <c r="CO441" s="5"/>
      <c r="CQ441" s="40"/>
      <c r="CR441" s="5"/>
    </row>
    <row r="442">
      <c r="AL442" s="40"/>
      <c r="AM442" s="5"/>
      <c r="AO442" s="40"/>
      <c r="AP442" s="5"/>
      <c r="AR442" s="40"/>
      <c r="AS442" s="5"/>
      <c r="AU442" s="40"/>
      <c r="AV442" s="5"/>
      <c r="AX442" s="40"/>
      <c r="AY442" s="5"/>
      <c r="BA442" s="40"/>
      <c r="BB442" s="5"/>
      <c r="BD442" s="40"/>
      <c r="BE442" s="5"/>
      <c r="BG442" s="40"/>
      <c r="BH442" s="5"/>
      <c r="BJ442" s="40"/>
      <c r="BK442" s="5"/>
      <c r="BM442" s="40"/>
      <c r="BN442" s="5"/>
      <c r="BP442" s="40"/>
      <c r="BQ442" s="5"/>
      <c r="BS442" s="40"/>
      <c r="BT442" s="5"/>
      <c r="BV442" s="40"/>
      <c r="BW442" s="5"/>
      <c r="BY442" s="40"/>
      <c r="BZ442" s="5"/>
      <c r="CB442" s="40"/>
      <c r="CC442" s="5"/>
      <c r="CE442" s="40"/>
      <c r="CF442" s="5"/>
      <c r="CH442" s="40"/>
      <c r="CI442" s="5"/>
      <c r="CK442" s="40"/>
      <c r="CL442" s="5"/>
      <c r="CN442" s="40"/>
      <c r="CO442" s="5"/>
      <c r="CQ442" s="40"/>
      <c r="CR442" s="5"/>
    </row>
    <row r="443">
      <c r="AL443" s="40"/>
      <c r="AM443" s="5"/>
      <c r="AO443" s="40"/>
      <c r="AP443" s="5"/>
      <c r="AR443" s="40"/>
      <c r="AS443" s="5"/>
      <c r="AU443" s="40"/>
      <c r="AV443" s="5"/>
      <c r="AX443" s="40"/>
      <c r="AY443" s="5"/>
      <c r="BA443" s="40"/>
      <c r="BB443" s="5"/>
      <c r="BD443" s="40"/>
      <c r="BE443" s="5"/>
      <c r="BG443" s="40"/>
      <c r="BH443" s="5"/>
      <c r="BJ443" s="40"/>
      <c r="BK443" s="5"/>
      <c r="BM443" s="40"/>
      <c r="BN443" s="5"/>
      <c r="BP443" s="40"/>
      <c r="BQ443" s="5"/>
      <c r="BS443" s="40"/>
      <c r="BT443" s="5"/>
      <c r="BV443" s="40"/>
      <c r="BW443" s="5"/>
      <c r="BY443" s="40"/>
      <c r="BZ443" s="5"/>
      <c r="CB443" s="40"/>
      <c r="CC443" s="5"/>
      <c r="CE443" s="40"/>
      <c r="CF443" s="5"/>
      <c r="CH443" s="40"/>
      <c r="CI443" s="5"/>
      <c r="CK443" s="40"/>
      <c r="CL443" s="5"/>
      <c r="CN443" s="40"/>
      <c r="CO443" s="5"/>
      <c r="CQ443" s="40"/>
      <c r="CR443" s="5"/>
    </row>
    <row r="444">
      <c r="AL444" s="40"/>
      <c r="AM444" s="5"/>
      <c r="AO444" s="40"/>
      <c r="AP444" s="5"/>
      <c r="AR444" s="40"/>
      <c r="AS444" s="5"/>
      <c r="AU444" s="40"/>
      <c r="AV444" s="5"/>
      <c r="AX444" s="40"/>
      <c r="AY444" s="5"/>
      <c r="BA444" s="40"/>
      <c r="BB444" s="5"/>
      <c r="BD444" s="40"/>
      <c r="BE444" s="5"/>
      <c r="BG444" s="40"/>
      <c r="BH444" s="5"/>
      <c r="BJ444" s="40"/>
      <c r="BK444" s="5"/>
      <c r="BM444" s="40"/>
      <c r="BN444" s="5"/>
      <c r="BP444" s="40"/>
      <c r="BQ444" s="5"/>
      <c r="BS444" s="40"/>
      <c r="BT444" s="5"/>
      <c r="BV444" s="40"/>
      <c r="BW444" s="5"/>
      <c r="BY444" s="40"/>
      <c r="BZ444" s="5"/>
      <c r="CB444" s="40"/>
      <c r="CC444" s="5"/>
      <c r="CE444" s="40"/>
      <c r="CF444" s="5"/>
      <c r="CH444" s="40"/>
      <c r="CI444" s="5"/>
      <c r="CK444" s="40"/>
      <c r="CL444" s="5"/>
      <c r="CN444" s="40"/>
      <c r="CO444" s="5"/>
      <c r="CQ444" s="40"/>
      <c r="CR444" s="5"/>
    </row>
    <row r="445">
      <c r="AL445" s="40"/>
      <c r="AM445" s="5"/>
      <c r="AO445" s="40"/>
      <c r="AP445" s="5"/>
      <c r="AR445" s="40"/>
      <c r="AS445" s="5"/>
      <c r="AU445" s="40"/>
      <c r="AV445" s="5"/>
      <c r="AX445" s="40"/>
      <c r="AY445" s="5"/>
      <c r="BA445" s="40"/>
      <c r="BB445" s="5"/>
      <c r="BD445" s="40"/>
      <c r="BE445" s="5"/>
      <c r="BG445" s="40"/>
      <c r="BH445" s="5"/>
      <c r="BJ445" s="40"/>
      <c r="BK445" s="5"/>
      <c r="BM445" s="40"/>
      <c r="BN445" s="5"/>
      <c r="BP445" s="40"/>
      <c r="BQ445" s="5"/>
      <c r="BS445" s="40"/>
      <c r="BT445" s="5"/>
      <c r="BV445" s="40"/>
      <c r="BW445" s="5"/>
      <c r="BY445" s="40"/>
      <c r="BZ445" s="5"/>
      <c r="CB445" s="40"/>
      <c r="CC445" s="5"/>
      <c r="CE445" s="40"/>
      <c r="CF445" s="5"/>
      <c r="CH445" s="40"/>
      <c r="CI445" s="5"/>
      <c r="CK445" s="40"/>
      <c r="CL445" s="5"/>
      <c r="CN445" s="40"/>
      <c r="CO445" s="5"/>
      <c r="CQ445" s="40"/>
      <c r="CR445" s="5"/>
    </row>
    <row r="446">
      <c r="AL446" s="40"/>
      <c r="AM446" s="5"/>
      <c r="AO446" s="40"/>
      <c r="AP446" s="5"/>
      <c r="AR446" s="40"/>
      <c r="AS446" s="5"/>
      <c r="AU446" s="40"/>
      <c r="AV446" s="5"/>
      <c r="AX446" s="40"/>
      <c r="AY446" s="5"/>
      <c r="BA446" s="40"/>
      <c r="BB446" s="5"/>
      <c r="BD446" s="40"/>
      <c r="BE446" s="5"/>
      <c r="BG446" s="40"/>
      <c r="BH446" s="5"/>
      <c r="BJ446" s="40"/>
      <c r="BK446" s="5"/>
      <c r="BM446" s="40"/>
      <c r="BN446" s="5"/>
      <c r="BP446" s="40"/>
      <c r="BQ446" s="5"/>
      <c r="BS446" s="40"/>
      <c r="BT446" s="5"/>
      <c r="BV446" s="40"/>
      <c r="BW446" s="5"/>
      <c r="BY446" s="40"/>
      <c r="BZ446" s="5"/>
      <c r="CB446" s="40"/>
      <c r="CC446" s="5"/>
      <c r="CE446" s="40"/>
      <c r="CF446" s="5"/>
      <c r="CH446" s="40"/>
      <c r="CI446" s="5"/>
      <c r="CK446" s="40"/>
      <c r="CL446" s="5"/>
      <c r="CN446" s="40"/>
      <c r="CO446" s="5"/>
      <c r="CQ446" s="40"/>
      <c r="CR446" s="5"/>
    </row>
    <row r="447">
      <c r="AL447" s="40"/>
      <c r="AM447" s="5"/>
      <c r="AO447" s="40"/>
      <c r="AP447" s="5"/>
      <c r="AR447" s="40"/>
      <c r="AS447" s="5"/>
      <c r="AU447" s="40"/>
      <c r="AV447" s="5"/>
      <c r="AX447" s="40"/>
      <c r="AY447" s="5"/>
      <c r="BA447" s="40"/>
      <c r="BB447" s="5"/>
      <c r="BD447" s="40"/>
      <c r="BE447" s="5"/>
      <c r="BG447" s="40"/>
      <c r="BH447" s="5"/>
      <c r="BJ447" s="40"/>
      <c r="BK447" s="5"/>
      <c r="BM447" s="40"/>
      <c r="BN447" s="5"/>
      <c r="BP447" s="40"/>
      <c r="BQ447" s="5"/>
      <c r="BS447" s="40"/>
      <c r="BT447" s="5"/>
      <c r="BV447" s="40"/>
      <c r="BW447" s="5"/>
      <c r="BY447" s="40"/>
      <c r="BZ447" s="5"/>
      <c r="CB447" s="40"/>
      <c r="CC447" s="5"/>
      <c r="CE447" s="40"/>
      <c r="CF447" s="5"/>
      <c r="CH447" s="40"/>
      <c r="CI447" s="5"/>
      <c r="CK447" s="40"/>
      <c r="CL447" s="5"/>
      <c r="CN447" s="40"/>
      <c r="CO447" s="5"/>
      <c r="CQ447" s="40"/>
      <c r="CR447" s="5"/>
    </row>
    <row r="448">
      <c r="AL448" s="40"/>
      <c r="AM448" s="5"/>
      <c r="AO448" s="40"/>
      <c r="AP448" s="5"/>
      <c r="AR448" s="40"/>
      <c r="AS448" s="5"/>
      <c r="AU448" s="40"/>
      <c r="AV448" s="5"/>
      <c r="AX448" s="40"/>
      <c r="AY448" s="5"/>
      <c r="BA448" s="40"/>
      <c r="BB448" s="5"/>
      <c r="BD448" s="40"/>
      <c r="BE448" s="5"/>
      <c r="BG448" s="40"/>
      <c r="BH448" s="5"/>
      <c r="BJ448" s="40"/>
      <c r="BK448" s="5"/>
      <c r="BM448" s="40"/>
      <c r="BN448" s="5"/>
      <c r="BP448" s="40"/>
      <c r="BQ448" s="5"/>
      <c r="BS448" s="40"/>
      <c r="BT448" s="5"/>
      <c r="BV448" s="40"/>
      <c r="BW448" s="5"/>
      <c r="BY448" s="40"/>
      <c r="BZ448" s="5"/>
      <c r="CB448" s="40"/>
      <c r="CC448" s="5"/>
      <c r="CE448" s="40"/>
      <c r="CF448" s="5"/>
      <c r="CH448" s="40"/>
      <c r="CI448" s="5"/>
      <c r="CK448" s="40"/>
      <c r="CL448" s="5"/>
      <c r="CN448" s="40"/>
      <c r="CO448" s="5"/>
      <c r="CQ448" s="40"/>
      <c r="CR448" s="5"/>
    </row>
    <row r="449">
      <c r="AL449" s="40"/>
      <c r="AM449" s="5"/>
      <c r="AO449" s="40"/>
      <c r="AP449" s="5"/>
      <c r="AR449" s="40"/>
      <c r="AS449" s="5"/>
      <c r="AU449" s="40"/>
      <c r="AV449" s="5"/>
      <c r="AX449" s="40"/>
      <c r="AY449" s="5"/>
      <c r="BA449" s="40"/>
      <c r="BB449" s="5"/>
      <c r="BD449" s="40"/>
      <c r="BE449" s="5"/>
      <c r="BG449" s="40"/>
      <c r="BH449" s="5"/>
      <c r="BJ449" s="40"/>
      <c r="BK449" s="5"/>
      <c r="BM449" s="40"/>
      <c r="BN449" s="5"/>
      <c r="BP449" s="40"/>
      <c r="BQ449" s="5"/>
      <c r="BS449" s="40"/>
      <c r="BT449" s="5"/>
      <c r="BV449" s="40"/>
      <c r="BW449" s="5"/>
      <c r="BY449" s="40"/>
      <c r="BZ449" s="5"/>
      <c r="CB449" s="40"/>
      <c r="CC449" s="5"/>
      <c r="CE449" s="40"/>
      <c r="CF449" s="5"/>
      <c r="CH449" s="40"/>
      <c r="CI449" s="5"/>
      <c r="CK449" s="40"/>
      <c r="CL449" s="5"/>
      <c r="CN449" s="40"/>
      <c r="CO449" s="5"/>
      <c r="CQ449" s="40"/>
      <c r="CR449" s="5"/>
    </row>
    <row r="450">
      <c r="AL450" s="40"/>
      <c r="AM450" s="5"/>
      <c r="AO450" s="40"/>
      <c r="AP450" s="5"/>
      <c r="AR450" s="40"/>
      <c r="AS450" s="5"/>
      <c r="AU450" s="40"/>
      <c r="AV450" s="5"/>
      <c r="AX450" s="40"/>
      <c r="AY450" s="5"/>
      <c r="BA450" s="40"/>
      <c r="BB450" s="5"/>
      <c r="BD450" s="40"/>
      <c r="BE450" s="5"/>
      <c r="BG450" s="40"/>
      <c r="BH450" s="5"/>
      <c r="BJ450" s="40"/>
      <c r="BK450" s="5"/>
      <c r="BM450" s="40"/>
      <c r="BN450" s="5"/>
      <c r="BP450" s="40"/>
      <c r="BQ450" s="5"/>
      <c r="BS450" s="40"/>
      <c r="BT450" s="5"/>
      <c r="BV450" s="40"/>
      <c r="BW450" s="5"/>
      <c r="BY450" s="40"/>
      <c r="BZ450" s="5"/>
      <c r="CB450" s="40"/>
      <c r="CC450" s="5"/>
      <c r="CE450" s="40"/>
      <c r="CF450" s="5"/>
      <c r="CH450" s="40"/>
      <c r="CI450" s="5"/>
      <c r="CK450" s="40"/>
      <c r="CL450" s="5"/>
      <c r="CN450" s="40"/>
      <c r="CO450" s="5"/>
      <c r="CQ450" s="40"/>
      <c r="CR450" s="5"/>
    </row>
    <row r="451">
      <c r="AL451" s="40"/>
      <c r="AM451" s="5"/>
      <c r="AO451" s="40"/>
      <c r="AP451" s="5"/>
      <c r="AR451" s="40"/>
      <c r="AS451" s="5"/>
      <c r="AU451" s="40"/>
      <c r="AV451" s="5"/>
      <c r="AX451" s="40"/>
      <c r="AY451" s="5"/>
      <c r="BA451" s="40"/>
      <c r="BB451" s="5"/>
      <c r="BD451" s="40"/>
      <c r="BE451" s="5"/>
      <c r="BG451" s="40"/>
      <c r="BH451" s="5"/>
      <c r="BJ451" s="40"/>
      <c r="BK451" s="5"/>
      <c r="BM451" s="40"/>
      <c r="BN451" s="5"/>
      <c r="BP451" s="40"/>
      <c r="BQ451" s="5"/>
      <c r="BS451" s="40"/>
      <c r="BT451" s="5"/>
      <c r="BV451" s="40"/>
      <c r="BW451" s="5"/>
      <c r="BY451" s="40"/>
      <c r="BZ451" s="5"/>
      <c r="CB451" s="40"/>
      <c r="CC451" s="5"/>
      <c r="CE451" s="40"/>
      <c r="CF451" s="5"/>
      <c r="CH451" s="40"/>
      <c r="CI451" s="5"/>
      <c r="CK451" s="40"/>
      <c r="CL451" s="5"/>
      <c r="CN451" s="40"/>
      <c r="CO451" s="5"/>
      <c r="CQ451" s="40"/>
      <c r="CR451" s="5"/>
    </row>
    <row r="452">
      <c r="AL452" s="40"/>
      <c r="AM452" s="5"/>
      <c r="AO452" s="40"/>
      <c r="AP452" s="5"/>
      <c r="AR452" s="40"/>
      <c r="AS452" s="5"/>
      <c r="AU452" s="40"/>
      <c r="AV452" s="5"/>
      <c r="AX452" s="40"/>
      <c r="AY452" s="5"/>
      <c r="BA452" s="40"/>
      <c r="BB452" s="5"/>
      <c r="BD452" s="40"/>
      <c r="BE452" s="5"/>
      <c r="BG452" s="40"/>
      <c r="BH452" s="5"/>
      <c r="BJ452" s="40"/>
      <c r="BK452" s="5"/>
      <c r="BM452" s="40"/>
      <c r="BN452" s="5"/>
      <c r="BP452" s="40"/>
      <c r="BQ452" s="5"/>
      <c r="BS452" s="40"/>
      <c r="BT452" s="5"/>
      <c r="BV452" s="40"/>
      <c r="BW452" s="5"/>
      <c r="BY452" s="40"/>
      <c r="BZ452" s="5"/>
      <c r="CB452" s="40"/>
      <c r="CC452" s="5"/>
      <c r="CE452" s="40"/>
      <c r="CF452" s="5"/>
      <c r="CH452" s="40"/>
      <c r="CI452" s="5"/>
      <c r="CK452" s="40"/>
      <c r="CL452" s="5"/>
      <c r="CN452" s="40"/>
      <c r="CO452" s="5"/>
      <c r="CQ452" s="40"/>
      <c r="CR452" s="5"/>
    </row>
    <row r="453">
      <c r="AL453" s="40"/>
      <c r="AM453" s="5"/>
      <c r="AO453" s="40"/>
      <c r="AP453" s="5"/>
      <c r="AR453" s="40"/>
      <c r="AS453" s="5"/>
      <c r="AU453" s="40"/>
      <c r="AV453" s="5"/>
      <c r="AX453" s="40"/>
      <c r="AY453" s="5"/>
      <c r="BA453" s="40"/>
      <c r="BB453" s="5"/>
      <c r="BD453" s="40"/>
      <c r="BE453" s="5"/>
      <c r="BG453" s="40"/>
      <c r="BH453" s="5"/>
      <c r="BJ453" s="40"/>
      <c r="BK453" s="5"/>
      <c r="BM453" s="40"/>
      <c r="BN453" s="5"/>
      <c r="BP453" s="40"/>
      <c r="BQ453" s="5"/>
      <c r="BS453" s="40"/>
      <c r="BT453" s="5"/>
      <c r="BV453" s="40"/>
      <c r="BW453" s="5"/>
      <c r="BY453" s="40"/>
      <c r="BZ453" s="5"/>
      <c r="CB453" s="40"/>
      <c r="CC453" s="5"/>
      <c r="CE453" s="40"/>
      <c r="CF453" s="5"/>
      <c r="CH453" s="40"/>
      <c r="CI453" s="5"/>
      <c r="CK453" s="40"/>
      <c r="CL453" s="5"/>
      <c r="CN453" s="40"/>
      <c r="CO453" s="5"/>
      <c r="CQ453" s="40"/>
      <c r="CR453" s="5"/>
    </row>
    <row r="454">
      <c r="AL454" s="40"/>
      <c r="AM454" s="5"/>
      <c r="AO454" s="40"/>
      <c r="AP454" s="5"/>
      <c r="AR454" s="40"/>
      <c r="AS454" s="5"/>
      <c r="AU454" s="40"/>
      <c r="AV454" s="5"/>
      <c r="AX454" s="40"/>
      <c r="AY454" s="5"/>
      <c r="BA454" s="40"/>
      <c r="BB454" s="5"/>
      <c r="BD454" s="40"/>
      <c r="BE454" s="5"/>
      <c r="BG454" s="40"/>
      <c r="BH454" s="5"/>
      <c r="BJ454" s="40"/>
      <c r="BK454" s="5"/>
      <c r="BM454" s="40"/>
      <c r="BN454" s="5"/>
      <c r="BP454" s="40"/>
      <c r="BQ454" s="5"/>
      <c r="BS454" s="40"/>
      <c r="BT454" s="5"/>
      <c r="BV454" s="40"/>
      <c r="BW454" s="5"/>
      <c r="BY454" s="40"/>
      <c r="BZ454" s="5"/>
      <c r="CB454" s="40"/>
      <c r="CC454" s="5"/>
      <c r="CE454" s="40"/>
      <c r="CF454" s="5"/>
      <c r="CH454" s="40"/>
      <c r="CI454" s="5"/>
      <c r="CK454" s="40"/>
      <c r="CL454" s="5"/>
      <c r="CN454" s="40"/>
      <c r="CO454" s="5"/>
      <c r="CQ454" s="40"/>
      <c r="CR454" s="5"/>
    </row>
    <row r="455">
      <c r="AL455" s="40"/>
      <c r="AM455" s="5"/>
      <c r="AO455" s="40"/>
      <c r="AP455" s="5"/>
      <c r="AR455" s="40"/>
      <c r="AS455" s="5"/>
      <c r="AU455" s="40"/>
      <c r="AV455" s="5"/>
      <c r="AX455" s="40"/>
      <c r="AY455" s="5"/>
      <c r="BA455" s="40"/>
      <c r="BB455" s="5"/>
      <c r="BD455" s="40"/>
      <c r="BE455" s="5"/>
      <c r="BG455" s="40"/>
      <c r="BH455" s="5"/>
      <c r="BJ455" s="40"/>
      <c r="BK455" s="5"/>
      <c r="BM455" s="40"/>
      <c r="BN455" s="5"/>
      <c r="BP455" s="40"/>
      <c r="BQ455" s="5"/>
      <c r="BS455" s="40"/>
      <c r="BT455" s="5"/>
      <c r="BV455" s="40"/>
      <c r="BW455" s="5"/>
      <c r="BY455" s="40"/>
      <c r="BZ455" s="5"/>
      <c r="CB455" s="40"/>
      <c r="CC455" s="5"/>
      <c r="CE455" s="40"/>
      <c r="CF455" s="5"/>
      <c r="CH455" s="40"/>
      <c r="CI455" s="5"/>
      <c r="CK455" s="40"/>
      <c r="CL455" s="5"/>
      <c r="CN455" s="40"/>
      <c r="CO455" s="5"/>
      <c r="CQ455" s="40"/>
      <c r="CR455" s="5"/>
    </row>
    <row r="456">
      <c r="AL456" s="40"/>
      <c r="AM456" s="5"/>
      <c r="AO456" s="40"/>
      <c r="AP456" s="5"/>
      <c r="AR456" s="40"/>
      <c r="AS456" s="5"/>
      <c r="AU456" s="40"/>
      <c r="AV456" s="5"/>
      <c r="AX456" s="40"/>
      <c r="AY456" s="5"/>
      <c r="BA456" s="40"/>
      <c r="BB456" s="5"/>
      <c r="BD456" s="40"/>
      <c r="BE456" s="5"/>
      <c r="BG456" s="40"/>
      <c r="BH456" s="5"/>
      <c r="BJ456" s="40"/>
      <c r="BK456" s="5"/>
      <c r="BM456" s="40"/>
      <c r="BN456" s="5"/>
      <c r="BP456" s="40"/>
      <c r="BQ456" s="5"/>
      <c r="BS456" s="40"/>
      <c r="BT456" s="5"/>
      <c r="BV456" s="40"/>
      <c r="BW456" s="5"/>
      <c r="BY456" s="40"/>
      <c r="BZ456" s="5"/>
      <c r="CB456" s="40"/>
      <c r="CC456" s="5"/>
      <c r="CE456" s="40"/>
      <c r="CF456" s="5"/>
      <c r="CH456" s="40"/>
      <c r="CI456" s="5"/>
      <c r="CK456" s="40"/>
      <c r="CL456" s="5"/>
      <c r="CN456" s="40"/>
      <c r="CO456" s="5"/>
      <c r="CQ456" s="40"/>
      <c r="CR456" s="5"/>
    </row>
    <row r="457">
      <c r="AL457" s="40"/>
      <c r="AM457" s="5"/>
      <c r="AO457" s="40"/>
      <c r="AP457" s="5"/>
      <c r="AR457" s="40"/>
      <c r="AS457" s="5"/>
      <c r="AU457" s="40"/>
      <c r="AV457" s="5"/>
      <c r="AX457" s="40"/>
      <c r="AY457" s="5"/>
      <c r="BA457" s="40"/>
      <c r="BB457" s="5"/>
      <c r="BD457" s="40"/>
      <c r="BE457" s="5"/>
      <c r="BG457" s="40"/>
      <c r="BH457" s="5"/>
      <c r="BJ457" s="40"/>
      <c r="BK457" s="5"/>
      <c r="BM457" s="40"/>
      <c r="BN457" s="5"/>
      <c r="BP457" s="40"/>
      <c r="BQ457" s="5"/>
      <c r="BS457" s="40"/>
      <c r="BT457" s="5"/>
      <c r="BV457" s="40"/>
      <c r="BW457" s="5"/>
      <c r="BY457" s="40"/>
      <c r="BZ457" s="5"/>
      <c r="CB457" s="40"/>
      <c r="CC457" s="5"/>
      <c r="CE457" s="40"/>
      <c r="CF457" s="5"/>
      <c r="CH457" s="40"/>
      <c r="CI457" s="5"/>
      <c r="CK457" s="40"/>
      <c r="CL457" s="5"/>
      <c r="CN457" s="40"/>
      <c r="CO457" s="5"/>
      <c r="CQ457" s="40"/>
      <c r="CR457" s="5"/>
    </row>
    <row r="458">
      <c r="AL458" s="40"/>
      <c r="AM458" s="5"/>
      <c r="AO458" s="40"/>
      <c r="AP458" s="5"/>
      <c r="AR458" s="40"/>
      <c r="AS458" s="5"/>
      <c r="AU458" s="40"/>
      <c r="AV458" s="5"/>
      <c r="AX458" s="40"/>
      <c r="AY458" s="5"/>
      <c r="BA458" s="40"/>
      <c r="BB458" s="5"/>
      <c r="BD458" s="40"/>
      <c r="BE458" s="5"/>
      <c r="BG458" s="40"/>
      <c r="BH458" s="5"/>
      <c r="BJ458" s="40"/>
      <c r="BK458" s="5"/>
      <c r="BM458" s="40"/>
      <c r="BN458" s="5"/>
      <c r="BP458" s="40"/>
      <c r="BQ458" s="5"/>
      <c r="BS458" s="40"/>
      <c r="BT458" s="5"/>
      <c r="BV458" s="40"/>
      <c r="BW458" s="5"/>
      <c r="BY458" s="40"/>
      <c r="BZ458" s="5"/>
      <c r="CB458" s="40"/>
      <c r="CC458" s="5"/>
      <c r="CE458" s="40"/>
      <c r="CF458" s="5"/>
      <c r="CH458" s="40"/>
      <c r="CI458" s="5"/>
      <c r="CK458" s="40"/>
      <c r="CL458" s="5"/>
      <c r="CN458" s="40"/>
      <c r="CO458" s="5"/>
      <c r="CQ458" s="40"/>
      <c r="CR458" s="5"/>
    </row>
    <row r="459">
      <c r="AL459" s="40"/>
      <c r="AM459" s="5"/>
      <c r="AO459" s="40"/>
      <c r="AP459" s="5"/>
      <c r="AR459" s="40"/>
      <c r="AS459" s="5"/>
      <c r="AU459" s="40"/>
      <c r="AV459" s="5"/>
      <c r="AX459" s="40"/>
      <c r="AY459" s="5"/>
      <c r="BA459" s="40"/>
      <c r="BB459" s="5"/>
      <c r="BD459" s="40"/>
      <c r="BE459" s="5"/>
      <c r="BG459" s="40"/>
      <c r="BH459" s="5"/>
      <c r="BJ459" s="40"/>
      <c r="BK459" s="5"/>
      <c r="BM459" s="40"/>
      <c r="BN459" s="5"/>
      <c r="BP459" s="40"/>
      <c r="BQ459" s="5"/>
      <c r="BS459" s="40"/>
      <c r="BT459" s="5"/>
      <c r="BV459" s="40"/>
      <c r="BW459" s="5"/>
      <c r="BY459" s="40"/>
      <c r="BZ459" s="5"/>
      <c r="CB459" s="40"/>
      <c r="CC459" s="5"/>
      <c r="CE459" s="40"/>
      <c r="CF459" s="5"/>
      <c r="CH459" s="40"/>
      <c r="CI459" s="5"/>
      <c r="CK459" s="40"/>
      <c r="CL459" s="5"/>
      <c r="CN459" s="40"/>
      <c r="CO459" s="5"/>
      <c r="CQ459" s="40"/>
      <c r="CR459" s="5"/>
    </row>
    <row r="460">
      <c r="AL460" s="40"/>
      <c r="AM460" s="5"/>
      <c r="AO460" s="40"/>
      <c r="AP460" s="5"/>
      <c r="AR460" s="40"/>
      <c r="AS460" s="5"/>
      <c r="AU460" s="40"/>
      <c r="AV460" s="5"/>
      <c r="AX460" s="40"/>
      <c r="AY460" s="5"/>
      <c r="BA460" s="40"/>
      <c r="BB460" s="5"/>
      <c r="BD460" s="40"/>
      <c r="BE460" s="5"/>
      <c r="BG460" s="40"/>
      <c r="BH460" s="5"/>
      <c r="BJ460" s="40"/>
      <c r="BK460" s="5"/>
      <c r="BM460" s="40"/>
      <c r="BN460" s="5"/>
      <c r="BP460" s="40"/>
      <c r="BQ460" s="5"/>
      <c r="BS460" s="40"/>
      <c r="BT460" s="5"/>
      <c r="BV460" s="40"/>
      <c r="BW460" s="5"/>
      <c r="BY460" s="40"/>
      <c r="BZ460" s="5"/>
      <c r="CB460" s="40"/>
      <c r="CC460" s="5"/>
      <c r="CE460" s="40"/>
      <c r="CF460" s="5"/>
      <c r="CH460" s="40"/>
      <c r="CI460" s="5"/>
      <c r="CK460" s="40"/>
      <c r="CL460" s="5"/>
      <c r="CN460" s="40"/>
      <c r="CO460" s="5"/>
      <c r="CQ460" s="40"/>
      <c r="CR460" s="5"/>
    </row>
    <row r="461">
      <c r="AL461" s="40"/>
      <c r="AM461" s="5"/>
      <c r="AO461" s="40"/>
      <c r="AP461" s="5"/>
      <c r="AR461" s="40"/>
      <c r="AS461" s="5"/>
      <c r="AU461" s="40"/>
      <c r="AV461" s="5"/>
      <c r="AX461" s="40"/>
      <c r="AY461" s="5"/>
      <c r="BA461" s="40"/>
      <c r="BB461" s="5"/>
      <c r="BD461" s="40"/>
      <c r="BE461" s="5"/>
      <c r="BG461" s="40"/>
      <c r="BH461" s="5"/>
      <c r="BJ461" s="40"/>
      <c r="BK461" s="5"/>
      <c r="BM461" s="40"/>
      <c r="BN461" s="5"/>
      <c r="BP461" s="40"/>
      <c r="BQ461" s="5"/>
      <c r="BS461" s="40"/>
      <c r="BT461" s="5"/>
      <c r="BV461" s="40"/>
      <c r="BW461" s="5"/>
      <c r="BY461" s="40"/>
      <c r="BZ461" s="5"/>
      <c r="CB461" s="40"/>
      <c r="CC461" s="5"/>
      <c r="CE461" s="40"/>
      <c r="CF461" s="5"/>
      <c r="CH461" s="40"/>
      <c r="CI461" s="5"/>
      <c r="CK461" s="40"/>
      <c r="CL461" s="5"/>
      <c r="CN461" s="40"/>
      <c r="CO461" s="5"/>
      <c r="CQ461" s="40"/>
      <c r="CR461" s="5"/>
    </row>
    <row r="462">
      <c r="AL462" s="40"/>
      <c r="AM462" s="5"/>
      <c r="AO462" s="40"/>
      <c r="AP462" s="5"/>
      <c r="AR462" s="40"/>
      <c r="AS462" s="5"/>
      <c r="AU462" s="40"/>
      <c r="AV462" s="5"/>
      <c r="AX462" s="40"/>
      <c r="AY462" s="5"/>
      <c r="BA462" s="40"/>
      <c r="BB462" s="5"/>
      <c r="BD462" s="40"/>
      <c r="BE462" s="5"/>
      <c r="BG462" s="40"/>
      <c r="BH462" s="5"/>
      <c r="BJ462" s="40"/>
      <c r="BK462" s="5"/>
      <c r="BM462" s="40"/>
      <c r="BN462" s="5"/>
      <c r="BP462" s="40"/>
      <c r="BQ462" s="5"/>
      <c r="BS462" s="40"/>
      <c r="BT462" s="5"/>
      <c r="BV462" s="40"/>
      <c r="BW462" s="5"/>
      <c r="BY462" s="40"/>
      <c r="BZ462" s="5"/>
      <c r="CB462" s="40"/>
      <c r="CC462" s="5"/>
      <c r="CE462" s="40"/>
      <c r="CF462" s="5"/>
      <c r="CH462" s="40"/>
      <c r="CI462" s="5"/>
      <c r="CK462" s="40"/>
      <c r="CL462" s="5"/>
      <c r="CN462" s="40"/>
      <c r="CO462" s="5"/>
      <c r="CQ462" s="40"/>
      <c r="CR462" s="5"/>
    </row>
    <row r="463">
      <c r="AL463" s="40"/>
      <c r="AM463" s="5"/>
      <c r="AO463" s="40"/>
      <c r="AP463" s="5"/>
      <c r="AR463" s="40"/>
      <c r="AS463" s="5"/>
      <c r="AU463" s="40"/>
      <c r="AV463" s="5"/>
      <c r="AX463" s="40"/>
      <c r="AY463" s="5"/>
      <c r="BA463" s="40"/>
      <c r="BB463" s="5"/>
      <c r="BD463" s="40"/>
      <c r="BE463" s="5"/>
      <c r="BG463" s="40"/>
      <c r="BH463" s="5"/>
      <c r="BJ463" s="40"/>
      <c r="BK463" s="5"/>
      <c r="BM463" s="40"/>
      <c r="BN463" s="5"/>
      <c r="BP463" s="40"/>
      <c r="BQ463" s="5"/>
      <c r="BS463" s="40"/>
      <c r="BT463" s="5"/>
      <c r="BV463" s="40"/>
      <c r="BW463" s="5"/>
      <c r="BY463" s="40"/>
      <c r="BZ463" s="5"/>
      <c r="CB463" s="40"/>
      <c r="CC463" s="5"/>
      <c r="CE463" s="40"/>
      <c r="CF463" s="5"/>
      <c r="CH463" s="40"/>
      <c r="CI463" s="5"/>
      <c r="CK463" s="40"/>
      <c r="CL463" s="5"/>
      <c r="CN463" s="40"/>
      <c r="CO463" s="5"/>
      <c r="CQ463" s="40"/>
      <c r="CR463" s="5"/>
    </row>
    <row r="464">
      <c r="AL464" s="40"/>
      <c r="AM464" s="5"/>
      <c r="AO464" s="40"/>
      <c r="AP464" s="5"/>
      <c r="AR464" s="40"/>
      <c r="AS464" s="5"/>
      <c r="AU464" s="40"/>
      <c r="AV464" s="5"/>
      <c r="AX464" s="40"/>
      <c r="AY464" s="5"/>
      <c r="BA464" s="40"/>
      <c r="BB464" s="5"/>
      <c r="BD464" s="40"/>
      <c r="BE464" s="5"/>
      <c r="BG464" s="40"/>
      <c r="BH464" s="5"/>
      <c r="BJ464" s="40"/>
      <c r="BK464" s="5"/>
      <c r="BM464" s="40"/>
      <c r="BN464" s="5"/>
      <c r="BP464" s="40"/>
      <c r="BQ464" s="5"/>
      <c r="BS464" s="40"/>
      <c r="BT464" s="5"/>
      <c r="BV464" s="40"/>
      <c r="BW464" s="5"/>
      <c r="BY464" s="40"/>
      <c r="BZ464" s="5"/>
      <c r="CB464" s="40"/>
      <c r="CC464" s="5"/>
      <c r="CE464" s="40"/>
      <c r="CF464" s="5"/>
      <c r="CH464" s="40"/>
      <c r="CI464" s="5"/>
      <c r="CK464" s="40"/>
      <c r="CL464" s="5"/>
      <c r="CN464" s="40"/>
      <c r="CO464" s="5"/>
      <c r="CQ464" s="40"/>
      <c r="CR464" s="5"/>
    </row>
    <row r="465">
      <c r="AL465" s="40"/>
      <c r="AM465" s="5"/>
      <c r="AO465" s="40"/>
      <c r="AP465" s="5"/>
      <c r="AR465" s="40"/>
      <c r="AS465" s="5"/>
      <c r="AU465" s="40"/>
      <c r="AV465" s="5"/>
      <c r="AX465" s="40"/>
      <c r="AY465" s="5"/>
      <c r="BA465" s="40"/>
      <c r="BB465" s="5"/>
      <c r="BD465" s="40"/>
      <c r="BE465" s="5"/>
      <c r="BG465" s="40"/>
      <c r="BH465" s="5"/>
      <c r="BJ465" s="40"/>
      <c r="BK465" s="5"/>
      <c r="BM465" s="40"/>
      <c r="BN465" s="5"/>
      <c r="BP465" s="40"/>
      <c r="BQ465" s="5"/>
      <c r="BS465" s="40"/>
      <c r="BT465" s="5"/>
      <c r="BV465" s="40"/>
      <c r="BW465" s="5"/>
      <c r="BY465" s="40"/>
      <c r="BZ465" s="5"/>
      <c r="CB465" s="40"/>
      <c r="CC465" s="5"/>
      <c r="CE465" s="40"/>
      <c r="CF465" s="5"/>
      <c r="CH465" s="40"/>
      <c r="CI465" s="5"/>
      <c r="CK465" s="40"/>
      <c r="CL465" s="5"/>
      <c r="CN465" s="40"/>
      <c r="CO465" s="5"/>
      <c r="CQ465" s="40"/>
      <c r="CR465" s="5"/>
    </row>
    <row r="466">
      <c r="AL466" s="40"/>
      <c r="AM466" s="5"/>
      <c r="AO466" s="40"/>
      <c r="AP466" s="5"/>
      <c r="AR466" s="40"/>
      <c r="AS466" s="5"/>
      <c r="AU466" s="40"/>
      <c r="AV466" s="5"/>
      <c r="AX466" s="40"/>
      <c r="AY466" s="5"/>
      <c r="BA466" s="40"/>
      <c r="BB466" s="5"/>
      <c r="BD466" s="40"/>
      <c r="BE466" s="5"/>
      <c r="BG466" s="40"/>
      <c r="BH466" s="5"/>
      <c r="BJ466" s="40"/>
      <c r="BK466" s="5"/>
      <c r="BM466" s="40"/>
      <c r="BN466" s="5"/>
      <c r="BP466" s="40"/>
      <c r="BQ466" s="5"/>
      <c r="BS466" s="40"/>
      <c r="BT466" s="5"/>
      <c r="BV466" s="40"/>
      <c r="BW466" s="5"/>
      <c r="BY466" s="40"/>
      <c r="BZ466" s="5"/>
      <c r="CB466" s="40"/>
      <c r="CC466" s="5"/>
      <c r="CE466" s="40"/>
      <c r="CF466" s="5"/>
      <c r="CH466" s="40"/>
      <c r="CI466" s="5"/>
      <c r="CK466" s="40"/>
      <c r="CL466" s="5"/>
      <c r="CN466" s="40"/>
      <c r="CO466" s="5"/>
      <c r="CQ466" s="40"/>
      <c r="CR466" s="5"/>
    </row>
    <row r="467">
      <c r="AL467" s="40"/>
      <c r="AM467" s="5"/>
      <c r="AO467" s="40"/>
      <c r="AP467" s="5"/>
      <c r="AR467" s="40"/>
      <c r="AS467" s="5"/>
      <c r="AU467" s="40"/>
      <c r="AV467" s="5"/>
      <c r="AX467" s="40"/>
      <c r="AY467" s="5"/>
      <c r="BA467" s="40"/>
      <c r="BB467" s="5"/>
      <c r="BD467" s="40"/>
      <c r="BE467" s="5"/>
      <c r="BG467" s="40"/>
      <c r="BH467" s="5"/>
      <c r="BJ467" s="40"/>
      <c r="BK467" s="5"/>
      <c r="BM467" s="40"/>
      <c r="BN467" s="5"/>
      <c r="BP467" s="40"/>
      <c r="BQ467" s="5"/>
      <c r="BS467" s="40"/>
      <c r="BT467" s="5"/>
      <c r="BV467" s="40"/>
      <c r="BW467" s="5"/>
      <c r="BY467" s="40"/>
      <c r="BZ467" s="5"/>
      <c r="CB467" s="40"/>
      <c r="CC467" s="5"/>
      <c r="CE467" s="40"/>
      <c r="CF467" s="5"/>
      <c r="CH467" s="40"/>
      <c r="CI467" s="5"/>
      <c r="CK467" s="40"/>
      <c r="CL467" s="5"/>
      <c r="CN467" s="40"/>
      <c r="CO467" s="5"/>
      <c r="CQ467" s="40"/>
      <c r="CR467" s="5"/>
    </row>
    <row r="468">
      <c r="AL468" s="40"/>
      <c r="AM468" s="5"/>
      <c r="AO468" s="40"/>
      <c r="AP468" s="5"/>
      <c r="AR468" s="40"/>
      <c r="AS468" s="5"/>
      <c r="AU468" s="40"/>
      <c r="AV468" s="5"/>
      <c r="AX468" s="40"/>
      <c r="AY468" s="5"/>
      <c r="BA468" s="40"/>
      <c r="BB468" s="5"/>
      <c r="BD468" s="40"/>
      <c r="BE468" s="5"/>
      <c r="BG468" s="40"/>
      <c r="BH468" s="5"/>
      <c r="BJ468" s="40"/>
      <c r="BK468" s="5"/>
      <c r="BM468" s="40"/>
      <c r="BN468" s="5"/>
      <c r="BP468" s="40"/>
      <c r="BQ468" s="5"/>
      <c r="BS468" s="40"/>
      <c r="BT468" s="5"/>
      <c r="BV468" s="40"/>
      <c r="BW468" s="5"/>
      <c r="BY468" s="40"/>
      <c r="BZ468" s="5"/>
      <c r="CB468" s="40"/>
      <c r="CC468" s="5"/>
      <c r="CE468" s="40"/>
      <c r="CF468" s="5"/>
      <c r="CH468" s="40"/>
      <c r="CI468" s="5"/>
      <c r="CK468" s="40"/>
      <c r="CL468" s="5"/>
      <c r="CN468" s="40"/>
      <c r="CO468" s="5"/>
      <c r="CQ468" s="40"/>
      <c r="CR468" s="5"/>
    </row>
    <row r="469">
      <c r="AL469" s="40"/>
      <c r="AM469" s="5"/>
      <c r="AO469" s="40"/>
      <c r="AP469" s="5"/>
      <c r="AR469" s="40"/>
      <c r="AS469" s="5"/>
      <c r="AU469" s="40"/>
      <c r="AV469" s="5"/>
      <c r="AX469" s="40"/>
      <c r="AY469" s="5"/>
      <c r="BA469" s="40"/>
      <c r="BB469" s="5"/>
      <c r="BD469" s="40"/>
      <c r="BE469" s="5"/>
      <c r="BG469" s="40"/>
      <c r="BH469" s="5"/>
      <c r="BJ469" s="40"/>
      <c r="BK469" s="5"/>
      <c r="BM469" s="40"/>
      <c r="BN469" s="5"/>
      <c r="BP469" s="40"/>
      <c r="BQ469" s="5"/>
      <c r="BS469" s="40"/>
      <c r="BT469" s="5"/>
      <c r="BV469" s="40"/>
      <c r="BW469" s="5"/>
      <c r="BY469" s="40"/>
      <c r="BZ469" s="5"/>
      <c r="CB469" s="40"/>
      <c r="CC469" s="5"/>
      <c r="CE469" s="40"/>
      <c r="CF469" s="5"/>
      <c r="CH469" s="40"/>
      <c r="CI469" s="5"/>
      <c r="CK469" s="40"/>
      <c r="CL469" s="5"/>
      <c r="CN469" s="40"/>
      <c r="CO469" s="5"/>
      <c r="CQ469" s="40"/>
      <c r="CR469" s="5"/>
    </row>
    <row r="470">
      <c r="AL470" s="40"/>
      <c r="AM470" s="5"/>
      <c r="AO470" s="40"/>
      <c r="AP470" s="5"/>
      <c r="AR470" s="40"/>
      <c r="AS470" s="5"/>
      <c r="AU470" s="40"/>
      <c r="AV470" s="5"/>
      <c r="AX470" s="40"/>
      <c r="AY470" s="5"/>
      <c r="BA470" s="40"/>
      <c r="BB470" s="5"/>
      <c r="BD470" s="40"/>
      <c r="BE470" s="5"/>
      <c r="BG470" s="40"/>
      <c r="BH470" s="5"/>
      <c r="BJ470" s="40"/>
      <c r="BK470" s="5"/>
      <c r="BM470" s="40"/>
      <c r="BN470" s="5"/>
      <c r="BP470" s="40"/>
      <c r="BQ470" s="5"/>
      <c r="BS470" s="40"/>
      <c r="BT470" s="5"/>
      <c r="BV470" s="40"/>
      <c r="BW470" s="5"/>
      <c r="BY470" s="40"/>
      <c r="BZ470" s="5"/>
      <c r="CB470" s="40"/>
      <c r="CC470" s="5"/>
      <c r="CE470" s="40"/>
      <c r="CF470" s="5"/>
      <c r="CH470" s="40"/>
      <c r="CI470" s="5"/>
      <c r="CK470" s="40"/>
      <c r="CL470" s="5"/>
      <c r="CN470" s="40"/>
      <c r="CO470" s="5"/>
      <c r="CQ470" s="40"/>
      <c r="CR470" s="5"/>
    </row>
    <row r="471">
      <c r="AL471" s="40"/>
      <c r="AM471" s="5"/>
      <c r="AO471" s="40"/>
      <c r="AP471" s="5"/>
      <c r="AR471" s="40"/>
      <c r="AS471" s="5"/>
      <c r="AU471" s="40"/>
      <c r="AV471" s="5"/>
      <c r="AX471" s="40"/>
      <c r="AY471" s="5"/>
      <c r="BA471" s="40"/>
      <c r="BB471" s="5"/>
      <c r="BD471" s="40"/>
      <c r="BE471" s="5"/>
      <c r="BG471" s="40"/>
      <c r="BH471" s="5"/>
      <c r="BJ471" s="40"/>
      <c r="BK471" s="5"/>
      <c r="BM471" s="40"/>
      <c r="BN471" s="5"/>
      <c r="BP471" s="40"/>
      <c r="BQ471" s="5"/>
      <c r="BS471" s="40"/>
      <c r="BT471" s="5"/>
      <c r="BV471" s="40"/>
      <c r="BW471" s="5"/>
      <c r="BY471" s="40"/>
      <c r="BZ471" s="5"/>
      <c r="CB471" s="40"/>
      <c r="CC471" s="5"/>
      <c r="CE471" s="40"/>
      <c r="CF471" s="5"/>
      <c r="CH471" s="40"/>
      <c r="CI471" s="5"/>
      <c r="CK471" s="40"/>
      <c r="CL471" s="5"/>
      <c r="CN471" s="40"/>
      <c r="CO471" s="5"/>
      <c r="CQ471" s="40"/>
      <c r="CR471" s="5"/>
    </row>
    <row r="472">
      <c r="AL472" s="40"/>
      <c r="AM472" s="5"/>
      <c r="AO472" s="40"/>
      <c r="AP472" s="5"/>
      <c r="AR472" s="40"/>
      <c r="AS472" s="5"/>
      <c r="AU472" s="40"/>
      <c r="AV472" s="5"/>
      <c r="AX472" s="40"/>
      <c r="AY472" s="5"/>
      <c r="BA472" s="40"/>
      <c r="BB472" s="5"/>
      <c r="BD472" s="40"/>
      <c r="BE472" s="5"/>
      <c r="BG472" s="40"/>
      <c r="BH472" s="5"/>
      <c r="BJ472" s="40"/>
      <c r="BK472" s="5"/>
      <c r="BM472" s="40"/>
      <c r="BN472" s="5"/>
      <c r="BP472" s="40"/>
      <c r="BQ472" s="5"/>
      <c r="BS472" s="40"/>
      <c r="BT472" s="5"/>
      <c r="BV472" s="40"/>
      <c r="BW472" s="5"/>
      <c r="BY472" s="40"/>
      <c r="BZ472" s="5"/>
      <c r="CB472" s="40"/>
      <c r="CC472" s="5"/>
      <c r="CE472" s="40"/>
      <c r="CF472" s="5"/>
      <c r="CH472" s="40"/>
      <c r="CI472" s="5"/>
      <c r="CK472" s="40"/>
      <c r="CL472" s="5"/>
      <c r="CN472" s="40"/>
      <c r="CO472" s="5"/>
      <c r="CQ472" s="40"/>
      <c r="CR472" s="5"/>
    </row>
    <row r="473">
      <c r="AL473" s="40"/>
      <c r="AM473" s="5"/>
      <c r="AO473" s="40"/>
      <c r="AP473" s="5"/>
      <c r="AR473" s="40"/>
      <c r="AS473" s="5"/>
      <c r="AU473" s="40"/>
      <c r="AV473" s="5"/>
      <c r="AX473" s="40"/>
      <c r="AY473" s="5"/>
      <c r="BA473" s="40"/>
      <c r="BB473" s="5"/>
      <c r="BD473" s="40"/>
      <c r="BE473" s="5"/>
      <c r="BG473" s="40"/>
      <c r="BH473" s="5"/>
      <c r="BJ473" s="40"/>
      <c r="BK473" s="5"/>
      <c r="BM473" s="40"/>
      <c r="BN473" s="5"/>
      <c r="BP473" s="40"/>
      <c r="BQ473" s="5"/>
      <c r="BS473" s="40"/>
      <c r="BT473" s="5"/>
      <c r="BV473" s="40"/>
      <c r="BW473" s="5"/>
      <c r="BY473" s="40"/>
      <c r="BZ473" s="5"/>
      <c r="CB473" s="40"/>
      <c r="CC473" s="5"/>
      <c r="CE473" s="40"/>
      <c r="CF473" s="5"/>
      <c r="CH473" s="40"/>
      <c r="CI473" s="5"/>
      <c r="CK473" s="40"/>
      <c r="CL473" s="5"/>
      <c r="CN473" s="40"/>
      <c r="CO473" s="5"/>
      <c r="CQ473" s="40"/>
      <c r="CR473" s="5"/>
    </row>
    <row r="474">
      <c r="AL474" s="40"/>
      <c r="AM474" s="5"/>
      <c r="AO474" s="40"/>
      <c r="AP474" s="5"/>
      <c r="AR474" s="40"/>
      <c r="AS474" s="5"/>
      <c r="AU474" s="40"/>
      <c r="AV474" s="5"/>
      <c r="AX474" s="40"/>
      <c r="AY474" s="5"/>
      <c r="BA474" s="40"/>
      <c r="BB474" s="5"/>
      <c r="BD474" s="40"/>
      <c r="BE474" s="5"/>
      <c r="BG474" s="40"/>
      <c r="BH474" s="5"/>
      <c r="BJ474" s="40"/>
      <c r="BK474" s="5"/>
      <c r="BM474" s="40"/>
      <c r="BN474" s="5"/>
      <c r="BP474" s="40"/>
      <c r="BQ474" s="5"/>
      <c r="BS474" s="40"/>
      <c r="BT474" s="5"/>
      <c r="BV474" s="40"/>
      <c r="BW474" s="5"/>
      <c r="BY474" s="40"/>
      <c r="BZ474" s="5"/>
      <c r="CB474" s="40"/>
      <c r="CC474" s="5"/>
      <c r="CE474" s="40"/>
      <c r="CF474" s="5"/>
      <c r="CH474" s="40"/>
      <c r="CI474" s="5"/>
      <c r="CK474" s="40"/>
      <c r="CL474" s="5"/>
      <c r="CN474" s="40"/>
      <c r="CO474" s="5"/>
      <c r="CQ474" s="40"/>
      <c r="CR474" s="5"/>
    </row>
    <row r="475">
      <c r="AL475" s="40"/>
      <c r="AM475" s="5"/>
      <c r="AO475" s="40"/>
      <c r="AP475" s="5"/>
      <c r="AR475" s="40"/>
      <c r="AS475" s="5"/>
      <c r="AU475" s="40"/>
      <c r="AV475" s="5"/>
      <c r="AX475" s="40"/>
      <c r="AY475" s="5"/>
      <c r="BA475" s="40"/>
      <c r="BB475" s="5"/>
      <c r="BD475" s="40"/>
      <c r="BE475" s="5"/>
      <c r="BG475" s="40"/>
      <c r="BH475" s="5"/>
      <c r="BJ475" s="40"/>
      <c r="BK475" s="5"/>
      <c r="BM475" s="40"/>
      <c r="BN475" s="5"/>
      <c r="BP475" s="40"/>
      <c r="BQ475" s="5"/>
      <c r="BS475" s="40"/>
      <c r="BT475" s="5"/>
      <c r="BV475" s="40"/>
      <c r="BW475" s="5"/>
      <c r="BY475" s="40"/>
      <c r="BZ475" s="5"/>
      <c r="CB475" s="40"/>
      <c r="CC475" s="5"/>
      <c r="CE475" s="40"/>
      <c r="CF475" s="5"/>
      <c r="CH475" s="40"/>
      <c r="CI475" s="5"/>
      <c r="CK475" s="40"/>
      <c r="CL475" s="5"/>
      <c r="CN475" s="40"/>
      <c r="CO475" s="5"/>
      <c r="CQ475" s="40"/>
      <c r="CR475" s="5"/>
    </row>
    <row r="476">
      <c r="AL476" s="40"/>
      <c r="AM476" s="5"/>
      <c r="AO476" s="40"/>
      <c r="AP476" s="5"/>
      <c r="AR476" s="40"/>
      <c r="AS476" s="5"/>
      <c r="AU476" s="40"/>
      <c r="AV476" s="5"/>
      <c r="AX476" s="40"/>
      <c r="AY476" s="5"/>
      <c r="BA476" s="40"/>
      <c r="BB476" s="5"/>
      <c r="BD476" s="40"/>
      <c r="BE476" s="5"/>
      <c r="BG476" s="40"/>
      <c r="BH476" s="5"/>
      <c r="BJ476" s="40"/>
      <c r="BK476" s="5"/>
      <c r="BM476" s="40"/>
      <c r="BN476" s="5"/>
      <c r="BP476" s="40"/>
      <c r="BQ476" s="5"/>
      <c r="BS476" s="40"/>
      <c r="BT476" s="5"/>
      <c r="BV476" s="40"/>
      <c r="BW476" s="5"/>
      <c r="BY476" s="40"/>
      <c r="BZ476" s="5"/>
      <c r="CB476" s="40"/>
      <c r="CC476" s="5"/>
      <c r="CE476" s="40"/>
      <c r="CF476" s="5"/>
      <c r="CH476" s="40"/>
      <c r="CI476" s="5"/>
      <c r="CK476" s="40"/>
      <c r="CL476" s="5"/>
      <c r="CN476" s="40"/>
      <c r="CO476" s="5"/>
      <c r="CQ476" s="40"/>
      <c r="CR476" s="5"/>
    </row>
    <row r="477">
      <c r="AL477" s="40"/>
      <c r="AM477" s="5"/>
      <c r="AO477" s="40"/>
      <c r="AP477" s="5"/>
      <c r="AR477" s="40"/>
      <c r="AS477" s="5"/>
      <c r="AU477" s="40"/>
      <c r="AV477" s="5"/>
      <c r="AX477" s="40"/>
      <c r="AY477" s="5"/>
      <c r="BA477" s="40"/>
      <c r="BB477" s="5"/>
      <c r="BD477" s="40"/>
      <c r="BE477" s="5"/>
      <c r="BG477" s="40"/>
      <c r="BH477" s="5"/>
      <c r="BJ477" s="40"/>
      <c r="BK477" s="5"/>
      <c r="BM477" s="40"/>
      <c r="BN477" s="5"/>
      <c r="BP477" s="40"/>
      <c r="BQ477" s="5"/>
      <c r="BS477" s="40"/>
      <c r="BT477" s="5"/>
      <c r="BV477" s="40"/>
      <c r="BW477" s="5"/>
      <c r="BY477" s="40"/>
      <c r="BZ477" s="5"/>
      <c r="CB477" s="40"/>
      <c r="CC477" s="5"/>
      <c r="CE477" s="40"/>
      <c r="CF477" s="5"/>
      <c r="CH477" s="40"/>
      <c r="CI477" s="5"/>
      <c r="CK477" s="40"/>
      <c r="CL477" s="5"/>
      <c r="CN477" s="40"/>
      <c r="CO477" s="5"/>
      <c r="CQ477" s="40"/>
      <c r="CR477" s="5"/>
    </row>
    <row r="478">
      <c r="AL478" s="40"/>
      <c r="AM478" s="5"/>
      <c r="AO478" s="40"/>
      <c r="AP478" s="5"/>
      <c r="AR478" s="40"/>
      <c r="AS478" s="5"/>
      <c r="AU478" s="40"/>
      <c r="AV478" s="5"/>
      <c r="AX478" s="40"/>
      <c r="AY478" s="5"/>
      <c r="BA478" s="40"/>
      <c r="BB478" s="5"/>
      <c r="BD478" s="40"/>
      <c r="BE478" s="5"/>
      <c r="BG478" s="40"/>
      <c r="BH478" s="5"/>
      <c r="BJ478" s="40"/>
      <c r="BK478" s="5"/>
      <c r="BM478" s="40"/>
      <c r="BN478" s="5"/>
      <c r="BP478" s="40"/>
      <c r="BQ478" s="5"/>
      <c r="BS478" s="40"/>
      <c r="BT478" s="5"/>
      <c r="BV478" s="40"/>
      <c r="BW478" s="5"/>
      <c r="BY478" s="40"/>
      <c r="BZ478" s="5"/>
      <c r="CB478" s="40"/>
      <c r="CC478" s="5"/>
      <c r="CE478" s="40"/>
      <c r="CF478" s="5"/>
      <c r="CH478" s="40"/>
      <c r="CI478" s="5"/>
      <c r="CK478" s="40"/>
      <c r="CL478" s="5"/>
      <c r="CN478" s="40"/>
      <c r="CO478" s="5"/>
      <c r="CQ478" s="40"/>
      <c r="CR478" s="5"/>
    </row>
    <row r="479">
      <c r="AL479" s="40"/>
      <c r="AM479" s="5"/>
      <c r="AO479" s="40"/>
      <c r="AP479" s="5"/>
      <c r="AR479" s="40"/>
      <c r="AS479" s="5"/>
      <c r="AU479" s="40"/>
      <c r="AV479" s="5"/>
      <c r="AX479" s="40"/>
      <c r="AY479" s="5"/>
      <c r="BA479" s="40"/>
      <c r="BB479" s="5"/>
      <c r="BD479" s="40"/>
      <c r="BE479" s="5"/>
      <c r="BG479" s="40"/>
      <c r="BH479" s="5"/>
      <c r="BJ479" s="40"/>
      <c r="BK479" s="5"/>
      <c r="BM479" s="40"/>
      <c r="BN479" s="5"/>
      <c r="BP479" s="40"/>
      <c r="BQ479" s="5"/>
      <c r="BS479" s="40"/>
      <c r="BT479" s="5"/>
      <c r="BV479" s="40"/>
      <c r="BW479" s="5"/>
      <c r="BY479" s="40"/>
      <c r="BZ479" s="5"/>
      <c r="CB479" s="40"/>
      <c r="CC479" s="5"/>
      <c r="CE479" s="40"/>
      <c r="CF479" s="5"/>
      <c r="CH479" s="40"/>
      <c r="CI479" s="5"/>
      <c r="CK479" s="40"/>
      <c r="CL479" s="5"/>
      <c r="CN479" s="40"/>
      <c r="CO479" s="5"/>
      <c r="CQ479" s="40"/>
      <c r="CR479" s="5"/>
    </row>
    <row r="480">
      <c r="AL480" s="40"/>
      <c r="AM480" s="5"/>
      <c r="AO480" s="40"/>
      <c r="AP480" s="5"/>
      <c r="AR480" s="40"/>
      <c r="AS480" s="5"/>
      <c r="AU480" s="40"/>
      <c r="AV480" s="5"/>
      <c r="AX480" s="40"/>
      <c r="AY480" s="5"/>
      <c r="BA480" s="40"/>
      <c r="BB480" s="5"/>
      <c r="BD480" s="40"/>
      <c r="BE480" s="5"/>
      <c r="BG480" s="40"/>
      <c r="BH480" s="5"/>
      <c r="BJ480" s="40"/>
      <c r="BK480" s="5"/>
      <c r="BM480" s="40"/>
      <c r="BN480" s="5"/>
      <c r="BP480" s="40"/>
      <c r="BQ480" s="5"/>
      <c r="BS480" s="40"/>
      <c r="BT480" s="5"/>
      <c r="BV480" s="40"/>
      <c r="BW480" s="5"/>
      <c r="BY480" s="40"/>
      <c r="BZ480" s="5"/>
      <c r="CB480" s="40"/>
      <c r="CC480" s="5"/>
      <c r="CE480" s="40"/>
      <c r="CF480" s="5"/>
      <c r="CH480" s="40"/>
      <c r="CI480" s="5"/>
      <c r="CK480" s="40"/>
      <c r="CL480" s="5"/>
      <c r="CN480" s="40"/>
      <c r="CO480" s="5"/>
      <c r="CQ480" s="40"/>
      <c r="CR480" s="5"/>
    </row>
    <row r="481">
      <c r="AL481" s="40"/>
      <c r="AM481" s="5"/>
      <c r="AO481" s="40"/>
      <c r="AP481" s="5"/>
      <c r="AR481" s="40"/>
      <c r="AS481" s="5"/>
      <c r="AU481" s="40"/>
      <c r="AV481" s="5"/>
      <c r="AX481" s="40"/>
      <c r="AY481" s="5"/>
      <c r="BA481" s="40"/>
      <c r="BB481" s="5"/>
      <c r="BD481" s="40"/>
      <c r="BE481" s="5"/>
      <c r="BG481" s="40"/>
      <c r="BH481" s="5"/>
      <c r="BJ481" s="40"/>
      <c r="BK481" s="5"/>
      <c r="BM481" s="40"/>
      <c r="BN481" s="5"/>
      <c r="BP481" s="40"/>
      <c r="BQ481" s="5"/>
      <c r="BS481" s="40"/>
      <c r="BT481" s="5"/>
      <c r="BV481" s="40"/>
      <c r="BW481" s="5"/>
      <c r="BY481" s="40"/>
      <c r="BZ481" s="5"/>
      <c r="CB481" s="40"/>
      <c r="CC481" s="5"/>
      <c r="CE481" s="40"/>
      <c r="CF481" s="5"/>
      <c r="CH481" s="40"/>
      <c r="CI481" s="5"/>
      <c r="CK481" s="40"/>
      <c r="CL481" s="5"/>
      <c r="CN481" s="40"/>
      <c r="CO481" s="5"/>
      <c r="CQ481" s="40"/>
      <c r="CR481" s="5"/>
    </row>
    <row r="482">
      <c r="AL482" s="40"/>
      <c r="AM482" s="5"/>
      <c r="AO482" s="40"/>
      <c r="AP482" s="5"/>
      <c r="AR482" s="40"/>
      <c r="AS482" s="5"/>
      <c r="AU482" s="40"/>
      <c r="AV482" s="5"/>
      <c r="AX482" s="40"/>
      <c r="AY482" s="5"/>
      <c r="BA482" s="40"/>
      <c r="BB482" s="5"/>
      <c r="BD482" s="40"/>
      <c r="BE482" s="5"/>
      <c r="BG482" s="40"/>
      <c r="BH482" s="5"/>
      <c r="BJ482" s="40"/>
      <c r="BK482" s="5"/>
      <c r="BM482" s="40"/>
      <c r="BN482" s="5"/>
      <c r="BP482" s="40"/>
      <c r="BQ482" s="5"/>
      <c r="BS482" s="40"/>
      <c r="BT482" s="5"/>
      <c r="BV482" s="40"/>
      <c r="BW482" s="5"/>
      <c r="BY482" s="40"/>
      <c r="BZ482" s="5"/>
      <c r="CB482" s="40"/>
      <c r="CC482" s="5"/>
      <c r="CE482" s="40"/>
      <c r="CF482" s="5"/>
      <c r="CH482" s="40"/>
      <c r="CI482" s="5"/>
      <c r="CK482" s="40"/>
      <c r="CL482" s="5"/>
      <c r="CN482" s="40"/>
      <c r="CO482" s="5"/>
      <c r="CQ482" s="40"/>
      <c r="CR482" s="5"/>
    </row>
    <row r="483">
      <c r="AL483" s="40"/>
      <c r="AM483" s="5"/>
      <c r="AO483" s="40"/>
      <c r="AP483" s="5"/>
      <c r="AR483" s="40"/>
      <c r="AS483" s="5"/>
      <c r="AU483" s="40"/>
      <c r="AV483" s="5"/>
      <c r="AX483" s="40"/>
      <c r="AY483" s="5"/>
      <c r="BA483" s="40"/>
      <c r="BB483" s="5"/>
      <c r="BD483" s="40"/>
      <c r="BE483" s="5"/>
      <c r="BG483" s="40"/>
      <c r="BH483" s="5"/>
      <c r="BJ483" s="40"/>
      <c r="BK483" s="5"/>
      <c r="BM483" s="40"/>
      <c r="BN483" s="5"/>
      <c r="BP483" s="40"/>
      <c r="BQ483" s="5"/>
      <c r="BS483" s="40"/>
      <c r="BT483" s="5"/>
      <c r="BV483" s="40"/>
      <c r="BW483" s="5"/>
      <c r="BY483" s="40"/>
      <c r="BZ483" s="5"/>
      <c r="CB483" s="40"/>
      <c r="CC483" s="5"/>
      <c r="CE483" s="40"/>
      <c r="CF483" s="5"/>
      <c r="CH483" s="40"/>
      <c r="CI483" s="5"/>
      <c r="CK483" s="40"/>
      <c r="CL483" s="5"/>
      <c r="CN483" s="40"/>
      <c r="CO483" s="5"/>
      <c r="CQ483" s="40"/>
      <c r="CR483" s="5"/>
    </row>
    <row r="484">
      <c r="AL484" s="40"/>
      <c r="AM484" s="5"/>
      <c r="AO484" s="40"/>
      <c r="AP484" s="5"/>
      <c r="AR484" s="40"/>
      <c r="AS484" s="5"/>
      <c r="AU484" s="40"/>
      <c r="AV484" s="5"/>
      <c r="AX484" s="40"/>
      <c r="AY484" s="5"/>
      <c r="BA484" s="40"/>
      <c r="BB484" s="5"/>
      <c r="BD484" s="40"/>
      <c r="BE484" s="5"/>
      <c r="BG484" s="40"/>
      <c r="BH484" s="5"/>
      <c r="BJ484" s="40"/>
      <c r="BK484" s="5"/>
      <c r="BM484" s="40"/>
      <c r="BN484" s="5"/>
      <c r="BP484" s="40"/>
      <c r="BQ484" s="5"/>
      <c r="BS484" s="40"/>
      <c r="BT484" s="5"/>
      <c r="BV484" s="40"/>
      <c r="BW484" s="5"/>
      <c r="BY484" s="40"/>
      <c r="BZ484" s="5"/>
      <c r="CB484" s="40"/>
      <c r="CC484" s="5"/>
      <c r="CE484" s="40"/>
      <c r="CF484" s="5"/>
      <c r="CH484" s="40"/>
      <c r="CI484" s="5"/>
      <c r="CK484" s="40"/>
      <c r="CL484" s="5"/>
      <c r="CN484" s="40"/>
      <c r="CO484" s="5"/>
      <c r="CQ484" s="40"/>
      <c r="CR484" s="5"/>
    </row>
    <row r="485">
      <c r="AL485" s="40"/>
      <c r="AM485" s="5"/>
      <c r="AO485" s="40"/>
      <c r="AP485" s="5"/>
      <c r="AR485" s="40"/>
      <c r="AS485" s="5"/>
      <c r="AU485" s="40"/>
      <c r="AV485" s="5"/>
      <c r="AX485" s="40"/>
      <c r="AY485" s="5"/>
      <c r="BA485" s="40"/>
      <c r="BB485" s="5"/>
      <c r="BD485" s="40"/>
      <c r="BE485" s="5"/>
      <c r="BG485" s="40"/>
      <c r="BH485" s="5"/>
      <c r="BJ485" s="40"/>
      <c r="BK485" s="5"/>
      <c r="BM485" s="40"/>
      <c r="BN485" s="5"/>
      <c r="BP485" s="40"/>
      <c r="BQ485" s="5"/>
      <c r="BS485" s="40"/>
      <c r="BT485" s="5"/>
      <c r="BV485" s="40"/>
      <c r="BW485" s="5"/>
      <c r="BY485" s="40"/>
      <c r="BZ485" s="5"/>
      <c r="CB485" s="40"/>
      <c r="CC485" s="5"/>
      <c r="CE485" s="40"/>
      <c r="CF485" s="5"/>
      <c r="CH485" s="40"/>
      <c r="CI485" s="5"/>
      <c r="CK485" s="40"/>
      <c r="CL485" s="5"/>
      <c r="CN485" s="40"/>
      <c r="CO485" s="5"/>
      <c r="CQ485" s="40"/>
      <c r="CR485" s="5"/>
    </row>
    <row r="486">
      <c r="AL486" s="40"/>
      <c r="AM486" s="5"/>
      <c r="AO486" s="40"/>
      <c r="AP486" s="5"/>
      <c r="AR486" s="40"/>
      <c r="AS486" s="5"/>
      <c r="AU486" s="40"/>
      <c r="AV486" s="5"/>
      <c r="AX486" s="40"/>
      <c r="AY486" s="5"/>
      <c r="BA486" s="40"/>
      <c r="BB486" s="5"/>
      <c r="BD486" s="40"/>
      <c r="BE486" s="5"/>
      <c r="BG486" s="40"/>
      <c r="BH486" s="5"/>
      <c r="BJ486" s="40"/>
      <c r="BK486" s="5"/>
      <c r="BM486" s="40"/>
      <c r="BN486" s="5"/>
      <c r="BP486" s="40"/>
      <c r="BQ486" s="5"/>
      <c r="BS486" s="40"/>
      <c r="BT486" s="5"/>
      <c r="BV486" s="40"/>
      <c r="BW486" s="5"/>
      <c r="BY486" s="40"/>
      <c r="BZ486" s="5"/>
      <c r="CB486" s="40"/>
      <c r="CC486" s="5"/>
      <c r="CE486" s="40"/>
      <c r="CF486" s="5"/>
      <c r="CH486" s="40"/>
      <c r="CI486" s="5"/>
      <c r="CK486" s="40"/>
      <c r="CL486" s="5"/>
      <c r="CN486" s="40"/>
      <c r="CO486" s="5"/>
      <c r="CQ486" s="40"/>
      <c r="CR486" s="5"/>
    </row>
    <row r="487">
      <c r="AL487" s="40"/>
      <c r="AM487" s="5"/>
      <c r="AO487" s="40"/>
      <c r="AP487" s="5"/>
      <c r="AR487" s="40"/>
      <c r="AS487" s="5"/>
      <c r="AU487" s="40"/>
      <c r="AV487" s="5"/>
      <c r="AX487" s="40"/>
      <c r="AY487" s="5"/>
      <c r="BA487" s="40"/>
      <c r="BB487" s="5"/>
      <c r="BD487" s="40"/>
      <c r="BE487" s="5"/>
      <c r="BG487" s="40"/>
      <c r="BH487" s="5"/>
      <c r="BJ487" s="40"/>
      <c r="BK487" s="5"/>
      <c r="BM487" s="40"/>
      <c r="BN487" s="5"/>
      <c r="BP487" s="40"/>
      <c r="BQ487" s="5"/>
      <c r="BS487" s="40"/>
      <c r="BT487" s="5"/>
      <c r="BV487" s="40"/>
      <c r="BW487" s="5"/>
      <c r="BY487" s="40"/>
      <c r="BZ487" s="5"/>
      <c r="CB487" s="40"/>
      <c r="CC487" s="5"/>
      <c r="CE487" s="40"/>
      <c r="CF487" s="5"/>
      <c r="CH487" s="40"/>
      <c r="CI487" s="5"/>
      <c r="CK487" s="40"/>
      <c r="CL487" s="5"/>
      <c r="CN487" s="40"/>
      <c r="CO487" s="5"/>
      <c r="CQ487" s="40"/>
      <c r="CR487" s="5"/>
    </row>
    <row r="488">
      <c r="AL488" s="40"/>
      <c r="AM488" s="5"/>
      <c r="AO488" s="40"/>
      <c r="AP488" s="5"/>
      <c r="AR488" s="40"/>
      <c r="AS488" s="5"/>
      <c r="AU488" s="40"/>
      <c r="AV488" s="5"/>
      <c r="AX488" s="40"/>
      <c r="AY488" s="5"/>
      <c r="BA488" s="40"/>
      <c r="BB488" s="5"/>
      <c r="BD488" s="40"/>
      <c r="BE488" s="5"/>
      <c r="BG488" s="40"/>
      <c r="BH488" s="5"/>
      <c r="BJ488" s="40"/>
      <c r="BK488" s="5"/>
      <c r="BM488" s="40"/>
      <c r="BN488" s="5"/>
      <c r="BP488" s="40"/>
      <c r="BQ488" s="5"/>
      <c r="BS488" s="40"/>
      <c r="BT488" s="5"/>
      <c r="BV488" s="40"/>
      <c r="BW488" s="5"/>
      <c r="BY488" s="40"/>
      <c r="BZ488" s="5"/>
      <c r="CB488" s="40"/>
      <c r="CC488" s="5"/>
      <c r="CE488" s="40"/>
      <c r="CF488" s="5"/>
      <c r="CH488" s="40"/>
      <c r="CI488" s="5"/>
      <c r="CK488" s="40"/>
      <c r="CL488" s="5"/>
      <c r="CN488" s="40"/>
      <c r="CO488" s="5"/>
      <c r="CQ488" s="40"/>
      <c r="CR488" s="5"/>
    </row>
    <row r="489">
      <c r="AL489" s="40"/>
      <c r="AM489" s="5"/>
      <c r="AO489" s="40"/>
      <c r="AP489" s="5"/>
      <c r="AR489" s="40"/>
      <c r="AS489" s="5"/>
      <c r="AU489" s="40"/>
      <c r="AV489" s="5"/>
      <c r="AX489" s="40"/>
      <c r="AY489" s="5"/>
      <c r="BA489" s="40"/>
      <c r="BB489" s="5"/>
      <c r="BD489" s="40"/>
      <c r="BE489" s="5"/>
      <c r="BG489" s="40"/>
      <c r="BH489" s="5"/>
      <c r="BJ489" s="40"/>
      <c r="BK489" s="5"/>
      <c r="BM489" s="40"/>
      <c r="BN489" s="5"/>
      <c r="BP489" s="40"/>
      <c r="BQ489" s="5"/>
      <c r="BS489" s="40"/>
      <c r="BT489" s="5"/>
      <c r="BV489" s="40"/>
      <c r="BW489" s="5"/>
      <c r="BY489" s="40"/>
      <c r="BZ489" s="5"/>
      <c r="CB489" s="40"/>
      <c r="CC489" s="5"/>
      <c r="CE489" s="40"/>
      <c r="CF489" s="5"/>
      <c r="CH489" s="40"/>
      <c r="CI489" s="5"/>
      <c r="CK489" s="40"/>
      <c r="CL489" s="5"/>
      <c r="CN489" s="40"/>
      <c r="CO489" s="5"/>
      <c r="CQ489" s="40"/>
      <c r="CR489" s="5"/>
    </row>
    <row r="490">
      <c r="AL490" s="40"/>
      <c r="AM490" s="5"/>
      <c r="AO490" s="40"/>
      <c r="AP490" s="5"/>
      <c r="AR490" s="40"/>
      <c r="AS490" s="5"/>
      <c r="AU490" s="40"/>
      <c r="AV490" s="5"/>
      <c r="AX490" s="40"/>
      <c r="AY490" s="5"/>
      <c r="BA490" s="40"/>
      <c r="BB490" s="5"/>
      <c r="BD490" s="40"/>
      <c r="BE490" s="5"/>
      <c r="BG490" s="40"/>
      <c r="BH490" s="5"/>
      <c r="BJ490" s="40"/>
      <c r="BK490" s="5"/>
      <c r="BM490" s="40"/>
      <c r="BN490" s="5"/>
      <c r="BP490" s="40"/>
      <c r="BQ490" s="5"/>
      <c r="BS490" s="40"/>
      <c r="BT490" s="5"/>
      <c r="BV490" s="40"/>
      <c r="BW490" s="5"/>
      <c r="BY490" s="40"/>
      <c r="BZ490" s="5"/>
      <c r="CB490" s="40"/>
      <c r="CC490" s="5"/>
      <c r="CE490" s="40"/>
      <c r="CF490" s="5"/>
      <c r="CH490" s="40"/>
      <c r="CI490" s="5"/>
      <c r="CK490" s="40"/>
      <c r="CL490" s="5"/>
      <c r="CN490" s="40"/>
      <c r="CO490" s="5"/>
      <c r="CQ490" s="40"/>
      <c r="CR490" s="5"/>
    </row>
    <row r="491">
      <c r="AL491" s="40"/>
      <c r="AM491" s="5"/>
      <c r="AO491" s="40"/>
      <c r="AP491" s="5"/>
      <c r="AR491" s="40"/>
      <c r="AS491" s="5"/>
      <c r="AU491" s="40"/>
      <c r="AV491" s="5"/>
      <c r="AX491" s="40"/>
      <c r="AY491" s="5"/>
      <c r="BA491" s="40"/>
      <c r="BB491" s="5"/>
      <c r="BD491" s="40"/>
      <c r="BE491" s="5"/>
      <c r="BG491" s="40"/>
      <c r="BH491" s="5"/>
      <c r="BJ491" s="40"/>
      <c r="BK491" s="5"/>
      <c r="BM491" s="40"/>
      <c r="BN491" s="5"/>
      <c r="BP491" s="40"/>
      <c r="BQ491" s="5"/>
      <c r="BS491" s="40"/>
      <c r="BT491" s="5"/>
      <c r="BV491" s="40"/>
      <c r="BW491" s="5"/>
      <c r="BY491" s="40"/>
      <c r="BZ491" s="5"/>
      <c r="CB491" s="40"/>
      <c r="CC491" s="5"/>
      <c r="CE491" s="40"/>
      <c r="CF491" s="5"/>
      <c r="CH491" s="40"/>
      <c r="CI491" s="5"/>
      <c r="CK491" s="40"/>
      <c r="CL491" s="5"/>
      <c r="CN491" s="40"/>
      <c r="CO491" s="5"/>
      <c r="CQ491" s="40"/>
      <c r="CR491" s="5"/>
    </row>
    <row r="492">
      <c r="AL492" s="40"/>
      <c r="AM492" s="5"/>
      <c r="AO492" s="40"/>
      <c r="AP492" s="5"/>
      <c r="AR492" s="40"/>
      <c r="AS492" s="5"/>
      <c r="AU492" s="40"/>
      <c r="AV492" s="5"/>
      <c r="AX492" s="40"/>
      <c r="AY492" s="5"/>
      <c r="BA492" s="40"/>
      <c r="BB492" s="5"/>
      <c r="BD492" s="40"/>
      <c r="BE492" s="5"/>
      <c r="BG492" s="40"/>
      <c r="BH492" s="5"/>
      <c r="BJ492" s="40"/>
      <c r="BK492" s="5"/>
      <c r="BM492" s="40"/>
      <c r="BN492" s="5"/>
      <c r="BP492" s="40"/>
      <c r="BQ492" s="5"/>
      <c r="BS492" s="40"/>
      <c r="BT492" s="5"/>
      <c r="BV492" s="40"/>
      <c r="BW492" s="5"/>
      <c r="BY492" s="40"/>
      <c r="BZ492" s="5"/>
      <c r="CB492" s="40"/>
      <c r="CC492" s="5"/>
      <c r="CE492" s="40"/>
      <c r="CF492" s="5"/>
      <c r="CH492" s="40"/>
      <c r="CI492" s="5"/>
      <c r="CK492" s="40"/>
      <c r="CL492" s="5"/>
      <c r="CN492" s="40"/>
      <c r="CO492" s="5"/>
      <c r="CQ492" s="40"/>
      <c r="CR492" s="5"/>
    </row>
    <row r="493">
      <c r="AL493" s="40"/>
      <c r="AM493" s="5"/>
      <c r="AO493" s="40"/>
      <c r="AP493" s="5"/>
      <c r="AR493" s="40"/>
      <c r="AS493" s="5"/>
      <c r="AU493" s="40"/>
      <c r="AV493" s="5"/>
      <c r="AX493" s="40"/>
      <c r="AY493" s="5"/>
      <c r="BA493" s="40"/>
      <c r="BB493" s="5"/>
      <c r="BD493" s="40"/>
      <c r="BE493" s="5"/>
      <c r="BG493" s="40"/>
      <c r="BH493" s="5"/>
      <c r="BJ493" s="40"/>
      <c r="BK493" s="5"/>
      <c r="BM493" s="40"/>
      <c r="BN493" s="5"/>
      <c r="BP493" s="40"/>
      <c r="BQ493" s="5"/>
      <c r="BS493" s="40"/>
      <c r="BT493" s="5"/>
      <c r="BV493" s="40"/>
      <c r="BW493" s="5"/>
      <c r="BY493" s="40"/>
      <c r="BZ493" s="5"/>
      <c r="CB493" s="40"/>
      <c r="CC493" s="5"/>
      <c r="CE493" s="40"/>
      <c r="CF493" s="5"/>
      <c r="CH493" s="40"/>
      <c r="CI493" s="5"/>
      <c r="CK493" s="40"/>
      <c r="CL493" s="5"/>
      <c r="CN493" s="40"/>
      <c r="CO493" s="5"/>
      <c r="CQ493" s="40"/>
      <c r="CR493" s="5"/>
    </row>
    <row r="494">
      <c r="AL494" s="40"/>
      <c r="AM494" s="5"/>
      <c r="AO494" s="40"/>
      <c r="AP494" s="5"/>
      <c r="AR494" s="40"/>
      <c r="AS494" s="5"/>
      <c r="AU494" s="40"/>
      <c r="AV494" s="5"/>
      <c r="AX494" s="40"/>
      <c r="AY494" s="5"/>
      <c r="BA494" s="40"/>
      <c r="BB494" s="5"/>
      <c r="BD494" s="40"/>
      <c r="BE494" s="5"/>
      <c r="BG494" s="40"/>
      <c r="BH494" s="5"/>
      <c r="BJ494" s="40"/>
      <c r="BK494" s="5"/>
      <c r="BM494" s="40"/>
      <c r="BN494" s="5"/>
      <c r="BP494" s="40"/>
      <c r="BQ494" s="5"/>
      <c r="BS494" s="40"/>
      <c r="BT494" s="5"/>
      <c r="BV494" s="40"/>
      <c r="BW494" s="5"/>
      <c r="BY494" s="40"/>
      <c r="BZ494" s="5"/>
      <c r="CB494" s="40"/>
      <c r="CC494" s="5"/>
      <c r="CE494" s="40"/>
      <c r="CF494" s="5"/>
      <c r="CH494" s="40"/>
      <c r="CI494" s="5"/>
      <c r="CK494" s="40"/>
      <c r="CL494" s="5"/>
      <c r="CN494" s="40"/>
      <c r="CO494" s="5"/>
      <c r="CQ494" s="40"/>
      <c r="CR494" s="5"/>
    </row>
    <row r="495">
      <c r="AL495" s="40"/>
      <c r="AM495" s="5"/>
      <c r="AO495" s="40"/>
      <c r="AP495" s="5"/>
      <c r="AR495" s="40"/>
      <c r="AS495" s="5"/>
      <c r="AU495" s="40"/>
      <c r="AV495" s="5"/>
      <c r="AX495" s="40"/>
      <c r="AY495" s="5"/>
      <c r="BA495" s="40"/>
      <c r="BB495" s="5"/>
      <c r="BD495" s="40"/>
      <c r="BE495" s="5"/>
      <c r="BG495" s="40"/>
      <c r="BH495" s="5"/>
      <c r="BJ495" s="40"/>
      <c r="BK495" s="5"/>
      <c r="BM495" s="40"/>
      <c r="BN495" s="5"/>
      <c r="BP495" s="40"/>
      <c r="BQ495" s="5"/>
      <c r="BS495" s="40"/>
      <c r="BT495" s="5"/>
      <c r="BV495" s="40"/>
      <c r="BW495" s="5"/>
      <c r="BY495" s="40"/>
      <c r="BZ495" s="5"/>
      <c r="CB495" s="40"/>
      <c r="CC495" s="5"/>
      <c r="CE495" s="40"/>
      <c r="CF495" s="5"/>
      <c r="CH495" s="40"/>
      <c r="CI495" s="5"/>
      <c r="CK495" s="40"/>
      <c r="CL495" s="5"/>
      <c r="CN495" s="40"/>
      <c r="CO495" s="5"/>
      <c r="CQ495" s="40"/>
      <c r="CR495" s="5"/>
    </row>
    <row r="496">
      <c r="AL496" s="40"/>
      <c r="AM496" s="5"/>
      <c r="AO496" s="40"/>
      <c r="AP496" s="5"/>
      <c r="AR496" s="40"/>
      <c r="AS496" s="5"/>
      <c r="AU496" s="40"/>
      <c r="AV496" s="5"/>
      <c r="AX496" s="40"/>
      <c r="AY496" s="5"/>
      <c r="BA496" s="40"/>
      <c r="BB496" s="5"/>
      <c r="BD496" s="40"/>
      <c r="BE496" s="5"/>
      <c r="BG496" s="40"/>
      <c r="BH496" s="5"/>
      <c r="BJ496" s="40"/>
      <c r="BK496" s="5"/>
      <c r="BM496" s="40"/>
      <c r="BN496" s="5"/>
      <c r="BP496" s="40"/>
      <c r="BQ496" s="5"/>
      <c r="BS496" s="40"/>
      <c r="BT496" s="5"/>
      <c r="BV496" s="40"/>
      <c r="BW496" s="5"/>
      <c r="BY496" s="40"/>
      <c r="BZ496" s="5"/>
      <c r="CB496" s="40"/>
      <c r="CC496" s="5"/>
      <c r="CE496" s="40"/>
      <c r="CF496" s="5"/>
      <c r="CH496" s="40"/>
      <c r="CI496" s="5"/>
      <c r="CK496" s="40"/>
      <c r="CL496" s="5"/>
      <c r="CN496" s="40"/>
      <c r="CO496" s="5"/>
      <c r="CQ496" s="40"/>
      <c r="CR496" s="5"/>
    </row>
    <row r="497">
      <c r="AL497" s="40"/>
      <c r="AM497" s="5"/>
      <c r="AO497" s="40"/>
      <c r="AP497" s="5"/>
      <c r="AR497" s="40"/>
      <c r="AS497" s="5"/>
      <c r="AU497" s="40"/>
      <c r="AV497" s="5"/>
      <c r="AX497" s="40"/>
      <c r="AY497" s="5"/>
      <c r="BA497" s="40"/>
      <c r="BB497" s="5"/>
      <c r="BD497" s="40"/>
      <c r="BE497" s="5"/>
      <c r="BG497" s="40"/>
      <c r="BH497" s="5"/>
      <c r="BJ497" s="40"/>
      <c r="BK497" s="5"/>
      <c r="BM497" s="40"/>
      <c r="BN497" s="5"/>
      <c r="BP497" s="40"/>
      <c r="BQ497" s="5"/>
      <c r="BS497" s="40"/>
      <c r="BT497" s="5"/>
      <c r="BV497" s="40"/>
      <c r="BW497" s="5"/>
      <c r="BY497" s="40"/>
      <c r="BZ497" s="5"/>
      <c r="CB497" s="40"/>
      <c r="CC497" s="5"/>
      <c r="CE497" s="40"/>
      <c r="CF497" s="5"/>
      <c r="CH497" s="40"/>
      <c r="CI497" s="5"/>
      <c r="CK497" s="40"/>
      <c r="CL497" s="5"/>
      <c r="CN497" s="40"/>
      <c r="CO497" s="5"/>
      <c r="CQ497" s="40"/>
      <c r="CR497" s="5"/>
    </row>
    <row r="498">
      <c r="AL498" s="40"/>
      <c r="AM498" s="5"/>
      <c r="AO498" s="40"/>
      <c r="AP498" s="5"/>
      <c r="AR498" s="40"/>
      <c r="AS498" s="5"/>
      <c r="AU498" s="40"/>
      <c r="AV498" s="5"/>
      <c r="AX498" s="40"/>
      <c r="AY498" s="5"/>
      <c r="BA498" s="40"/>
      <c r="BB498" s="5"/>
      <c r="BD498" s="40"/>
      <c r="BE498" s="5"/>
      <c r="BG498" s="40"/>
      <c r="BH498" s="5"/>
      <c r="BJ498" s="40"/>
      <c r="BK498" s="5"/>
      <c r="BM498" s="40"/>
      <c r="BN498" s="5"/>
      <c r="BP498" s="40"/>
      <c r="BQ498" s="5"/>
      <c r="BS498" s="40"/>
      <c r="BT498" s="5"/>
      <c r="BV498" s="40"/>
      <c r="BW498" s="5"/>
      <c r="BY498" s="40"/>
      <c r="BZ498" s="5"/>
      <c r="CB498" s="40"/>
      <c r="CC498" s="5"/>
      <c r="CE498" s="40"/>
      <c r="CF498" s="5"/>
      <c r="CH498" s="40"/>
      <c r="CI498" s="5"/>
      <c r="CK498" s="40"/>
      <c r="CL498" s="5"/>
      <c r="CN498" s="40"/>
      <c r="CO498" s="5"/>
      <c r="CQ498" s="40"/>
      <c r="CR498" s="5"/>
    </row>
    <row r="499">
      <c r="AL499" s="40"/>
      <c r="AM499" s="5"/>
      <c r="AO499" s="40"/>
      <c r="AP499" s="5"/>
      <c r="AR499" s="40"/>
      <c r="AS499" s="5"/>
      <c r="AU499" s="40"/>
      <c r="AV499" s="5"/>
      <c r="AX499" s="40"/>
      <c r="AY499" s="5"/>
      <c r="BA499" s="40"/>
      <c r="BB499" s="5"/>
      <c r="BD499" s="40"/>
      <c r="BE499" s="5"/>
      <c r="BG499" s="40"/>
      <c r="BH499" s="5"/>
      <c r="BJ499" s="40"/>
      <c r="BK499" s="5"/>
      <c r="BM499" s="40"/>
      <c r="BN499" s="5"/>
      <c r="BP499" s="40"/>
      <c r="BQ499" s="5"/>
      <c r="BS499" s="40"/>
      <c r="BT499" s="5"/>
      <c r="BV499" s="40"/>
      <c r="BW499" s="5"/>
      <c r="BY499" s="40"/>
      <c r="BZ499" s="5"/>
      <c r="CB499" s="40"/>
      <c r="CC499" s="5"/>
      <c r="CE499" s="40"/>
      <c r="CF499" s="5"/>
      <c r="CH499" s="40"/>
      <c r="CI499" s="5"/>
      <c r="CK499" s="40"/>
      <c r="CL499" s="5"/>
      <c r="CN499" s="40"/>
      <c r="CO499" s="5"/>
      <c r="CQ499" s="40"/>
      <c r="CR499" s="5"/>
    </row>
    <row r="500">
      <c r="AL500" s="40"/>
      <c r="AM500" s="5"/>
      <c r="AO500" s="40"/>
      <c r="AP500" s="5"/>
      <c r="AR500" s="40"/>
      <c r="AS500" s="5"/>
      <c r="AU500" s="40"/>
      <c r="AV500" s="5"/>
      <c r="AX500" s="40"/>
      <c r="AY500" s="5"/>
      <c r="BA500" s="40"/>
      <c r="BB500" s="5"/>
      <c r="BD500" s="40"/>
      <c r="BE500" s="5"/>
      <c r="BG500" s="40"/>
      <c r="BH500" s="5"/>
      <c r="BJ500" s="40"/>
      <c r="BK500" s="5"/>
      <c r="BM500" s="40"/>
      <c r="BN500" s="5"/>
      <c r="BP500" s="40"/>
      <c r="BQ500" s="5"/>
      <c r="BS500" s="40"/>
      <c r="BT500" s="5"/>
      <c r="BV500" s="40"/>
      <c r="BW500" s="5"/>
      <c r="BY500" s="40"/>
      <c r="BZ500" s="5"/>
      <c r="CB500" s="40"/>
      <c r="CC500" s="5"/>
      <c r="CE500" s="40"/>
      <c r="CF500" s="5"/>
      <c r="CH500" s="40"/>
      <c r="CI500" s="5"/>
      <c r="CK500" s="40"/>
      <c r="CL500" s="5"/>
      <c r="CN500" s="40"/>
      <c r="CO500" s="5"/>
      <c r="CQ500" s="40"/>
      <c r="CR500" s="5"/>
    </row>
    <row r="501">
      <c r="AL501" s="40"/>
      <c r="AM501" s="5"/>
      <c r="AO501" s="40"/>
      <c r="AP501" s="5"/>
      <c r="AR501" s="40"/>
      <c r="AS501" s="5"/>
      <c r="AU501" s="40"/>
      <c r="AV501" s="5"/>
      <c r="AX501" s="40"/>
      <c r="AY501" s="5"/>
      <c r="BA501" s="40"/>
      <c r="BB501" s="5"/>
      <c r="BD501" s="40"/>
      <c r="BE501" s="5"/>
      <c r="BG501" s="40"/>
      <c r="BH501" s="5"/>
      <c r="BJ501" s="40"/>
      <c r="BK501" s="5"/>
      <c r="BM501" s="40"/>
      <c r="BN501" s="5"/>
      <c r="BP501" s="40"/>
      <c r="BQ501" s="5"/>
      <c r="BS501" s="40"/>
      <c r="BT501" s="5"/>
      <c r="BV501" s="40"/>
      <c r="BW501" s="5"/>
      <c r="BY501" s="40"/>
      <c r="BZ501" s="5"/>
      <c r="CB501" s="40"/>
      <c r="CC501" s="5"/>
      <c r="CE501" s="40"/>
      <c r="CF501" s="5"/>
      <c r="CH501" s="40"/>
      <c r="CI501" s="5"/>
      <c r="CK501" s="40"/>
      <c r="CL501" s="5"/>
      <c r="CN501" s="40"/>
      <c r="CO501" s="5"/>
      <c r="CQ501" s="40"/>
      <c r="CR501" s="5"/>
    </row>
    <row r="502">
      <c r="AL502" s="40"/>
      <c r="AM502" s="5"/>
      <c r="AO502" s="40"/>
      <c r="AP502" s="5"/>
      <c r="AR502" s="40"/>
      <c r="AS502" s="5"/>
      <c r="AU502" s="40"/>
      <c r="AV502" s="5"/>
      <c r="AX502" s="40"/>
      <c r="AY502" s="5"/>
      <c r="BA502" s="40"/>
      <c r="BB502" s="5"/>
      <c r="BD502" s="40"/>
      <c r="BE502" s="5"/>
      <c r="BG502" s="40"/>
      <c r="BH502" s="5"/>
      <c r="BJ502" s="40"/>
      <c r="BK502" s="5"/>
      <c r="BM502" s="40"/>
      <c r="BN502" s="5"/>
      <c r="BP502" s="40"/>
      <c r="BQ502" s="5"/>
      <c r="BS502" s="40"/>
      <c r="BT502" s="5"/>
      <c r="BV502" s="40"/>
      <c r="BW502" s="5"/>
      <c r="BY502" s="40"/>
      <c r="BZ502" s="5"/>
      <c r="CB502" s="40"/>
      <c r="CC502" s="5"/>
      <c r="CE502" s="40"/>
      <c r="CF502" s="5"/>
      <c r="CH502" s="40"/>
      <c r="CI502" s="5"/>
      <c r="CK502" s="40"/>
      <c r="CL502" s="5"/>
      <c r="CN502" s="40"/>
      <c r="CO502" s="5"/>
      <c r="CQ502" s="40"/>
      <c r="CR502" s="5"/>
    </row>
    <row r="503">
      <c r="AL503" s="40"/>
      <c r="AM503" s="5"/>
      <c r="AO503" s="40"/>
      <c r="AP503" s="5"/>
      <c r="AR503" s="40"/>
      <c r="AS503" s="5"/>
      <c r="AU503" s="40"/>
      <c r="AV503" s="5"/>
      <c r="AX503" s="40"/>
      <c r="AY503" s="5"/>
      <c r="BA503" s="40"/>
      <c r="BB503" s="5"/>
      <c r="BD503" s="40"/>
      <c r="BE503" s="5"/>
      <c r="BG503" s="40"/>
      <c r="BH503" s="5"/>
      <c r="BJ503" s="40"/>
      <c r="BK503" s="5"/>
      <c r="BM503" s="40"/>
      <c r="BN503" s="5"/>
      <c r="BP503" s="40"/>
      <c r="BQ503" s="5"/>
      <c r="BS503" s="40"/>
      <c r="BT503" s="5"/>
      <c r="BV503" s="40"/>
      <c r="BW503" s="5"/>
      <c r="BY503" s="40"/>
      <c r="BZ503" s="5"/>
      <c r="CB503" s="40"/>
      <c r="CC503" s="5"/>
      <c r="CE503" s="40"/>
      <c r="CF503" s="5"/>
      <c r="CH503" s="40"/>
      <c r="CI503" s="5"/>
      <c r="CK503" s="40"/>
      <c r="CL503" s="5"/>
      <c r="CN503" s="40"/>
      <c r="CO503" s="5"/>
      <c r="CQ503" s="40"/>
      <c r="CR503" s="5"/>
    </row>
    <row r="504">
      <c r="AL504" s="40"/>
      <c r="AM504" s="5"/>
      <c r="AO504" s="40"/>
      <c r="AP504" s="5"/>
      <c r="AR504" s="40"/>
      <c r="AS504" s="5"/>
      <c r="AU504" s="40"/>
      <c r="AV504" s="5"/>
      <c r="AX504" s="40"/>
      <c r="AY504" s="5"/>
      <c r="BA504" s="40"/>
      <c r="BB504" s="5"/>
      <c r="BD504" s="40"/>
      <c r="BE504" s="5"/>
      <c r="BG504" s="40"/>
      <c r="BH504" s="5"/>
      <c r="BJ504" s="40"/>
      <c r="BK504" s="5"/>
      <c r="BM504" s="40"/>
      <c r="BN504" s="5"/>
      <c r="BP504" s="40"/>
      <c r="BQ504" s="5"/>
      <c r="BS504" s="40"/>
      <c r="BT504" s="5"/>
      <c r="BV504" s="40"/>
      <c r="BW504" s="5"/>
      <c r="BY504" s="40"/>
      <c r="BZ504" s="5"/>
      <c r="CB504" s="40"/>
      <c r="CC504" s="5"/>
      <c r="CE504" s="40"/>
      <c r="CF504" s="5"/>
      <c r="CH504" s="40"/>
      <c r="CI504" s="5"/>
      <c r="CK504" s="40"/>
      <c r="CL504" s="5"/>
      <c r="CN504" s="40"/>
      <c r="CO504" s="5"/>
      <c r="CQ504" s="40"/>
      <c r="CR504" s="5"/>
    </row>
    <row r="505">
      <c r="AL505" s="40"/>
      <c r="AM505" s="5"/>
      <c r="AO505" s="40"/>
      <c r="AP505" s="5"/>
      <c r="AR505" s="40"/>
      <c r="AS505" s="5"/>
      <c r="AU505" s="40"/>
      <c r="AV505" s="5"/>
      <c r="AX505" s="40"/>
      <c r="AY505" s="5"/>
      <c r="BA505" s="40"/>
      <c r="BB505" s="5"/>
      <c r="BD505" s="40"/>
      <c r="BE505" s="5"/>
      <c r="BG505" s="40"/>
      <c r="BH505" s="5"/>
      <c r="BJ505" s="40"/>
      <c r="BK505" s="5"/>
      <c r="BM505" s="40"/>
      <c r="BN505" s="5"/>
      <c r="BP505" s="40"/>
      <c r="BQ505" s="5"/>
      <c r="BS505" s="40"/>
      <c r="BT505" s="5"/>
      <c r="BV505" s="40"/>
      <c r="BW505" s="5"/>
      <c r="BY505" s="40"/>
      <c r="BZ505" s="5"/>
      <c r="CB505" s="40"/>
      <c r="CC505" s="5"/>
      <c r="CE505" s="40"/>
      <c r="CF505" s="5"/>
      <c r="CH505" s="40"/>
      <c r="CI505" s="5"/>
      <c r="CK505" s="40"/>
      <c r="CL505" s="5"/>
      <c r="CN505" s="40"/>
      <c r="CO505" s="5"/>
      <c r="CQ505" s="40"/>
      <c r="CR505" s="5"/>
    </row>
    <row r="506">
      <c r="AL506" s="40"/>
      <c r="AM506" s="5"/>
      <c r="AO506" s="40"/>
      <c r="AP506" s="5"/>
      <c r="AR506" s="40"/>
      <c r="AS506" s="5"/>
      <c r="AU506" s="40"/>
      <c r="AV506" s="5"/>
      <c r="AX506" s="40"/>
      <c r="AY506" s="5"/>
      <c r="BA506" s="40"/>
      <c r="BB506" s="5"/>
      <c r="BD506" s="40"/>
      <c r="BE506" s="5"/>
      <c r="BG506" s="40"/>
      <c r="BH506" s="5"/>
      <c r="BJ506" s="40"/>
      <c r="BK506" s="5"/>
      <c r="BM506" s="40"/>
      <c r="BN506" s="5"/>
      <c r="BP506" s="40"/>
      <c r="BQ506" s="5"/>
      <c r="BS506" s="40"/>
      <c r="BT506" s="5"/>
      <c r="BV506" s="40"/>
      <c r="BW506" s="5"/>
      <c r="BY506" s="40"/>
      <c r="BZ506" s="5"/>
      <c r="CB506" s="40"/>
      <c r="CC506" s="5"/>
      <c r="CE506" s="40"/>
      <c r="CF506" s="5"/>
      <c r="CH506" s="40"/>
      <c r="CI506" s="5"/>
      <c r="CK506" s="40"/>
      <c r="CL506" s="5"/>
      <c r="CN506" s="40"/>
      <c r="CO506" s="5"/>
      <c r="CQ506" s="40"/>
      <c r="CR506" s="5"/>
    </row>
    <row r="507">
      <c r="AL507" s="40"/>
      <c r="AM507" s="5"/>
      <c r="AO507" s="40"/>
      <c r="AP507" s="5"/>
      <c r="AR507" s="40"/>
      <c r="AS507" s="5"/>
      <c r="AU507" s="40"/>
      <c r="AV507" s="5"/>
      <c r="AX507" s="40"/>
      <c r="AY507" s="5"/>
      <c r="BA507" s="40"/>
      <c r="BB507" s="5"/>
      <c r="BD507" s="40"/>
      <c r="BE507" s="5"/>
      <c r="BG507" s="40"/>
      <c r="BH507" s="5"/>
      <c r="BJ507" s="40"/>
      <c r="BK507" s="5"/>
      <c r="BM507" s="40"/>
      <c r="BN507" s="5"/>
      <c r="BP507" s="40"/>
      <c r="BQ507" s="5"/>
      <c r="BS507" s="40"/>
      <c r="BT507" s="5"/>
      <c r="BV507" s="40"/>
      <c r="BW507" s="5"/>
      <c r="BY507" s="40"/>
      <c r="BZ507" s="5"/>
      <c r="CB507" s="40"/>
      <c r="CC507" s="5"/>
      <c r="CE507" s="40"/>
      <c r="CF507" s="5"/>
      <c r="CH507" s="40"/>
      <c r="CI507" s="5"/>
      <c r="CK507" s="40"/>
      <c r="CL507" s="5"/>
      <c r="CN507" s="40"/>
      <c r="CO507" s="5"/>
      <c r="CQ507" s="40"/>
      <c r="CR507" s="5"/>
    </row>
    <row r="508">
      <c r="AL508" s="40"/>
      <c r="AM508" s="5"/>
      <c r="AO508" s="40"/>
      <c r="AP508" s="5"/>
      <c r="AR508" s="40"/>
      <c r="AS508" s="5"/>
      <c r="AU508" s="40"/>
      <c r="AV508" s="5"/>
      <c r="AX508" s="40"/>
      <c r="AY508" s="5"/>
      <c r="BA508" s="40"/>
      <c r="BB508" s="5"/>
      <c r="BD508" s="40"/>
      <c r="BE508" s="5"/>
      <c r="BG508" s="40"/>
      <c r="BH508" s="5"/>
      <c r="BJ508" s="40"/>
      <c r="BK508" s="5"/>
      <c r="BM508" s="40"/>
      <c r="BN508" s="5"/>
      <c r="BP508" s="40"/>
      <c r="BQ508" s="5"/>
      <c r="BS508" s="40"/>
      <c r="BT508" s="5"/>
      <c r="BV508" s="40"/>
      <c r="BW508" s="5"/>
      <c r="BY508" s="40"/>
      <c r="BZ508" s="5"/>
      <c r="CB508" s="40"/>
      <c r="CC508" s="5"/>
      <c r="CE508" s="40"/>
      <c r="CF508" s="5"/>
      <c r="CH508" s="40"/>
      <c r="CI508" s="5"/>
      <c r="CK508" s="40"/>
      <c r="CL508" s="5"/>
      <c r="CN508" s="40"/>
      <c r="CO508" s="5"/>
      <c r="CQ508" s="40"/>
      <c r="CR508" s="5"/>
    </row>
    <row r="509">
      <c r="AL509" s="40"/>
      <c r="AM509" s="5"/>
      <c r="AO509" s="40"/>
      <c r="AP509" s="5"/>
      <c r="AR509" s="40"/>
      <c r="AS509" s="5"/>
      <c r="AU509" s="40"/>
      <c r="AV509" s="5"/>
      <c r="AX509" s="40"/>
      <c r="AY509" s="5"/>
      <c r="BA509" s="40"/>
      <c r="BB509" s="5"/>
      <c r="BD509" s="40"/>
      <c r="BE509" s="5"/>
      <c r="BG509" s="40"/>
      <c r="BH509" s="5"/>
      <c r="BJ509" s="40"/>
      <c r="BK509" s="5"/>
      <c r="BM509" s="40"/>
      <c r="BN509" s="5"/>
      <c r="BP509" s="40"/>
      <c r="BQ509" s="5"/>
      <c r="BS509" s="40"/>
      <c r="BT509" s="5"/>
      <c r="BV509" s="40"/>
      <c r="BW509" s="5"/>
      <c r="BY509" s="40"/>
      <c r="BZ509" s="5"/>
      <c r="CB509" s="40"/>
      <c r="CC509" s="5"/>
      <c r="CE509" s="40"/>
      <c r="CF509" s="5"/>
      <c r="CH509" s="40"/>
      <c r="CI509" s="5"/>
      <c r="CK509" s="40"/>
      <c r="CL509" s="5"/>
      <c r="CN509" s="40"/>
      <c r="CO509" s="5"/>
      <c r="CQ509" s="40"/>
      <c r="CR509" s="5"/>
    </row>
    <row r="510">
      <c r="AL510" s="40"/>
      <c r="AM510" s="5"/>
      <c r="AO510" s="40"/>
      <c r="AP510" s="5"/>
      <c r="AR510" s="40"/>
      <c r="AS510" s="5"/>
      <c r="AU510" s="40"/>
      <c r="AV510" s="5"/>
      <c r="AX510" s="40"/>
      <c r="AY510" s="5"/>
      <c r="BA510" s="40"/>
      <c r="BB510" s="5"/>
      <c r="BD510" s="40"/>
      <c r="BE510" s="5"/>
      <c r="BG510" s="40"/>
      <c r="BH510" s="5"/>
      <c r="BJ510" s="40"/>
      <c r="BK510" s="5"/>
      <c r="BM510" s="40"/>
      <c r="BN510" s="5"/>
      <c r="BP510" s="40"/>
      <c r="BQ510" s="5"/>
      <c r="BS510" s="40"/>
      <c r="BT510" s="5"/>
      <c r="BV510" s="40"/>
      <c r="BW510" s="5"/>
      <c r="BY510" s="40"/>
      <c r="BZ510" s="5"/>
      <c r="CB510" s="40"/>
      <c r="CC510" s="5"/>
      <c r="CE510" s="40"/>
      <c r="CF510" s="5"/>
      <c r="CH510" s="40"/>
      <c r="CI510" s="5"/>
      <c r="CK510" s="40"/>
      <c r="CL510" s="5"/>
      <c r="CN510" s="40"/>
      <c r="CO510" s="5"/>
      <c r="CQ510" s="40"/>
      <c r="CR510" s="5"/>
    </row>
    <row r="511">
      <c r="AL511" s="40"/>
      <c r="AM511" s="5"/>
      <c r="AO511" s="40"/>
      <c r="AP511" s="5"/>
      <c r="AR511" s="40"/>
      <c r="AS511" s="5"/>
      <c r="AU511" s="40"/>
      <c r="AV511" s="5"/>
      <c r="AX511" s="40"/>
      <c r="AY511" s="5"/>
      <c r="BA511" s="40"/>
      <c r="BB511" s="5"/>
      <c r="BD511" s="40"/>
      <c r="BE511" s="5"/>
      <c r="BG511" s="40"/>
      <c r="BH511" s="5"/>
      <c r="BJ511" s="40"/>
      <c r="BK511" s="5"/>
      <c r="BM511" s="40"/>
      <c r="BN511" s="5"/>
      <c r="BP511" s="40"/>
      <c r="BQ511" s="5"/>
      <c r="BS511" s="40"/>
      <c r="BT511" s="5"/>
      <c r="BV511" s="40"/>
      <c r="BW511" s="5"/>
      <c r="BY511" s="40"/>
      <c r="BZ511" s="5"/>
      <c r="CB511" s="40"/>
      <c r="CC511" s="5"/>
      <c r="CE511" s="40"/>
      <c r="CF511" s="5"/>
      <c r="CH511" s="40"/>
      <c r="CI511" s="5"/>
      <c r="CK511" s="40"/>
      <c r="CL511" s="5"/>
      <c r="CN511" s="40"/>
      <c r="CO511" s="5"/>
      <c r="CQ511" s="40"/>
      <c r="CR511" s="5"/>
    </row>
    <row r="512">
      <c r="AL512" s="40"/>
      <c r="AM512" s="5"/>
      <c r="AO512" s="40"/>
      <c r="AP512" s="5"/>
      <c r="AR512" s="40"/>
      <c r="AS512" s="5"/>
      <c r="AU512" s="40"/>
      <c r="AV512" s="5"/>
      <c r="AX512" s="40"/>
      <c r="AY512" s="5"/>
      <c r="BA512" s="40"/>
      <c r="BB512" s="5"/>
      <c r="BD512" s="40"/>
      <c r="BE512" s="5"/>
      <c r="BG512" s="40"/>
      <c r="BH512" s="5"/>
      <c r="BJ512" s="40"/>
      <c r="BK512" s="5"/>
      <c r="BM512" s="40"/>
      <c r="BN512" s="5"/>
      <c r="BP512" s="40"/>
      <c r="BQ512" s="5"/>
      <c r="BS512" s="40"/>
      <c r="BT512" s="5"/>
      <c r="BV512" s="40"/>
      <c r="BW512" s="5"/>
      <c r="BY512" s="40"/>
      <c r="BZ512" s="5"/>
      <c r="CB512" s="40"/>
      <c r="CC512" s="5"/>
      <c r="CE512" s="40"/>
      <c r="CF512" s="5"/>
      <c r="CH512" s="40"/>
      <c r="CI512" s="5"/>
      <c r="CK512" s="40"/>
      <c r="CL512" s="5"/>
      <c r="CN512" s="40"/>
      <c r="CO512" s="5"/>
      <c r="CQ512" s="40"/>
      <c r="CR512" s="5"/>
    </row>
    <row r="513">
      <c r="AL513" s="40"/>
      <c r="AM513" s="5"/>
      <c r="AO513" s="40"/>
      <c r="AP513" s="5"/>
      <c r="AR513" s="40"/>
      <c r="AS513" s="5"/>
      <c r="AU513" s="40"/>
      <c r="AV513" s="5"/>
      <c r="AX513" s="40"/>
      <c r="AY513" s="5"/>
      <c r="BA513" s="40"/>
      <c r="BB513" s="5"/>
      <c r="BD513" s="40"/>
      <c r="BE513" s="5"/>
      <c r="BG513" s="40"/>
      <c r="BH513" s="5"/>
      <c r="BJ513" s="40"/>
      <c r="BK513" s="5"/>
      <c r="BM513" s="40"/>
      <c r="BN513" s="5"/>
      <c r="BP513" s="40"/>
      <c r="BQ513" s="5"/>
      <c r="BS513" s="40"/>
      <c r="BT513" s="5"/>
      <c r="BV513" s="40"/>
      <c r="BW513" s="5"/>
      <c r="BY513" s="40"/>
      <c r="BZ513" s="5"/>
      <c r="CB513" s="40"/>
      <c r="CC513" s="5"/>
      <c r="CE513" s="40"/>
      <c r="CF513" s="5"/>
      <c r="CH513" s="40"/>
      <c r="CI513" s="5"/>
      <c r="CK513" s="40"/>
      <c r="CL513" s="5"/>
      <c r="CN513" s="40"/>
      <c r="CO513" s="5"/>
      <c r="CQ513" s="40"/>
      <c r="CR513" s="5"/>
    </row>
    <row r="514">
      <c r="AL514" s="40"/>
      <c r="AM514" s="5"/>
      <c r="AO514" s="40"/>
      <c r="AP514" s="5"/>
      <c r="AR514" s="40"/>
      <c r="AS514" s="5"/>
      <c r="AU514" s="40"/>
      <c r="AV514" s="5"/>
      <c r="AX514" s="40"/>
      <c r="AY514" s="5"/>
      <c r="BA514" s="40"/>
      <c r="BB514" s="5"/>
      <c r="BD514" s="40"/>
      <c r="BE514" s="5"/>
      <c r="BG514" s="40"/>
      <c r="BH514" s="5"/>
      <c r="BJ514" s="40"/>
      <c r="BK514" s="5"/>
      <c r="BM514" s="40"/>
      <c r="BN514" s="5"/>
      <c r="BP514" s="40"/>
      <c r="BQ514" s="5"/>
      <c r="BS514" s="40"/>
      <c r="BT514" s="5"/>
      <c r="BV514" s="40"/>
      <c r="BW514" s="5"/>
      <c r="BY514" s="40"/>
      <c r="BZ514" s="5"/>
      <c r="CB514" s="40"/>
      <c r="CC514" s="5"/>
      <c r="CE514" s="40"/>
      <c r="CF514" s="5"/>
      <c r="CH514" s="40"/>
      <c r="CI514" s="5"/>
      <c r="CK514" s="40"/>
      <c r="CL514" s="5"/>
      <c r="CN514" s="40"/>
      <c r="CO514" s="5"/>
      <c r="CQ514" s="40"/>
      <c r="CR514" s="5"/>
    </row>
    <row r="515">
      <c r="AL515" s="40"/>
      <c r="AM515" s="5"/>
      <c r="AO515" s="40"/>
      <c r="AP515" s="5"/>
      <c r="AR515" s="40"/>
      <c r="AS515" s="5"/>
      <c r="AU515" s="40"/>
      <c r="AV515" s="5"/>
      <c r="AX515" s="40"/>
      <c r="AY515" s="5"/>
      <c r="BA515" s="40"/>
      <c r="BB515" s="5"/>
      <c r="BD515" s="40"/>
      <c r="BE515" s="5"/>
      <c r="BG515" s="40"/>
      <c r="BH515" s="5"/>
      <c r="BJ515" s="40"/>
      <c r="BK515" s="5"/>
      <c r="BM515" s="40"/>
      <c r="BN515" s="5"/>
      <c r="BP515" s="40"/>
      <c r="BQ515" s="5"/>
      <c r="BS515" s="40"/>
      <c r="BT515" s="5"/>
      <c r="BV515" s="40"/>
      <c r="BW515" s="5"/>
      <c r="BY515" s="40"/>
      <c r="BZ515" s="5"/>
      <c r="CB515" s="40"/>
      <c r="CC515" s="5"/>
      <c r="CE515" s="40"/>
      <c r="CF515" s="5"/>
      <c r="CH515" s="40"/>
      <c r="CI515" s="5"/>
      <c r="CK515" s="40"/>
      <c r="CL515" s="5"/>
      <c r="CN515" s="40"/>
      <c r="CO515" s="5"/>
      <c r="CQ515" s="40"/>
      <c r="CR515" s="5"/>
    </row>
    <row r="516">
      <c r="AL516" s="40"/>
      <c r="AM516" s="5"/>
      <c r="AO516" s="40"/>
      <c r="AP516" s="5"/>
      <c r="AR516" s="40"/>
      <c r="AS516" s="5"/>
      <c r="AU516" s="40"/>
      <c r="AV516" s="5"/>
      <c r="AX516" s="40"/>
      <c r="AY516" s="5"/>
      <c r="BA516" s="40"/>
      <c r="BB516" s="5"/>
      <c r="BD516" s="40"/>
      <c r="BE516" s="5"/>
      <c r="BG516" s="40"/>
      <c r="BH516" s="5"/>
      <c r="BJ516" s="40"/>
      <c r="BK516" s="5"/>
      <c r="BM516" s="40"/>
      <c r="BN516" s="5"/>
      <c r="BP516" s="40"/>
      <c r="BQ516" s="5"/>
      <c r="BS516" s="40"/>
      <c r="BT516" s="5"/>
      <c r="BV516" s="40"/>
      <c r="BW516" s="5"/>
      <c r="BY516" s="40"/>
      <c r="BZ516" s="5"/>
      <c r="CB516" s="40"/>
      <c r="CC516" s="5"/>
      <c r="CE516" s="40"/>
      <c r="CF516" s="5"/>
      <c r="CH516" s="40"/>
      <c r="CI516" s="5"/>
      <c r="CK516" s="40"/>
      <c r="CL516" s="5"/>
      <c r="CN516" s="40"/>
      <c r="CO516" s="5"/>
      <c r="CQ516" s="40"/>
      <c r="CR516" s="5"/>
    </row>
    <row r="517">
      <c r="AL517" s="40"/>
      <c r="AM517" s="5"/>
      <c r="AO517" s="40"/>
      <c r="AP517" s="5"/>
      <c r="AR517" s="40"/>
      <c r="AS517" s="5"/>
      <c r="AU517" s="40"/>
      <c r="AV517" s="5"/>
      <c r="AX517" s="40"/>
      <c r="AY517" s="5"/>
      <c r="BA517" s="40"/>
      <c r="BB517" s="5"/>
      <c r="BD517" s="40"/>
      <c r="BE517" s="5"/>
      <c r="BG517" s="40"/>
      <c r="BH517" s="5"/>
      <c r="BJ517" s="40"/>
      <c r="BK517" s="5"/>
      <c r="BM517" s="40"/>
      <c r="BN517" s="5"/>
      <c r="BP517" s="40"/>
      <c r="BQ517" s="5"/>
      <c r="BS517" s="40"/>
      <c r="BT517" s="5"/>
      <c r="BV517" s="40"/>
      <c r="BW517" s="5"/>
      <c r="BY517" s="40"/>
      <c r="BZ517" s="5"/>
      <c r="CB517" s="40"/>
      <c r="CC517" s="5"/>
      <c r="CE517" s="40"/>
      <c r="CF517" s="5"/>
      <c r="CH517" s="40"/>
      <c r="CI517" s="5"/>
      <c r="CK517" s="40"/>
      <c r="CL517" s="5"/>
      <c r="CN517" s="40"/>
      <c r="CO517" s="5"/>
      <c r="CQ517" s="40"/>
      <c r="CR517" s="5"/>
    </row>
    <row r="518">
      <c r="AL518" s="40"/>
      <c r="AM518" s="5"/>
      <c r="AO518" s="40"/>
      <c r="AP518" s="5"/>
      <c r="AR518" s="40"/>
      <c r="AS518" s="5"/>
      <c r="AU518" s="40"/>
      <c r="AV518" s="5"/>
      <c r="AX518" s="40"/>
      <c r="AY518" s="5"/>
      <c r="BA518" s="40"/>
      <c r="BB518" s="5"/>
      <c r="BD518" s="40"/>
      <c r="BE518" s="5"/>
      <c r="BG518" s="40"/>
      <c r="BH518" s="5"/>
      <c r="BJ518" s="40"/>
      <c r="BK518" s="5"/>
      <c r="BM518" s="40"/>
      <c r="BN518" s="5"/>
      <c r="BP518" s="40"/>
      <c r="BQ518" s="5"/>
      <c r="BS518" s="40"/>
      <c r="BT518" s="5"/>
      <c r="BV518" s="40"/>
      <c r="BW518" s="5"/>
      <c r="BY518" s="40"/>
      <c r="BZ518" s="5"/>
      <c r="CB518" s="40"/>
      <c r="CC518" s="5"/>
      <c r="CE518" s="40"/>
      <c r="CF518" s="5"/>
      <c r="CH518" s="40"/>
      <c r="CI518" s="5"/>
      <c r="CK518" s="40"/>
      <c r="CL518" s="5"/>
      <c r="CN518" s="40"/>
      <c r="CO518" s="5"/>
      <c r="CQ518" s="40"/>
      <c r="CR518" s="5"/>
    </row>
    <row r="519">
      <c r="AL519" s="40"/>
      <c r="AM519" s="5"/>
      <c r="AO519" s="40"/>
      <c r="AP519" s="5"/>
      <c r="AR519" s="40"/>
      <c r="AS519" s="5"/>
      <c r="AU519" s="40"/>
      <c r="AV519" s="5"/>
      <c r="AX519" s="40"/>
      <c r="AY519" s="5"/>
      <c r="BA519" s="40"/>
      <c r="BB519" s="5"/>
      <c r="BD519" s="40"/>
      <c r="BE519" s="5"/>
      <c r="BG519" s="40"/>
      <c r="BH519" s="5"/>
      <c r="BJ519" s="40"/>
      <c r="BK519" s="5"/>
      <c r="BM519" s="40"/>
      <c r="BN519" s="5"/>
      <c r="BP519" s="40"/>
      <c r="BQ519" s="5"/>
      <c r="BS519" s="40"/>
      <c r="BT519" s="5"/>
      <c r="BV519" s="40"/>
      <c r="BW519" s="5"/>
      <c r="BY519" s="40"/>
      <c r="BZ519" s="5"/>
      <c r="CB519" s="40"/>
      <c r="CC519" s="5"/>
      <c r="CE519" s="40"/>
      <c r="CF519" s="5"/>
      <c r="CH519" s="40"/>
      <c r="CI519" s="5"/>
      <c r="CK519" s="40"/>
      <c r="CL519" s="5"/>
      <c r="CN519" s="40"/>
      <c r="CO519" s="5"/>
      <c r="CQ519" s="40"/>
      <c r="CR519" s="5"/>
    </row>
    <row r="520">
      <c r="AL520" s="40"/>
      <c r="AM520" s="5"/>
      <c r="AO520" s="40"/>
      <c r="AP520" s="5"/>
      <c r="AR520" s="40"/>
      <c r="AS520" s="5"/>
      <c r="AU520" s="40"/>
      <c r="AV520" s="5"/>
      <c r="AX520" s="40"/>
      <c r="AY520" s="5"/>
      <c r="BA520" s="40"/>
      <c r="BB520" s="5"/>
      <c r="BD520" s="40"/>
      <c r="BE520" s="5"/>
      <c r="BG520" s="40"/>
      <c r="BH520" s="5"/>
      <c r="BJ520" s="40"/>
      <c r="BK520" s="5"/>
      <c r="BM520" s="40"/>
      <c r="BN520" s="5"/>
      <c r="BP520" s="40"/>
      <c r="BQ520" s="5"/>
      <c r="BS520" s="40"/>
      <c r="BT520" s="5"/>
      <c r="BV520" s="40"/>
      <c r="BW520" s="5"/>
      <c r="BY520" s="40"/>
      <c r="BZ520" s="5"/>
      <c r="CB520" s="40"/>
      <c r="CC520" s="5"/>
      <c r="CE520" s="40"/>
      <c r="CF520" s="5"/>
      <c r="CH520" s="40"/>
      <c r="CI520" s="5"/>
      <c r="CK520" s="40"/>
      <c r="CL520" s="5"/>
      <c r="CN520" s="40"/>
      <c r="CO520" s="5"/>
      <c r="CQ520" s="40"/>
      <c r="CR520" s="5"/>
    </row>
    <row r="521">
      <c r="AL521" s="40"/>
      <c r="AM521" s="5"/>
      <c r="AO521" s="40"/>
      <c r="AP521" s="5"/>
      <c r="AR521" s="40"/>
      <c r="AS521" s="5"/>
      <c r="AU521" s="40"/>
      <c r="AV521" s="5"/>
      <c r="AX521" s="40"/>
      <c r="AY521" s="5"/>
      <c r="BA521" s="40"/>
      <c r="BB521" s="5"/>
      <c r="BD521" s="40"/>
      <c r="BE521" s="5"/>
      <c r="BG521" s="40"/>
      <c r="BH521" s="5"/>
      <c r="BJ521" s="40"/>
      <c r="BK521" s="5"/>
      <c r="BM521" s="40"/>
      <c r="BN521" s="5"/>
      <c r="BP521" s="40"/>
      <c r="BQ521" s="5"/>
      <c r="BS521" s="40"/>
      <c r="BT521" s="5"/>
      <c r="BV521" s="40"/>
      <c r="BW521" s="5"/>
      <c r="BY521" s="40"/>
      <c r="BZ521" s="5"/>
      <c r="CB521" s="40"/>
      <c r="CC521" s="5"/>
      <c r="CE521" s="40"/>
      <c r="CF521" s="5"/>
      <c r="CH521" s="40"/>
      <c r="CI521" s="5"/>
      <c r="CK521" s="40"/>
      <c r="CL521" s="5"/>
      <c r="CN521" s="40"/>
      <c r="CO521" s="5"/>
      <c r="CQ521" s="40"/>
      <c r="CR521" s="5"/>
    </row>
    <row r="522">
      <c r="AL522" s="40"/>
      <c r="AM522" s="5"/>
      <c r="AO522" s="40"/>
      <c r="AP522" s="5"/>
      <c r="AR522" s="40"/>
      <c r="AS522" s="5"/>
      <c r="AU522" s="40"/>
      <c r="AV522" s="5"/>
      <c r="AX522" s="40"/>
      <c r="AY522" s="5"/>
      <c r="BA522" s="40"/>
      <c r="BB522" s="5"/>
      <c r="BD522" s="40"/>
      <c r="BE522" s="5"/>
      <c r="BG522" s="40"/>
      <c r="BH522" s="5"/>
      <c r="BJ522" s="40"/>
      <c r="BK522" s="5"/>
      <c r="BM522" s="40"/>
      <c r="BN522" s="5"/>
      <c r="BP522" s="40"/>
      <c r="BQ522" s="5"/>
      <c r="BS522" s="40"/>
      <c r="BT522" s="5"/>
      <c r="BV522" s="40"/>
      <c r="BW522" s="5"/>
      <c r="BY522" s="40"/>
      <c r="BZ522" s="5"/>
      <c r="CB522" s="40"/>
      <c r="CC522" s="5"/>
      <c r="CE522" s="40"/>
      <c r="CF522" s="5"/>
      <c r="CH522" s="40"/>
      <c r="CI522" s="5"/>
      <c r="CK522" s="40"/>
      <c r="CL522" s="5"/>
      <c r="CN522" s="40"/>
      <c r="CO522" s="5"/>
      <c r="CQ522" s="40"/>
      <c r="CR522" s="5"/>
    </row>
    <row r="523">
      <c r="AL523" s="40"/>
      <c r="AM523" s="5"/>
      <c r="AO523" s="40"/>
      <c r="AP523" s="5"/>
      <c r="AR523" s="40"/>
      <c r="AS523" s="5"/>
      <c r="AU523" s="40"/>
      <c r="AV523" s="5"/>
      <c r="AX523" s="40"/>
      <c r="AY523" s="5"/>
      <c r="BA523" s="40"/>
      <c r="BB523" s="5"/>
      <c r="BD523" s="40"/>
      <c r="BE523" s="5"/>
      <c r="BG523" s="40"/>
      <c r="BH523" s="5"/>
      <c r="BJ523" s="40"/>
      <c r="BK523" s="5"/>
      <c r="BM523" s="40"/>
      <c r="BN523" s="5"/>
      <c r="BP523" s="40"/>
      <c r="BQ523" s="5"/>
      <c r="BS523" s="40"/>
      <c r="BT523" s="5"/>
      <c r="BV523" s="40"/>
      <c r="BW523" s="5"/>
      <c r="BY523" s="40"/>
      <c r="BZ523" s="5"/>
      <c r="CB523" s="40"/>
      <c r="CC523" s="5"/>
      <c r="CE523" s="40"/>
      <c r="CF523" s="5"/>
      <c r="CH523" s="40"/>
      <c r="CI523" s="5"/>
      <c r="CK523" s="40"/>
      <c r="CL523" s="5"/>
      <c r="CN523" s="40"/>
      <c r="CO523" s="5"/>
      <c r="CQ523" s="40"/>
      <c r="CR523" s="5"/>
    </row>
    <row r="524">
      <c r="AL524" s="40"/>
      <c r="AM524" s="5"/>
      <c r="AO524" s="40"/>
      <c r="AP524" s="5"/>
      <c r="AR524" s="40"/>
      <c r="AS524" s="5"/>
      <c r="AU524" s="40"/>
      <c r="AV524" s="5"/>
      <c r="AX524" s="40"/>
      <c r="AY524" s="5"/>
      <c r="BA524" s="40"/>
      <c r="BB524" s="5"/>
      <c r="BD524" s="40"/>
      <c r="BE524" s="5"/>
      <c r="BG524" s="40"/>
      <c r="BH524" s="5"/>
      <c r="BJ524" s="40"/>
      <c r="BK524" s="5"/>
      <c r="BM524" s="40"/>
      <c r="BN524" s="5"/>
      <c r="BP524" s="40"/>
      <c r="BQ524" s="5"/>
      <c r="BS524" s="40"/>
      <c r="BT524" s="5"/>
      <c r="BV524" s="40"/>
      <c r="BW524" s="5"/>
      <c r="BY524" s="40"/>
      <c r="BZ524" s="5"/>
      <c r="CB524" s="40"/>
      <c r="CC524" s="5"/>
      <c r="CE524" s="40"/>
      <c r="CF524" s="5"/>
      <c r="CH524" s="40"/>
      <c r="CI524" s="5"/>
      <c r="CK524" s="40"/>
      <c r="CL524" s="5"/>
      <c r="CN524" s="40"/>
      <c r="CO524" s="5"/>
      <c r="CQ524" s="40"/>
      <c r="CR524" s="5"/>
    </row>
    <row r="525">
      <c r="AL525" s="40"/>
      <c r="AM525" s="5"/>
      <c r="AO525" s="40"/>
      <c r="AP525" s="5"/>
      <c r="AR525" s="40"/>
      <c r="AS525" s="5"/>
      <c r="AU525" s="40"/>
      <c r="AV525" s="5"/>
      <c r="AX525" s="40"/>
      <c r="AY525" s="5"/>
      <c r="BA525" s="40"/>
      <c r="BB525" s="5"/>
      <c r="BD525" s="40"/>
      <c r="BE525" s="5"/>
      <c r="BG525" s="40"/>
      <c r="BH525" s="5"/>
      <c r="BJ525" s="40"/>
      <c r="BK525" s="5"/>
      <c r="BM525" s="40"/>
      <c r="BN525" s="5"/>
      <c r="BP525" s="40"/>
      <c r="BQ525" s="5"/>
      <c r="BS525" s="40"/>
      <c r="BT525" s="5"/>
      <c r="BV525" s="40"/>
      <c r="BW525" s="5"/>
      <c r="BY525" s="40"/>
      <c r="BZ525" s="5"/>
      <c r="CB525" s="40"/>
      <c r="CC525" s="5"/>
      <c r="CE525" s="40"/>
      <c r="CF525" s="5"/>
      <c r="CH525" s="40"/>
      <c r="CI525" s="5"/>
      <c r="CK525" s="40"/>
      <c r="CL525" s="5"/>
      <c r="CN525" s="40"/>
      <c r="CO525" s="5"/>
      <c r="CQ525" s="40"/>
      <c r="CR525" s="5"/>
    </row>
    <row r="526">
      <c r="AL526" s="40"/>
      <c r="AM526" s="5"/>
      <c r="AO526" s="40"/>
      <c r="AP526" s="5"/>
      <c r="AR526" s="40"/>
      <c r="AS526" s="5"/>
      <c r="AU526" s="40"/>
      <c r="AV526" s="5"/>
      <c r="AX526" s="40"/>
      <c r="AY526" s="5"/>
      <c r="BA526" s="40"/>
      <c r="BB526" s="5"/>
      <c r="BD526" s="40"/>
      <c r="BE526" s="5"/>
      <c r="BG526" s="40"/>
      <c r="BH526" s="5"/>
      <c r="BJ526" s="40"/>
      <c r="BK526" s="5"/>
      <c r="BM526" s="40"/>
      <c r="BN526" s="5"/>
      <c r="BP526" s="40"/>
      <c r="BQ526" s="5"/>
      <c r="BS526" s="40"/>
      <c r="BT526" s="5"/>
      <c r="BV526" s="40"/>
      <c r="BW526" s="5"/>
      <c r="BY526" s="40"/>
      <c r="BZ526" s="5"/>
      <c r="CB526" s="40"/>
      <c r="CC526" s="5"/>
      <c r="CE526" s="40"/>
      <c r="CF526" s="5"/>
      <c r="CH526" s="40"/>
      <c r="CI526" s="5"/>
      <c r="CK526" s="40"/>
      <c r="CL526" s="5"/>
      <c r="CN526" s="40"/>
      <c r="CO526" s="5"/>
      <c r="CQ526" s="40"/>
      <c r="CR526" s="5"/>
    </row>
    <row r="527">
      <c r="AL527" s="40"/>
      <c r="AM527" s="5"/>
      <c r="AO527" s="40"/>
      <c r="AP527" s="5"/>
      <c r="AR527" s="40"/>
      <c r="AS527" s="5"/>
      <c r="AU527" s="40"/>
      <c r="AV527" s="5"/>
      <c r="AX527" s="40"/>
      <c r="AY527" s="5"/>
      <c r="BA527" s="40"/>
      <c r="BB527" s="5"/>
      <c r="BD527" s="40"/>
      <c r="BE527" s="5"/>
      <c r="BG527" s="40"/>
      <c r="BH527" s="5"/>
      <c r="BJ527" s="40"/>
      <c r="BK527" s="5"/>
      <c r="BM527" s="40"/>
      <c r="BN527" s="5"/>
      <c r="BP527" s="40"/>
      <c r="BQ527" s="5"/>
      <c r="BS527" s="40"/>
      <c r="BT527" s="5"/>
      <c r="BV527" s="40"/>
      <c r="BW527" s="5"/>
      <c r="BY527" s="40"/>
      <c r="BZ527" s="5"/>
      <c r="CB527" s="40"/>
      <c r="CC527" s="5"/>
      <c r="CE527" s="40"/>
      <c r="CF527" s="5"/>
      <c r="CH527" s="40"/>
      <c r="CI527" s="5"/>
      <c r="CK527" s="40"/>
      <c r="CL527" s="5"/>
      <c r="CN527" s="40"/>
      <c r="CO527" s="5"/>
      <c r="CQ527" s="40"/>
      <c r="CR527" s="5"/>
    </row>
    <row r="528">
      <c r="AL528" s="40"/>
      <c r="AM528" s="5"/>
      <c r="AO528" s="40"/>
      <c r="AP528" s="5"/>
      <c r="AR528" s="40"/>
      <c r="AS528" s="5"/>
      <c r="AU528" s="40"/>
      <c r="AV528" s="5"/>
      <c r="AX528" s="40"/>
      <c r="AY528" s="5"/>
      <c r="BA528" s="40"/>
      <c r="BB528" s="5"/>
      <c r="BD528" s="40"/>
      <c r="BE528" s="5"/>
      <c r="BG528" s="40"/>
      <c r="BH528" s="5"/>
      <c r="BJ528" s="40"/>
      <c r="BK528" s="5"/>
      <c r="BM528" s="40"/>
      <c r="BN528" s="5"/>
      <c r="BP528" s="40"/>
      <c r="BQ528" s="5"/>
      <c r="BS528" s="40"/>
      <c r="BT528" s="5"/>
      <c r="BV528" s="40"/>
      <c r="BW528" s="5"/>
      <c r="BY528" s="40"/>
      <c r="BZ528" s="5"/>
      <c r="CB528" s="40"/>
      <c r="CC528" s="5"/>
      <c r="CE528" s="40"/>
      <c r="CF528" s="5"/>
      <c r="CH528" s="40"/>
      <c r="CI528" s="5"/>
      <c r="CK528" s="40"/>
      <c r="CL528" s="5"/>
      <c r="CN528" s="40"/>
      <c r="CO528" s="5"/>
      <c r="CQ528" s="40"/>
      <c r="CR528" s="5"/>
    </row>
    <row r="529">
      <c r="AL529" s="40"/>
      <c r="AM529" s="5"/>
      <c r="AO529" s="40"/>
      <c r="AP529" s="5"/>
      <c r="AR529" s="40"/>
      <c r="AS529" s="5"/>
      <c r="AU529" s="40"/>
      <c r="AV529" s="5"/>
      <c r="AX529" s="40"/>
      <c r="AY529" s="5"/>
      <c r="BA529" s="40"/>
      <c r="BB529" s="5"/>
      <c r="BD529" s="40"/>
      <c r="BE529" s="5"/>
      <c r="BG529" s="40"/>
      <c r="BH529" s="5"/>
      <c r="BJ529" s="40"/>
      <c r="BK529" s="5"/>
      <c r="BM529" s="40"/>
      <c r="BN529" s="5"/>
      <c r="BP529" s="40"/>
      <c r="BQ529" s="5"/>
      <c r="BS529" s="40"/>
      <c r="BT529" s="5"/>
      <c r="BV529" s="40"/>
      <c r="BW529" s="5"/>
      <c r="BY529" s="40"/>
      <c r="BZ529" s="5"/>
      <c r="CB529" s="40"/>
      <c r="CC529" s="5"/>
      <c r="CE529" s="40"/>
      <c r="CF529" s="5"/>
      <c r="CH529" s="40"/>
      <c r="CI529" s="5"/>
      <c r="CK529" s="40"/>
      <c r="CL529" s="5"/>
      <c r="CN529" s="40"/>
      <c r="CO529" s="5"/>
      <c r="CQ529" s="40"/>
      <c r="CR529" s="5"/>
    </row>
    <row r="530">
      <c r="AL530" s="40"/>
      <c r="AM530" s="5"/>
      <c r="AO530" s="40"/>
      <c r="AP530" s="5"/>
      <c r="AR530" s="40"/>
      <c r="AS530" s="5"/>
      <c r="AU530" s="40"/>
      <c r="AV530" s="5"/>
      <c r="AX530" s="40"/>
      <c r="AY530" s="5"/>
      <c r="BA530" s="40"/>
      <c r="BB530" s="5"/>
      <c r="BD530" s="40"/>
      <c r="BE530" s="5"/>
      <c r="BG530" s="40"/>
      <c r="BH530" s="5"/>
      <c r="BJ530" s="40"/>
      <c r="BK530" s="5"/>
      <c r="BM530" s="40"/>
      <c r="BN530" s="5"/>
      <c r="BP530" s="40"/>
      <c r="BQ530" s="5"/>
      <c r="BS530" s="40"/>
      <c r="BT530" s="5"/>
      <c r="BV530" s="40"/>
      <c r="BW530" s="5"/>
      <c r="BY530" s="40"/>
      <c r="BZ530" s="5"/>
      <c r="CB530" s="40"/>
      <c r="CC530" s="5"/>
      <c r="CE530" s="40"/>
      <c r="CF530" s="5"/>
      <c r="CH530" s="40"/>
      <c r="CI530" s="5"/>
      <c r="CK530" s="40"/>
      <c r="CL530" s="5"/>
      <c r="CN530" s="40"/>
      <c r="CO530" s="5"/>
      <c r="CQ530" s="40"/>
      <c r="CR530" s="5"/>
    </row>
    <row r="531">
      <c r="AL531" s="40"/>
      <c r="AM531" s="5"/>
      <c r="AO531" s="40"/>
      <c r="AP531" s="5"/>
      <c r="AR531" s="40"/>
      <c r="AS531" s="5"/>
      <c r="AU531" s="40"/>
      <c r="AV531" s="5"/>
      <c r="AX531" s="40"/>
      <c r="AY531" s="5"/>
      <c r="BA531" s="40"/>
      <c r="BB531" s="5"/>
      <c r="BD531" s="40"/>
      <c r="BE531" s="5"/>
      <c r="BG531" s="40"/>
      <c r="BH531" s="5"/>
      <c r="BJ531" s="40"/>
      <c r="BK531" s="5"/>
      <c r="BM531" s="40"/>
      <c r="BN531" s="5"/>
      <c r="BP531" s="40"/>
      <c r="BQ531" s="5"/>
      <c r="BS531" s="40"/>
      <c r="BT531" s="5"/>
      <c r="BV531" s="40"/>
      <c r="BW531" s="5"/>
      <c r="BY531" s="40"/>
      <c r="BZ531" s="5"/>
      <c r="CB531" s="40"/>
      <c r="CC531" s="5"/>
      <c r="CE531" s="40"/>
      <c r="CF531" s="5"/>
      <c r="CH531" s="40"/>
      <c r="CI531" s="5"/>
      <c r="CK531" s="40"/>
      <c r="CL531" s="5"/>
      <c r="CN531" s="40"/>
      <c r="CO531" s="5"/>
      <c r="CQ531" s="40"/>
      <c r="CR531" s="5"/>
    </row>
    <row r="532">
      <c r="AL532" s="40"/>
      <c r="AM532" s="5"/>
      <c r="AO532" s="40"/>
      <c r="AP532" s="5"/>
      <c r="AR532" s="40"/>
      <c r="AS532" s="5"/>
      <c r="AU532" s="40"/>
      <c r="AV532" s="5"/>
      <c r="AX532" s="40"/>
      <c r="AY532" s="5"/>
      <c r="BA532" s="40"/>
      <c r="BB532" s="5"/>
      <c r="BD532" s="40"/>
      <c r="BE532" s="5"/>
      <c r="BG532" s="40"/>
      <c r="BH532" s="5"/>
      <c r="BJ532" s="40"/>
      <c r="BK532" s="5"/>
      <c r="BM532" s="40"/>
      <c r="BN532" s="5"/>
      <c r="BP532" s="40"/>
      <c r="BQ532" s="5"/>
      <c r="BS532" s="40"/>
      <c r="BT532" s="5"/>
      <c r="BV532" s="40"/>
      <c r="BW532" s="5"/>
      <c r="BY532" s="40"/>
      <c r="BZ532" s="5"/>
      <c r="CB532" s="40"/>
      <c r="CC532" s="5"/>
      <c r="CE532" s="40"/>
      <c r="CF532" s="5"/>
      <c r="CH532" s="40"/>
      <c r="CI532" s="5"/>
      <c r="CK532" s="40"/>
      <c r="CL532" s="5"/>
      <c r="CN532" s="40"/>
      <c r="CO532" s="5"/>
      <c r="CQ532" s="40"/>
      <c r="CR532" s="5"/>
    </row>
    <row r="533">
      <c r="AL533" s="40"/>
      <c r="AM533" s="5"/>
      <c r="AO533" s="40"/>
      <c r="AP533" s="5"/>
      <c r="AR533" s="40"/>
      <c r="AS533" s="5"/>
      <c r="AU533" s="40"/>
      <c r="AV533" s="5"/>
      <c r="AX533" s="40"/>
      <c r="AY533" s="5"/>
      <c r="BA533" s="40"/>
      <c r="BB533" s="5"/>
      <c r="BD533" s="40"/>
      <c r="BE533" s="5"/>
      <c r="BG533" s="40"/>
      <c r="BH533" s="5"/>
      <c r="BJ533" s="40"/>
      <c r="BK533" s="5"/>
      <c r="BM533" s="40"/>
      <c r="BN533" s="5"/>
      <c r="BP533" s="40"/>
      <c r="BQ533" s="5"/>
      <c r="BS533" s="40"/>
      <c r="BT533" s="5"/>
      <c r="BV533" s="40"/>
      <c r="BW533" s="5"/>
      <c r="BY533" s="40"/>
      <c r="BZ533" s="5"/>
      <c r="CB533" s="40"/>
      <c r="CC533" s="5"/>
      <c r="CE533" s="40"/>
      <c r="CF533" s="5"/>
      <c r="CH533" s="40"/>
      <c r="CI533" s="5"/>
      <c r="CK533" s="40"/>
      <c r="CL533" s="5"/>
      <c r="CN533" s="40"/>
      <c r="CO533" s="5"/>
      <c r="CQ533" s="40"/>
      <c r="CR533" s="5"/>
    </row>
    <row r="534">
      <c r="AL534" s="40"/>
      <c r="AM534" s="5"/>
      <c r="AO534" s="40"/>
      <c r="AP534" s="5"/>
      <c r="AR534" s="40"/>
      <c r="AS534" s="5"/>
      <c r="AU534" s="40"/>
      <c r="AV534" s="5"/>
      <c r="AX534" s="40"/>
      <c r="AY534" s="5"/>
      <c r="BA534" s="40"/>
      <c r="BB534" s="5"/>
      <c r="BD534" s="40"/>
      <c r="BE534" s="5"/>
      <c r="BG534" s="40"/>
      <c r="BH534" s="5"/>
      <c r="BJ534" s="40"/>
      <c r="BK534" s="5"/>
      <c r="BM534" s="40"/>
      <c r="BN534" s="5"/>
      <c r="BP534" s="40"/>
      <c r="BQ534" s="5"/>
      <c r="BS534" s="40"/>
      <c r="BT534" s="5"/>
      <c r="BV534" s="40"/>
      <c r="BW534" s="5"/>
      <c r="BY534" s="40"/>
      <c r="BZ534" s="5"/>
      <c r="CB534" s="40"/>
      <c r="CC534" s="5"/>
      <c r="CE534" s="40"/>
      <c r="CF534" s="5"/>
      <c r="CH534" s="40"/>
      <c r="CI534" s="5"/>
      <c r="CK534" s="40"/>
      <c r="CL534" s="5"/>
      <c r="CN534" s="40"/>
      <c r="CO534" s="5"/>
      <c r="CQ534" s="40"/>
      <c r="CR534" s="5"/>
    </row>
    <row r="535">
      <c r="AL535" s="40"/>
      <c r="AM535" s="5"/>
      <c r="AO535" s="40"/>
      <c r="AP535" s="5"/>
      <c r="AR535" s="40"/>
      <c r="AS535" s="5"/>
      <c r="AU535" s="40"/>
      <c r="AV535" s="5"/>
      <c r="AX535" s="40"/>
      <c r="AY535" s="5"/>
      <c r="BA535" s="40"/>
      <c r="BB535" s="5"/>
      <c r="BD535" s="40"/>
      <c r="BE535" s="5"/>
      <c r="BG535" s="40"/>
      <c r="BH535" s="5"/>
      <c r="BJ535" s="40"/>
      <c r="BK535" s="5"/>
      <c r="BM535" s="40"/>
      <c r="BN535" s="5"/>
      <c r="BP535" s="40"/>
      <c r="BQ535" s="5"/>
      <c r="BS535" s="40"/>
      <c r="BT535" s="5"/>
      <c r="BV535" s="40"/>
      <c r="BW535" s="5"/>
      <c r="BY535" s="40"/>
      <c r="BZ535" s="5"/>
      <c r="CB535" s="40"/>
      <c r="CC535" s="5"/>
      <c r="CE535" s="40"/>
      <c r="CF535" s="5"/>
      <c r="CH535" s="40"/>
      <c r="CI535" s="5"/>
      <c r="CK535" s="40"/>
      <c r="CL535" s="5"/>
      <c r="CN535" s="40"/>
      <c r="CO535" s="5"/>
      <c r="CQ535" s="40"/>
      <c r="CR535" s="5"/>
    </row>
    <row r="536">
      <c r="AL536" s="40"/>
      <c r="AM536" s="5"/>
      <c r="AO536" s="40"/>
      <c r="AP536" s="5"/>
      <c r="AR536" s="40"/>
      <c r="AS536" s="5"/>
      <c r="AU536" s="40"/>
      <c r="AV536" s="5"/>
      <c r="AX536" s="40"/>
      <c r="AY536" s="5"/>
      <c r="BA536" s="40"/>
      <c r="BB536" s="5"/>
      <c r="BD536" s="40"/>
      <c r="BE536" s="5"/>
      <c r="BG536" s="40"/>
      <c r="BH536" s="5"/>
      <c r="BJ536" s="40"/>
      <c r="BK536" s="5"/>
      <c r="BM536" s="40"/>
      <c r="BN536" s="5"/>
      <c r="BP536" s="40"/>
      <c r="BQ536" s="5"/>
      <c r="BS536" s="40"/>
      <c r="BT536" s="5"/>
      <c r="BV536" s="40"/>
      <c r="BW536" s="5"/>
      <c r="BY536" s="40"/>
      <c r="BZ536" s="5"/>
      <c r="CB536" s="40"/>
      <c r="CC536" s="5"/>
      <c r="CE536" s="40"/>
      <c r="CF536" s="5"/>
      <c r="CH536" s="40"/>
      <c r="CI536" s="5"/>
      <c r="CK536" s="40"/>
      <c r="CL536" s="5"/>
      <c r="CN536" s="40"/>
      <c r="CO536" s="5"/>
      <c r="CQ536" s="40"/>
      <c r="CR536" s="5"/>
    </row>
    <row r="537">
      <c r="AL537" s="40"/>
      <c r="AM537" s="5"/>
      <c r="AO537" s="40"/>
      <c r="AP537" s="5"/>
      <c r="AR537" s="40"/>
      <c r="AS537" s="5"/>
      <c r="AU537" s="40"/>
      <c r="AV537" s="5"/>
      <c r="AX537" s="40"/>
      <c r="AY537" s="5"/>
      <c r="BA537" s="40"/>
      <c r="BB537" s="5"/>
      <c r="BD537" s="40"/>
      <c r="BE537" s="5"/>
      <c r="BG537" s="40"/>
      <c r="BH537" s="5"/>
      <c r="BJ537" s="40"/>
      <c r="BK537" s="5"/>
      <c r="BM537" s="40"/>
      <c r="BN537" s="5"/>
      <c r="BP537" s="40"/>
      <c r="BQ537" s="5"/>
      <c r="BS537" s="40"/>
      <c r="BT537" s="5"/>
      <c r="BV537" s="40"/>
      <c r="BW537" s="5"/>
      <c r="BY537" s="40"/>
      <c r="BZ537" s="5"/>
      <c r="CB537" s="40"/>
      <c r="CC537" s="5"/>
      <c r="CE537" s="40"/>
      <c r="CF537" s="5"/>
      <c r="CH537" s="40"/>
      <c r="CI537" s="5"/>
      <c r="CK537" s="40"/>
      <c r="CL537" s="5"/>
      <c r="CN537" s="40"/>
      <c r="CO537" s="5"/>
      <c r="CQ537" s="40"/>
      <c r="CR537" s="5"/>
    </row>
    <row r="538">
      <c r="AL538" s="40"/>
      <c r="AM538" s="5"/>
      <c r="AO538" s="40"/>
      <c r="AP538" s="5"/>
      <c r="AR538" s="40"/>
      <c r="AS538" s="5"/>
      <c r="AU538" s="40"/>
      <c r="AV538" s="5"/>
      <c r="AX538" s="40"/>
      <c r="AY538" s="5"/>
      <c r="BA538" s="40"/>
      <c r="BB538" s="5"/>
      <c r="BD538" s="40"/>
      <c r="BE538" s="5"/>
      <c r="BG538" s="40"/>
      <c r="BH538" s="5"/>
      <c r="BJ538" s="40"/>
      <c r="BK538" s="5"/>
      <c r="BM538" s="40"/>
      <c r="BN538" s="5"/>
      <c r="BP538" s="40"/>
      <c r="BQ538" s="5"/>
      <c r="BS538" s="40"/>
      <c r="BT538" s="5"/>
      <c r="BV538" s="40"/>
      <c r="BW538" s="5"/>
      <c r="BY538" s="40"/>
      <c r="BZ538" s="5"/>
      <c r="CB538" s="40"/>
      <c r="CC538" s="5"/>
      <c r="CE538" s="40"/>
      <c r="CF538" s="5"/>
      <c r="CH538" s="40"/>
      <c r="CI538" s="5"/>
      <c r="CK538" s="40"/>
      <c r="CL538" s="5"/>
      <c r="CN538" s="40"/>
      <c r="CO538" s="5"/>
      <c r="CQ538" s="40"/>
      <c r="CR538" s="5"/>
    </row>
    <row r="539">
      <c r="AL539" s="40"/>
      <c r="AM539" s="5"/>
      <c r="AO539" s="40"/>
      <c r="AP539" s="5"/>
      <c r="AR539" s="40"/>
      <c r="AS539" s="5"/>
      <c r="AU539" s="40"/>
      <c r="AV539" s="5"/>
      <c r="AX539" s="40"/>
      <c r="AY539" s="5"/>
      <c r="BA539" s="40"/>
      <c r="BB539" s="5"/>
      <c r="BD539" s="40"/>
      <c r="BE539" s="5"/>
      <c r="BG539" s="40"/>
      <c r="BH539" s="5"/>
      <c r="BJ539" s="40"/>
      <c r="BK539" s="5"/>
      <c r="BM539" s="40"/>
      <c r="BN539" s="5"/>
      <c r="BP539" s="40"/>
      <c r="BQ539" s="5"/>
      <c r="BS539" s="40"/>
      <c r="BT539" s="5"/>
      <c r="BV539" s="40"/>
      <c r="BW539" s="5"/>
      <c r="BY539" s="40"/>
      <c r="BZ539" s="5"/>
      <c r="CB539" s="40"/>
      <c r="CC539" s="5"/>
      <c r="CE539" s="40"/>
      <c r="CF539" s="5"/>
      <c r="CH539" s="40"/>
      <c r="CI539" s="5"/>
      <c r="CK539" s="40"/>
      <c r="CL539" s="5"/>
      <c r="CN539" s="40"/>
      <c r="CO539" s="5"/>
      <c r="CQ539" s="40"/>
      <c r="CR539" s="5"/>
    </row>
    <row r="540">
      <c r="AL540" s="40"/>
      <c r="AM540" s="5"/>
      <c r="AO540" s="40"/>
      <c r="AP540" s="5"/>
      <c r="AR540" s="40"/>
      <c r="AS540" s="5"/>
      <c r="AU540" s="40"/>
      <c r="AV540" s="5"/>
      <c r="AX540" s="40"/>
      <c r="AY540" s="5"/>
      <c r="BA540" s="40"/>
      <c r="BB540" s="5"/>
      <c r="BD540" s="40"/>
      <c r="BE540" s="5"/>
      <c r="BG540" s="40"/>
      <c r="BH540" s="5"/>
      <c r="BJ540" s="40"/>
      <c r="BK540" s="5"/>
      <c r="BM540" s="40"/>
      <c r="BN540" s="5"/>
      <c r="BP540" s="40"/>
      <c r="BQ540" s="5"/>
      <c r="BS540" s="40"/>
      <c r="BT540" s="5"/>
      <c r="BV540" s="40"/>
      <c r="BW540" s="5"/>
      <c r="BY540" s="40"/>
      <c r="BZ540" s="5"/>
      <c r="CB540" s="40"/>
      <c r="CC540" s="5"/>
      <c r="CE540" s="40"/>
      <c r="CF540" s="5"/>
      <c r="CH540" s="40"/>
      <c r="CI540" s="5"/>
      <c r="CK540" s="40"/>
      <c r="CL540" s="5"/>
      <c r="CN540" s="40"/>
      <c r="CO540" s="5"/>
      <c r="CQ540" s="40"/>
      <c r="CR540" s="5"/>
    </row>
    <row r="541">
      <c r="AL541" s="40"/>
      <c r="AM541" s="5"/>
      <c r="AO541" s="40"/>
      <c r="AP541" s="5"/>
      <c r="AR541" s="40"/>
      <c r="AS541" s="5"/>
      <c r="AU541" s="40"/>
      <c r="AV541" s="5"/>
      <c r="AX541" s="40"/>
      <c r="AY541" s="5"/>
      <c r="BA541" s="40"/>
      <c r="BB541" s="5"/>
      <c r="BD541" s="40"/>
      <c r="BE541" s="5"/>
      <c r="BG541" s="40"/>
      <c r="BH541" s="5"/>
      <c r="BJ541" s="40"/>
      <c r="BK541" s="5"/>
      <c r="BM541" s="40"/>
      <c r="BN541" s="5"/>
      <c r="BP541" s="40"/>
      <c r="BQ541" s="5"/>
      <c r="BS541" s="40"/>
      <c r="BT541" s="5"/>
      <c r="BV541" s="40"/>
      <c r="BW541" s="5"/>
      <c r="BY541" s="40"/>
      <c r="BZ541" s="5"/>
      <c r="CB541" s="40"/>
      <c r="CC541" s="5"/>
      <c r="CE541" s="40"/>
      <c r="CF541" s="5"/>
      <c r="CH541" s="40"/>
      <c r="CI541" s="5"/>
      <c r="CK541" s="40"/>
      <c r="CL541" s="5"/>
      <c r="CN541" s="40"/>
      <c r="CO541" s="5"/>
      <c r="CQ541" s="40"/>
      <c r="CR541" s="5"/>
    </row>
    <row r="542">
      <c r="AL542" s="40"/>
      <c r="AM542" s="5"/>
      <c r="AO542" s="40"/>
      <c r="AP542" s="5"/>
      <c r="AR542" s="40"/>
      <c r="AS542" s="5"/>
      <c r="AU542" s="40"/>
      <c r="AV542" s="5"/>
      <c r="AX542" s="40"/>
      <c r="AY542" s="5"/>
      <c r="BA542" s="40"/>
      <c r="BB542" s="5"/>
      <c r="BD542" s="40"/>
      <c r="BE542" s="5"/>
      <c r="BG542" s="40"/>
      <c r="BH542" s="5"/>
      <c r="BJ542" s="40"/>
      <c r="BK542" s="5"/>
      <c r="BM542" s="40"/>
      <c r="BN542" s="5"/>
      <c r="BP542" s="40"/>
      <c r="BQ542" s="5"/>
      <c r="BS542" s="40"/>
      <c r="BT542" s="5"/>
      <c r="BV542" s="40"/>
      <c r="BW542" s="5"/>
      <c r="BY542" s="40"/>
      <c r="BZ542" s="5"/>
      <c r="CB542" s="40"/>
      <c r="CC542" s="5"/>
      <c r="CE542" s="40"/>
      <c r="CF542" s="5"/>
      <c r="CH542" s="40"/>
      <c r="CI542" s="5"/>
      <c r="CK542" s="40"/>
      <c r="CL542" s="5"/>
      <c r="CN542" s="40"/>
      <c r="CO542" s="5"/>
      <c r="CQ542" s="40"/>
      <c r="CR542" s="5"/>
    </row>
    <row r="543">
      <c r="AL543" s="40"/>
      <c r="AM543" s="5"/>
      <c r="AO543" s="40"/>
      <c r="AP543" s="5"/>
      <c r="AR543" s="40"/>
      <c r="AS543" s="5"/>
      <c r="AU543" s="40"/>
      <c r="AV543" s="5"/>
      <c r="AX543" s="40"/>
      <c r="AY543" s="5"/>
      <c r="BA543" s="40"/>
      <c r="BB543" s="5"/>
      <c r="BD543" s="40"/>
      <c r="BE543" s="5"/>
      <c r="BG543" s="40"/>
      <c r="BH543" s="5"/>
      <c r="BJ543" s="40"/>
      <c r="BK543" s="5"/>
      <c r="BM543" s="40"/>
      <c r="BN543" s="5"/>
      <c r="BP543" s="40"/>
      <c r="BQ543" s="5"/>
      <c r="BS543" s="40"/>
      <c r="BT543" s="5"/>
      <c r="BV543" s="40"/>
      <c r="BW543" s="5"/>
      <c r="BY543" s="40"/>
      <c r="BZ543" s="5"/>
      <c r="CB543" s="40"/>
      <c r="CC543" s="5"/>
      <c r="CE543" s="40"/>
      <c r="CF543" s="5"/>
      <c r="CH543" s="40"/>
      <c r="CI543" s="5"/>
      <c r="CK543" s="40"/>
      <c r="CL543" s="5"/>
      <c r="CN543" s="40"/>
      <c r="CO543" s="5"/>
      <c r="CQ543" s="40"/>
      <c r="CR543" s="5"/>
    </row>
    <row r="544">
      <c r="AL544" s="40"/>
      <c r="AM544" s="5"/>
      <c r="AO544" s="40"/>
      <c r="AP544" s="5"/>
      <c r="AR544" s="40"/>
      <c r="AS544" s="5"/>
      <c r="AU544" s="40"/>
      <c r="AV544" s="5"/>
      <c r="AX544" s="40"/>
      <c r="AY544" s="5"/>
      <c r="BA544" s="40"/>
      <c r="BB544" s="5"/>
      <c r="BD544" s="40"/>
      <c r="BE544" s="5"/>
      <c r="BG544" s="40"/>
      <c r="BH544" s="5"/>
      <c r="BJ544" s="40"/>
      <c r="BK544" s="5"/>
      <c r="BM544" s="40"/>
      <c r="BN544" s="5"/>
      <c r="BP544" s="40"/>
      <c r="BQ544" s="5"/>
      <c r="BS544" s="40"/>
      <c r="BT544" s="5"/>
      <c r="BV544" s="40"/>
      <c r="BW544" s="5"/>
      <c r="BY544" s="40"/>
      <c r="BZ544" s="5"/>
      <c r="CB544" s="40"/>
      <c r="CC544" s="5"/>
      <c r="CE544" s="40"/>
      <c r="CF544" s="5"/>
      <c r="CH544" s="40"/>
      <c r="CI544" s="5"/>
      <c r="CK544" s="40"/>
      <c r="CL544" s="5"/>
      <c r="CN544" s="40"/>
      <c r="CO544" s="5"/>
      <c r="CQ544" s="40"/>
      <c r="CR544" s="5"/>
    </row>
    <row r="545">
      <c r="AL545" s="40"/>
      <c r="AM545" s="5"/>
      <c r="AO545" s="40"/>
      <c r="AP545" s="5"/>
      <c r="AR545" s="40"/>
      <c r="AS545" s="5"/>
      <c r="AU545" s="40"/>
      <c r="AV545" s="5"/>
      <c r="AX545" s="40"/>
      <c r="AY545" s="5"/>
      <c r="BA545" s="40"/>
      <c r="BB545" s="5"/>
      <c r="BD545" s="40"/>
      <c r="BE545" s="5"/>
      <c r="BG545" s="40"/>
      <c r="BH545" s="5"/>
      <c r="BJ545" s="40"/>
      <c r="BK545" s="5"/>
      <c r="BM545" s="40"/>
      <c r="BN545" s="5"/>
      <c r="BP545" s="40"/>
      <c r="BQ545" s="5"/>
      <c r="BS545" s="40"/>
      <c r="BT545" s="5"/>
      <c r="BV545" s="40"/>
      <c r="BW545" s="5"/>
      <c r="BY545" s="40"/>
      <c r="BZ545" s="5"/>
      <c r="CB545" s="40"/>
      <c r="CC545" s="5"/>
      <c r="CE545" s="40"/>
      <c r="CF545" s="5"/>
      <c r="CH545" s="40"/>
      <c r="CI545" s="5"/>
      <c r="CK545" s="40"/>
      <c r="CL545" s="5"/>
      <c r="CN545" s="40"/>
      <c r="CO545" s="5"/>
      <c r="CQ545" s="40"/>
      <c r="CR545" s="5"/>
    </row>
    <row r="546">
      <c r="AL546" s="40"/>
      <c r="AM546" s="5"/>
      <c r="AO546" s="40"/>
      <c r="AP546" s="5"/>
      <c r="AR546" s="40"/>
      <c r="AS546" s="5"/>
      <c r="AU546" s="40"/>
      <c r="AV546" s="5"/>
      <c r="AX546" s="40"/>
      <c r="AY546" s="5"/>
      <c r="BA546" s="40"/>
      <c r="BB546" s="5"/>
      <c r="BD546" s="40"/>
      <c r="BE546" s="5"/>
      <c r="BG546" s="40"/>
      <c r="BH546" s="5"/>
      <c r="BJ546" s="40"/>
      <c r="BK546" s="5"/>
      <c r="BM546" s="40"/>
      <c r="BN546" s="5"/>
      <c r="BP546" s="40"/>
      <c r="BQ546" s="5"/>
      <c r="BS546" s="40"/>
      <c r="BT546" s="5"/>
      <c r="BV546" s="40"/>
      <c r="BW546" s="5"/>
      <c r="BY546" s="40"/>
      <c r="BZ546" s="5"/>
      <c r="CB546" s="40"/>
      <c r="CC546" s="5"/>
      <c r="CE546" s="40"/>
      <c r="CF546" s="5"/>
      <c r="CH546" s="40"/>
      <c r="CI546" s="5"/>
      <c r="CK546" s="40"/>
      <c r="CL546" s="5"/>
      <c r="CN546" s="40"/>
      <c r="CO546" s="5"/>
      <c r="CQ546" s="40"/>
      <c r="CR546" s="5"/>
    </row>
    <row r="547">
      <c r="AL547" s="40"/>
      <c r="AM547" s="5"/>
      <c r="AO547" s="40"/>
      <c r="AP547" s="5"/>
      <c r="AR547" s="40"/>
      <c r="AS547" s="5"/>
      <c r="AU547" s="40"/>
      <c r="AV547" s="5"/>
      <c r="AX547" s="40"/>
      <c r="AY547" s="5"/>
      <c r="BA547" s="40"/>
      <c r="BB547" s="5"/>
      <c r="BD547" s="40"/>
      <c r="BE547" s="5"/>
      <c r="BG547" s="40"/>
      <c r="BH547" s="5"/>
      <c r="BJ547" s="40"/>
      <c r="BK547" s="5"/>
      <c r="BM547" s="40"/>
      <c r="BN547" s="5"/>
      <c r="BP547" s="40"/>
      <c r="BQ547" s="5"/>
      <c r="BS547" s="40"/>
      <c r="BT547" s="5"/>
      <c r="BV547" s="40"/>
      <c r="BW547" s="5"/>
      <c r="BY547" s="40"/>
      <c r="BZ547" s="5"/>
      <c r="CB547" s="40"/>
      <c r="CC547" s="5"/>
      <c r="CE547" s="40"/>
      <c r="CF547" s="5"/>
      <c r="CH547" s="40"/>
      <c r="CI547" s="5"/>
      <c r="CK547" s="40"/>
      <c r="CL547" s="5"/>
      <c r="CN547" s="40"/>
      <c r="CO547" s="5"/>
      <c r="CQ547" s="40"/>
      <c r="CR547" s="5"/>
    </row>
    <row r="548">
      <c r="AL548" s="40"/>
      <c r="AM548" s="5"/>
      <c r="AO548" s="40"/>
      <c r="AP548" s="5"/>
      <c r="AR548" s="40"/>
      <c r="AS548" s="5"/>
      <c r="AU548" s="40"/>
      <c r="AV548" s="5"/>
      <c r="AX548" s="40"/>
      <c r="AY548" s="5"/>
      <c r="BA548" s="40"/>
      <c r="BB548" s="5"/>
      <c r="BD548" s="40"/>
      <c r="BE548" s="5"/>
      <c r="BG548" s="40"/>
      <c r="BH548" s="5"/>
      <c r="BJ548" s="40"/>
      <c r="BK548" s="5"/>
      <c r="BM548" s="40"/>
      <c r="BN548" s="5"/>
      <c r="BP548" s="40"/>
      <c r="BQ548" s="5"/>
      <c r="BS548" s="40"/>
      <c r="BT548" s="5"/>
      <c r="BV548" s="40"/>
      <c r="BW548" s="5"/>
      <c r="BY548" s="40"/>
      <c r="BZ548" s="5"/>
      <c r="CB548" s="40"/>
      <c r="CC548" s="5"/>
      <c r="CE548" s="40"/>
      <c r="CF548" s="5"/>
      <c r="CH548" s="40"/>
      <c r="CI548" s="5"/>
      <c r="CK548" s="40"/>
      <c r="CL548" s="5"/>
      <c r="CN548" s="40"/>
      <c r="CO548" s="5"/>
      <c r="CQ548" s="40"/>
      <c r="CR548" s="5"/>
    </row>
    <row r="549">
      <c r="AL549" s="40"/>
      <c r="AM549" s="5"/>
      <c r="AO549" s="40"/>
      <c r="AP549" s="5"/>
      <c r="AR549" s="40"/>
      <c r="AS549" s="5"/>
      <c r="AU549" s="40"/>
      <c r="AV549" s="5"/>
      <c r="AX549" s="40"/>
      <c r="AY549" s="5"/>
      <c r="BA549" s="40"/>
      <c r="BB549" s="5"/>
      <c r="BD549" s="40"/>
      <c r="BE549" s="5"/>
      <c r="BG549" s="40"/>
      <c r="BH549" s="5"/>
      <c r="BJ549" s="40"/>
      <c r="BK549" s="5"/>
      <c r="BM549" s="40"/>
      <c r="BN549" s="5"/>
      <c r="BP549" s="40"/>
      <c r="BQ549" s="5"/>
      <c r="BS549" s="40"/>
      <c r="BT549" s="5"/>
      <c r="BV549" s="40"/>
      <c r="BW549" s="5"/>
      <c r="BY549" s="40"/>
      <c r="BZ549" s="5"/>
      <c r="CB549" s="40"/>
      <c r="CC549" s="5"/>
      <c r="CE549" s="40"/>
      <c r="CF549" s="5"/>
      <c r="CH549" s="40"/>
      <c r="CI549" s="5"/>
      <c r="CK549" s="40"/>
      <c r="CL549" s="5"/>
      <c r="CN549" s="40"/>
      <c r="CO549" s="5"/>
      <c r="CQ549" s="40"/>
      <c r="CR549" s="5"/>
    </row>
    <row r="550">
      <c r="AL550" s="40"/>
      <c r="AM550" s="5"/>
      <c r="AO550" s="40"/>
      <c r="AP550" s="5"/>
      <c r="AR550" s="40"/>
      <c r="AS550" s="5"/>
      <c r="AU550" s="40"/>
      <c r="AV550" s="5"/>
      <c r="AX550" s="40"/>
      <c r="AY550" s="5"/>
      <c r="BA550" s="40"/>
      <c r="BB550" s="5"/>
      <c r="BD550" s="40"/>
      <c r="BE550" s="5"/>
      <c r="BG550" s="40"/>
      <c r="BH550" s="5"/>
      <c r="BJ550" s="40"/>
      <c r="BK550" s="5"/>
      <c r="BM550" s="40"/>
      <c r="BN550" s="5"/>
      <c r="BP550" s="40"/>
      <c r="BQ550" s="5"/>
      <c r="BS550" s="40"/>
      <c r="BT550" s="5"/>
      <c r="BV550" s="40"/>
      <c r="BW550" s="5"/>
      <c r="BY550" s="40"/>
      <c r="BZ550" s="5"/>
      <c r="CB550" s="40"/>
      <c r="CC550" s="5"/>
      <c r="CE550" s="40"/>
      <c r="CF550" s="5"/>
      <c r="CH550" s="40"/>
      <c r="CI550" s="5"/>
      <c r="CK550" s="40"/>
      <c r="CL550" s="5"/>
      <c r="CN550" s="40"/>
      <c r="CO550" s="5"/>
      <c r="CQ550" s="40"/>
      <c r="CR550" s="5"/>
    </row>
    <row r="551">
      <c r="AL551" s="40"/>
      <c r="AM551" s="5"/>
      <c r="AO551" s="40"/>
      <c r="AP551" s="5"/>
      <c r="AR551" s="40"/>
      <c r="AS551" s="5"/>
      <c r="AU551" s="40"/>
      <c r="AV551" s="5"/>
      <c r="AX551" s="40"/>
      <c r="AY551" s="5"/>
      <c r="BA551" s="40"/>
      <c r="BB551" s="5"/>
      <c r="BD551" s="40"/>
      <c r="BE551" s="5"/>
      <c r="BG551" s="40"/>
      <c r="BH551" s="5"/>
      <c r="BJ551" s="40"/>
      <c r="BK551" s="5"/>
      <c r="BM551" s="40"/>
      <c r="BN551" s="5"/>
      <c r="BP551" s="40"/>
      <c r="BQ551" s="5"/>
      <c r="BS551" s="40"/>
      <c r="BT551" s="5"/>
      <c r="BV551" s="40"/>
      <c r="BW551" s="5"/>
      <c r="BY551" s="40"/>
      <c r="BZ551" s="5"/>
      <c r="CB551" s="40"/>
      <c r="CC551" s="5"/>
      <c r="CE551" s="40"/>
      <c r="CF551" s="5"/>
      <c r="CH551" s="40"/>
      <c r="CI551" s="5"/>
      <c r="CK551" s="40"/>
      <c r="CL551" s="5"/>
      <c r="CN551" s="40"/>
      <c r="CO551" s="5"/>
      <c r="CQ551" s="40"/>
      <c r="CR551" s="5"/>
    </row>
    <row r="552">
      <c r="AL552" s="40"/>
      <c r="AM552" s="5"/>
      <c r="AO552" s="40"/>
      <c r="AP552" s="5"/>
      <c r="AR552" s="40"/>
      <c r="AS552" s="5"/>
      <c r="AU552" s="40"/>
      <c r="AV552" s="5"/>
      <c r="AX552" s="40"/>
      <c r="AY552" s="5"/>
      <c r="BA552" s="40"/>
      <c r="BB552" s="5"/>
      <c r="BD552" s="40"/>
      <c r="BE552" s="5"/>
      <c r="BG552" s="40"/>
      <c r="BH552" s="5"/>
      <c r="BJ552" s="40"/>
      <c r="BK552" s="5"/>
      <c r="BM552" s="40"/>
      <c r="BN552" s="5"/>
      <c r="BP552" s="40"/>
      <c r="BQ552" s="5"/>
      <c r="BS552" s="40"/>
      <c r="BT552" s="5"/>
      <c r="BV552" s="40"/>
      <c r="BW552" s="5"/>
      <c r="BY552" s="40"/>
      <c r="BZ552" s="5"/>
      <c r="CB552" s="40"/>
      <c r="CC552" s="5"/>
      <c r="CE552" s="40"/>
      <c r="CF552" s="5"/>
      <c r="CH552" s="40"/>
      <c r="CI552" s="5"/>
      <c r="CK552" s="40"/>
      <c r="CL552" s="5"/>
      <c r="CN552" s="40"/>
      <c r="CO552" s="5"/>
      <c r="CQ552" s="40"/>
      <c r="CR552" s="5"/>
    </row>
    <row r="553">
      <c r="AL553" s="40"/>
      <c r="AM553" s="5"/>
      <c r="AO553" s="40"/>
      <c r="AP553" s="5"/>
      <c r="AR553" s="40"/>
      <c r="AS553" s="5"/>
      <c r="AU553" s="40"/>
      <c r="AV553" s="5"/>
      <c r="AX553" s="40"/>
      <c r="AY553" s="5"/>
      <c r="BA553" s="40"/>
      <c r="BB553" s="5"/>
      <c r="BD553" s="40"/>
      <c r="BE553" s="5"/>
      <c r="BG553" s="40"/>
      <c r="BH553" s="5"/>
      <c r="BJ553" s="40"/>
      <c r="BK553" s="5"/>
      <c r="BM553" s="40"/>
      <c r="BN553" s="5"/>
      <c r="BP553" s="40"/>
      <c r="BQ553" s="5"/>
      <c r="BS553" s="40"/>
      <c r="BT553" s="5"/>
      <c r="BV553" s="40"/>
      <c r="BW553" s="5"/>
      <c r="BY553" s="40"/>
      <c r="BZ553" s="5"/>
      <c r="CB553" s="40"/>
      <c r="CC553" s="5"/>
      <c r="CE553" s="40"/>
      <c r="CF553" s="5"/>
      <c r="CH553" s="40"/>
      <c r="CI553" s="5"/>
      <c r="CK553" s="40"/>
      <c r="CL553" s="5"/>
      <c r="CN553" s="40"/>
      <c r="CO553" s="5"/>
      <c r="CQ553" s="40"/>
      <c r="CR553" s="5"/>
    </row>
    <row r="554">
      <c r="AL554" s="40"/>
      <c r="AM554" s="5"/>
      <c r="AO554" s="40"/>
      <c r="AP554" s="5"/>
      <c r="AR554" s="40"/>
      <c r="AS554" s="5"/>
      <c r="AU554" s="40"/>
      <c r="AV554" s="5"/>
      <c r="AX554" s="40"/>
      <c r="AY554" s="5"/>
      <c r="BA554" s="40"/>
      <c r="BB554" s="5"/>
      <c r="BD554" s="40"/>
      <c r="BE554" s="5"/>
      <c r="BG554" s="40"/>
      <c r="BH554" s="5"/>
      <c r="BJ554" s="40"/>
      <c r="BK554" s="5"/>
      <c r="BM554" s="40"/>
      <c r="BN554" s="5"/>
      <c r="BP554" s="40"/>
      <c r="BQ554" s="5"/>
      <c r="BS554" s="40"/>
      <c r="BT554" s="5"/>
      <c r="BV554" s="40"/>
      <c r="BW554" s="5"/>
      <c r="BY554" s="40"/>
      <c r="BZ554" s="5"/>
      <c r="CB554" s="40"/>
      <c r="CC554" s="5"/>
      <c r="CE554" s="40"/>
      <c r="CF554" s="5"/>
      <c r="CH554" s="40"/>
      <c r="CI554" s="5"/>
      <c r="CK554" s="40"/>
      <c r="CL554" s="5"/>
      <c r="CN554" s="40"/>
      <c r="CO554" s="5"/>
      <c r="CQ554" s="40"/>
      <c r="CR554" s="5"/>
    </row>
    <row r="555">
      <c r="AL555" s="40"/>
      <c r="AM555" s="5"/>
      <c r="AO555" s="40"/>
      <c r="AP555" s="5"/>
      <c r="AR555" s="40"/>
      <c r="AS555" s="5"/>
      <c r="AU555" s="40"/>
      <c r="AV555" s="5"/>
      <c r="AX555" s="40"/>
      <c r="AY555" s="5"/>
      <c r="BA555" s="40"/>
      <c r="BB555" s="5"/>
      <c r="BD555" s="40"/>
      <c r="BE555" s="5"/>
      <c r="BG555" s="40"/>
      <c r="BH555" s="5"/>
      <c r="BJ555" s="40"/>
      <c r="BK555" s="5"/>
      <c r="BM555" s="40"/>
      <c r="BN555" s="5"/>
      <c r="BP555" s="40"/>
      <c r="BQ555" s="5"/>
      <c r="BS555" s="40"/>
      <c r="BT555" s="5"/>
      <c r="BV555" s="40"/>
      <c r="BW555" s="5"/>
      <c r="BY555" s="40"/>
      <c r="BZ555" s="5"/>
      <c r="CB555" s="40"/>
      <c r="CC555" s="5"/>
      <c r="CE555" s="40"/>
      <c r="CF555" s="5"/>
      <c r="CH555" s="40"/>
      <c r="CI555" s="5"/>
      <c r="CK555" s="40"/>
      <c r="CL555" s="5"/>
      <c r="CN555" s="40"/>
      <c r="CO555" s="5"/>
      <c r="CQ555" s="40"/>
      <c r="CR555" s="5"/>
    </row>
    <row r="556">
      <c r="AL556" s="40"/>
      <c r="AM556" s="5"/>
      <c r="AO556" s="40"/>
      <c r="AP556" s="5"/>
      <c r="AR556" s="40"/>
      <c r="AS556" s="5"/>
      <c r="AU556" s="40"/>
      <c r="AV556" s="5"/>
      <c r="AX556" s="40"/>
      <c r="AY556" s="5"/>
      <c r="BA556" s="40"/>
      <c r="BB556" s="5"/>
      <c r="BD556" s="40"/>
      <c r="BE556" s="5"/>
      <c r="BG556" s="40"/>
      <c r="BH556" s="5"/>
      <c r="BJ556" s="40"/>
      <c r="BK556" s="5"/>
      <c r="BM556" s="40"/>
      <c r="BN556" s="5"/>
      <c r="BP556" s="40"/>
      <c r="BQ556" s="5"/>
      <c r="BS556" s="40"/>
      <c r="BT556" s="5"/>
      <c r="BV556" s="40"/>
      <c r="BW556" s="5"/>
      <c r="BY556" s="40"/>
      <c r="BZ556" s="5"/>
      <c r="CB556" s="40"/>
      <c r="CC556" s="5"/>
      <c r="CE556" s="40"/>
      <c r="CF556" s="5"/>
      <c r="CH556" s="40"/>
      <c r="CI556" s="5"/>
      <c r="CK556" s="40"/>
      <c r="CL556" s="5"/>
      <c r="CN556" s="40"/>
      <c r="CO556" s="5"/>
      <c r="CQ556" s="40"/>
      <c r="CR556" s="5"/>
    </row>
    <row r="557">
      <c r="AL557" s="40"/>
      <c r="AM557" s="5"/>
      <c r="AO557" s="40"/>
      <c r="AP557" s="5"/>
      <c r="AR557" s="40"/>
      <c r="AS557" s="5"/>
      <c r="AU557" s="40"/>
      <c r="AV557" s="5"/>
      <c r="AX557" s="40"/>
      <c r="AY557" s="5"/>
      <c r="BA557" s="40"/>
      <c r="BB557" s="5"/>
      <c r="BD557" s="40"/>
      <c r="BE557" s="5"/>
      <c r="BG557" s="40"/>
      <c r="BH557" s="5"/>
      <c r="BJ557" s="40"/>
      <c r="BK557" s="5"/>
      <c r="BM557" s="40"/>
      <c r="BN557" s="5"/>
      <c r="BP557" s="40"/>
      <c r="BQ557" s="5"/>
      <c r="BS557" s="40"/>
      <c r="BT557" s="5"/>
      <c r="BV557" s="40"/>
      <c r="BW557" s="5"/>
      <c r="BY557" s="40"/>
      <c r="BZ557" s="5"/>
      <c r="CB557" s="40"/>
      <c r="CC557" s="5"/>
      <c r="CE557" s="40"/>
      <c r="CF557" s="5"/>
      <c r="CH557" s="40"/>
      <c r="CI557" s="5"/>
      <c r="CK557" s="40"/>
      <c r="CL557" s="5"/>
      <c r="CN557" s="40"/>
      <c r="CO557" s="5"/>
      <c r="CQ557" s="40"/>
      <c r="CR557" s="5"/>
    </row>
    <row r="558">
      <c r="AL558" s="40"/>
      <c r="AM558" s="5"/>
      <c r="AO558" s="40"/>
      <c r="AP558" s="5"/>
      <c r="AR558" s="40"/>
      <c r="AS558" s="5"/>
      <c r="AU558" s="40"/>
      <c r="AV558" s="5"/>
      <c r="AX558" s="40"/>
      <c r="AY558" s="5"/>
      <c r="BA558" s="40"/>
      <c r="BB558" s="5"/>
      <c r="BD558" s="40"/>
      <c r="BE558" s="5"/>
      <c r="BG558" s="40"/>
      <c r="BH558" s="5"/>
      <c r="BJ558" s="40"/>
      <c r="BK558" s="5"/>
      <c r="BM558" s="40"/>
      <c r="BN558" s="5"/>
      <c r="BP558" s="40"/>
      <c r="BQ558" s="5"/>
      <c r="BS558" s="40"/>
      <c r="BT558" s="5"/>
      <c r="BV558" s="40"/>
      <c r="BW558" s="5"/>
      <c r="BY558" s="40"/>
      <c r="BZ558" s="5"/>
      <c r="CB558" s="40"/>
      <c r="CC558" s="5"/>
      <c r="CE558" s="40"/>
      <c r="CF558" s="5"/>
      <c r="CH558" s="40"/>
      <c r="CI558" s="5"/>
      <c r="CK558" s="40"/>
      <c r="CL558" s="5"/>
      <c r="CN558" s="40"/>
      <c r="CO558" s="5"/>
      <c r="CQ558" s="40"/>
      <c r="CR558" s="5"/>
    </row>
    <row r="559">
      <c r="AL559" s="40"/>
      <c r="AM559" s="5"/>
      <c r="AO559" s="40"/>
      <c r="AP559" s="5"/>
      <c r="AR559" s="40"/>
      <c r="AS559" s="5"/>
      <c r="AU559" s="40"/>
      <c r="AV559" s="5"/>
      <c r="AX559" s="40"/>
      <c r="AY559" s="5"/>
      <c r="BA559" s="40"/>
      <c r="BB559" s="5"/>
      <c r="BD559" s="40"/>
      <c r="BE559" s="5"/>
      <c r="BG559" s="40"/>
      <c r="BH559" s="5"/>
      <c r="BJ559" s="40"/>
      <c r="BK559" s="5"/>
      <c r="BM559" s="40"/>
      <c r="BN559" s="5"/>
      <c r="BP559" s="40"/>
      <c r="BQ559" s="5"/>
      <c r="BS559" s="40"/>
      <c r="BT559" s="5"/>
      <c r="BV559" s="40"/>
      <c r="BW559" s="5"/>
      <c r="BY559" s="40"/>
      <c r="BZ559" s="5"/>
      <c r="CB559" s="40"/>
      <c r="CC559" s="5"/>
      <c r="CE559" s="40"/>
      <c r="CF559" s="5"/>
      <c r="CH559" s="40"/>
      <c r="CI559" s="5"/>
      <c r="CK559" s="40"/>
      <c r="CL559" s="5"/>
      <c r="CN559" s="40"/>
      <c r="CO559" s="5"/>
      <c r="CQ559" s="40"/>
      <c r="CR559" s="5"/>
    </row>
    <row r="560">
      <c r="AL560" s="40"/>
      <c r="AM560" s="5"/>
      <c r="AO560" s="40"/>
      <c r="AP560" s="5"/>
      <c r="AR560" s="40"/>
      <c r="AS560" s="5"/>
      <c r="AU560" s="40"/>
      <c r="AV560" s="5"/>
      <c r="AX560" s="40"/>
      <c r="AY560" s="5"/>
      <c r="BA560" s="40"/>
      <c r="BB560" s="5"/>
      <c r="BD560" s="40"/>
      <c r="BE560" s="5"/>
      <c r="BG560" s="40"/>
      <c r="BH560" s="5"/>
      <c r="BJ560" s="40"/>
      <c r="BK560" s="5"/>
      <c r="BM560" s="40"/>
      <c r="BN560" s="5"/>
      <c r="BP560" s="40"/>
      <c r="BQ560" s="5"/>
      <c r="BS560" s="40"/>
      <c r="BT560" s="5"/>
      <c r="BV560" s="40"/>
      <c r="BW560" s="5"/>
      <c r="BY560" s="40"/>
      <c r="BZ560" s="5"/>
      <c r="CB560" s="40"/>
      <c r="CC560" s="5"/>
      <c r="CE560" s="40"/>
      <c r="CF560" s="5"/>
      <c r="CH560" s="40"/>
      <c r="CI560" s="5"/>
      <c r="CK560" s="40"/>
      <c r="CL560" s="5"/>
      <c r="CN560" s="40"/>
      <c r="CO560" s="5"/>
      <c r="CQ560" s="40"/>
      <c r="CR560" s="5"/>
    </row>
    <row r="561">
      <c r="AL561" s="40"/>
      <c r="AM561" s="5"/>
      <c r="AO561" s="40"/>
      <c r="AP561" s="5"/>
      <c r="AR561" s="40"/>
      <c r="AS561" s="5"/>
      <c r="AU561" s="40"/>
      <c r="AV561" s="5"/>
      <c r="AX561" s="40"/>
      <c r="AY561" s="5"/>
      <c r="BA561" s="40"/>
      <c r="BB561" s="5"/>
      <c r="BD561" s="40"/>
      <c r="BE561" s="5"/>
      <c r="BG561" s="40"/>
      <c r="BH561" s="5"/>
      <c r="BJ561" s="40"/>
      <c r="BK561" s="5"/>
      <c r="BM561" s="40"/>
      <c r="BN561" s="5"/>
      <c r="BP561" s="40"/>
      <c r="BQ561" s="5"/>
      <c r="BS561" s="40"/>
      <c r="BT561" s="5"/>
      <c r="BV561" s="40"/>
      <c r="BW561" s="5"/>
      <c r="BY561" s="40"/>
      <c r="BZ561" s="5"/>
      <c r="CB561" s="40"/>
      <c r="CC561" s="5"/>
      <c r="CE561" s="40"/>
      <c r="CF561" s="5"/>
      <c r="CH561" s="40"/>
      <c r="CI561" s="5"/>
      <c r="CK561" s="40"/>
      <c r="CL561" s="5"/>
      <c r="CN561" s="40"/>
      <c r="CO561" s="5"/>
      <c r="CQ561" s="40"/>
      <c r="CR561" s="5"/>
    </row>
    <row r="562">
      <c r="AL562" s="40"/>
      <c r="AM562" s="5"/>
      <c r="AO562" s="40"/>
      <c r="AP562" s="5"/>
      <c r="AR562" s="40"/>
      <c r="AS562" s="5"/>
      <c r="AU562" s="40"/>
      <c r="AV562" s="5"/>
      <c r="AX562" s="40"/>
      <c r="AY562" s="5"/>
      <c r="BA562" s="40"/>
      <c r="BB562" s="5"/>
      <c r="BD562" s="40"/>
      <c r="BE562" s="5"/>
      <c r="BG562" s="40"/>
      <c r="BH562" s="5"/>
      <c r="BJ562" s="40"/>
      <c r="BK562" s="5"/>
      <c r="BM562" s="40"/>
      <c r="BN562" s="5"/>
      <c r="BP562" s="40"/>
      <c r="BQ562" s="5"/>
      <c r="BS562" s="40"/>
      <c r="BT562" s="5"/>
      <c r="BV562" s="40"/>
      <c r="BW562" s="5"/>
      <c r="BY562" s="40"/>
      <c r="BZ562" s="5"/>
      <c r="CB562" s="40"/>
      <c r="CC562" s="5"/>
      <c r="CE562" s="40"/>
      <c r="CF562" s="5"/>
      <c r="CH562" s="40"/>
      <c r="CI562" s="5"/>
      <c r="CK562" s="40"/>
      <c r="CL562" s="5"/>
      <c r="CN562" s="40"/>
      <c r="CO562" s="5"/>
      <c r="CQ562" s="40"/>
      <c r="CR562" s="5"/>
    </row>
    <row r="563">
      <c r="AL563" s="40"/>
      <c r="AM563" s="5"/>
      <c r="AO563" s="40"/>
      <c r="AP563" s="5"/>
      <c r="AR563" s="40"/>
      <c r="AS563" s="5"/>
      <c r="AU563" s="40"/>
      <c r="AV563" s="5"/>
      <c r="AX563" s="40"/>
      <c r="AY563" s="5"/>
      <c r="BA563" s="40"/>
      <c r="BB563" s="5"/>
      <c r="BD563" s="40"/>
      <c r="BE563" s="5"/>
      <c r="BG563" s="40"/>
      <c r="BH563" s="5"/>
      <c r="BJ563" s="40"/>
      <c r="BK563" s="5"/>
      <c r="BM563" s="40"/>
      <c r="BN563" s="5"/>
      <c r="BP563" s="40"/>
      <c r="BQ563" s="5"/>
      <c r="BS563" s="40"/>
      <c r="BT563" s="5"/>
      <c r="BV563" s="40"/>
      <c r="BW563" s="5"/>
      <c r="BY563" s="40"/>
      <c r="BZ563" s="5"/>
      <c r="CB563" s="40"/>
      <c r="CC563" s="5"/>
      <c r="CE563" s="40"/>
      <c r="CF563" s="5"/>
      <c r="CH563" s="40"/>
      <c r="CI563" s="5"/>
      <c r="CK563" s="40"/>
      <c r="CL563" s="5"/>
      <c r="CN563" s="40"/>
      <c r="CO563" s="5"/>
      <c r="CQ563" s="40"/>
      <c r="CR563" s="5"/>
    </row>
    <row r="564">
      <c r="AL564" s="40"/>
      <c r="AM564" s="5"/>
      <c r="AO564" s="40"/>
      <c r="AP564" s="5"/>
      <c r="AR564" s="40"/>
      <c r="AS564" s="5"/>
      <c r="AU564" s="40"/>
      <c r="AV564" s="5"/>
      <c r="AX564" s="40"/>
      <c r="AY564" s="5"/>
      <c r="BA564" s="40"/>
      <c r="BB564" s="5"/>
      <c r="BD564" s="40"/>
      <c r="BE564" s="5"/>
      <c r="BG564" s="40"/>
      <c r="BH564" s="5"/>
      <c r="BJ564" s="40"/>
      <c r="BK564" s="5"/>
      <c r="BM564" s="40"/>
      <c r="BN564" s="5"/>
      <c r="BP564" s="40"/>
      <c r="BQ564" s="5"/>
      <c r="BS564" s="40"/>
      <c r="BT564" s="5"/>
      <c r="BV564" s="40"/>
      <c r="BW564" s="5"/>
      <c r="BY564" s="40"/>
      <c r="BZ564" s="5"/>
      <c r="CB564" s="40"/>
      <c r="CC564" s="5"/>
      <c r="CE564" s="40"/>
      <c r="CF564" s="5"/>
      <c r="CH564" s="40"/>
      <c r="CI564" s="5"/>
      <c r="CK564" s="40"/>
      <c r="CL564" s="5"/>
      <c r="CN564" s="40"/>
      <c r="CO564" s="5"/>
      <c r="CQ564" s="40"/>
      <c r="CR564" s="5"/>
    </row>
    <row r="565">
      <c r="AL565" s="40"/>
      <c r="AM565" s="5"/>
      <c r="AO565" s="40"/>
      <c r="AP565" s="5"/>
      <c r="AR565" s="40"/>
      <c r="AS565" s="5"/>
      <c r="AU565" s="40"/>
      <c r="AV565" s="5"/>
      <c r="AX565" s="40"/>
      <c r="AY565" s="5"/>
      <c r="BA565" s="40"/>
      <c r="BB565" s="5"/>
      <c r="BD565" s="40"/>
      <c r="BE565" s="5"/>
      <c r="BG565" s="40"/>
      <c r="BH565" s="5"/>
      <c r="BJ565" s="40"/>
      <c r="BK565" s="5"/>
      <c r="BM565" s="40"/>
      <c r="BN565" s="5"/>
      <c r="BP565" s="40"/>
      <c r="BQ565" s="5"/>
      <c r="BS565" s="40"/>
      <c r="BT565" s="5"/>
      <c r="BV565" s="40"/>
      <c r="BW565" s="5"/>
      <c r="BY565" s="40"/>
      <c r="BZ565" s="5"/>
      <c r="CB565" s="40"/>
      <c r="CC565" s="5"/>
      <c r="CE565" s="40"/>
      <c r="CF565" s="5"/>
      <c r="CH565" s="40"/>
      <c r="CI565" s="5"/>
      <c r="CK565" s="40"/>
      <c r="CL565" s="5"/>
      <c r="CN565" s="40"/>
      <c r="CO565" s="5"/>
      <c r="CQ565" s="40"/>
      <c r="CR565" s="5"/>
    </row>
    <row r="566">
      <c r="AL566" s="40"/>
      <c r="AM566" s="5"/>
      <c r="AO566" s="40"/>
      <c r="AP566" s="5"/>
      <c r="AR566" s="40"/>
      <c r="AS566" s="5"/>
      <c r="AU566" s="40"/>
      <c r="AV566" s="5"/>
      <c r="AX566" s="40"/>
      <c r="AY566" s="5"/>
      <c r="BA566" s="40"/>
      <c r="BB566" s="5"/>
      <c r="BD566" s="40"/>
      <c r="BE566" s="5"/>
      <c r="BG566" s="40"/>
      <c r="BH566" s="5"/>
      <c r="BJ566" s="40"/>
      <c r="BK566" s="5"/>
      <c r="BM566" s="40"/>
      <c r="BN566" s="5"/>
      <c r="BP566" s="40"/>
      <c r="BQ566" s="5"/>
      <c r="BS566" s="40"/>
      <c r="BT566" s="5"/>
      <c r="BV566" s="40"/>
      <c r="BW566" s="5"/>
      <c r="BY566" s="40"/>
      <c r="BZ566" s="5"/>
      <c r="CB566" s="40"/>
      <c r="CC566" s="5"/>
      <c r="CE566" s="40"/>
      <c r="CF566" s="5"/>
      <c r="CH566" s="40"/>
      <c r="CI566" s="5"/>
      <c r="CK566" s="40"/>
      <c r="CL566" s="5"/>
      <c r="CN566" s="40"/>
      <c r="CO566" s="5"/>
      <c r="CQ566" s="40"/>
      <c r="CR566" s="5"/>
    </row>
    <row r="567">
      <c r="AL567" s="40"/>
      <c r="AM567" s="5"/>
      <c r="AO567" s="40"/>
      <c r="AP567" s="5"/>
      <c r="AR567" s="40"/>
      <c r="AS567" s="5"/>
      <c r="AU567" s="40"/>
      <c r="AV567" s="5"/>
      <c r="AX567" s="40"/>
      <c r="AY567" s="5"/>
      <c r="BA567" s="40"/>
      <c r="BB567" s="5"/>
      <c r="BD567" s="40"/>
      <c r="BE567" s="5"/>
      <c r="BG567" s="40"/>
      <c r="BH567" s="5"/>
      <c r="BJ567" s="40"/>
      <c r="BK567" s="5"/>
      <c r="BM567" s="40"/>
      <c r="BN567" s="5"/>
      <c r="BP567" s="40"/>
      <c r="BQ567" s="5"/>
      <c r="BS567" s="40"/>
      <c r="BT567" s="5"/>
      <c r="BV567" s="40"/>
      <c r="BW567" s="5"/>
      <c r="BY567" s="40"/>
      <c r="BZ567" s="5"/>
      <c r="CB567" s="40"/>
      <c r="CC567" s="5"/>
      <c r="CE567" s="40"/>
      <c r="CF567" s="5"/>
      <c r="CH567" s="40"/>
      <c r="CI567" s="5"/>
      <c r="CK567" s="40"/>
      <c r="CL567" s="5"/>
      <c r="CN567" s="40"/>
      <c r="CO567" s="5"/>
      <c r="CQ567" s="40"/>
      <c r="CR567" s="5"/>
    </row>
    <row r="568">
      <c r="AL568" s="40"/>
      <c r="AM568" s="5"/>
      <c r="AO568" s="40"/>
      <c r="AP568" s="5"/>
      <c r="AR568" s="40"/>
      <c r="AS568" s="5"/>
      <c r="AU568" s="40"/>
      <c r="AV568" s="5"/>
      <c r="AX568" s="40"/>
      <c r="AY568" s="5"/>
      <c r="BA568" s="40"/>
      <c r="BB568" s="5"/>
      <c r="BD568" s="40"/>
      <c r="BE568" s="5"/>
      <c r="BG568" s="40"/>
      <c r="BH568" s="5"/>
      <c r="BJ568" s="40"/>
      <c r="BK568" s="5"/>
      <c r="BM568" s="40"/>
      <c r="BN568" s="5"/>
      <c r="BP568" s="40"/>
      <c r="BQ568" s="5"/>
      <c r="BS568" s="40"/>
      <c r="BT568" s="5"/>
      <c r="BV568" s="40"/>
      <c r="BW568" s="5"/>
      <c r="BY568" s="40"/>
      <c r="BZ568" s="5"/>
      <c r="CB568" s="40"/>
      <c r="CC568" s="5"/>
      <c r="CE568" s="40"/>
      <c r="CF568" s="5"/>
      <c r="CH568" s="40"/>
      <c r="CI568" s="5"/>
      <c r="CK568" s="40"/>
      <c r="CL568" s="5"/>
      <c r="CN568" s="40"/>
      <c r="CO568" s="5"/>
      <c r="CQ568" s="40"/>
      <c r="CR568" s="5"/>
    </row>
    <row r="569">
      <c r="AL569" s="40"/>
      <c r="AM569" s="5"/>
      <c r="AO569" s="40"/>
      <c r="AP569" s="5"/>
      <c r="AR569" s="40"/>
      <c r="AS569" s="5"/>
      <c r="AU569" s="40"/>
      <c r="AV569" s="5"/>
      <c r="AX569" s="40"/>
      <c r="AY569" s="5"/>
      <c r="BA569" s="40"/>
      <c r="BB569" s="5"/>
      <c r="BD569" s="40"/>
      <c r="BE569" s="5"/>
      <c r="BG569" s="40"/>
      <c r="BH569" s="5"/>
      <c r="BJ569" s="40"/>
      <c r="BK569" s="5"/>
      <c r="BM569" s="40"/>
      <c r="BN569" s="5"/>
      <c r="BP569" s="40"/>
      <c r="BQ569" s="5"/>
      <c r="BS569" s="40"/>
      <c r="BT569" s="5"/>
      <c r="BV569" s="40"/>
      <c r="BW569" s="5"/>
      <c r="BY569" s="40"/>
      <c r="BZ569" s="5"/>
      <c r="CB569" s="40"/>
      <c r="CC569" s="5"/>
      <c r="CE569" s="40"/>
      <c r="CF569" s="5"/>
      <c r="CH569" s="40"/>
      <c r="CI569" s="5"/>
      <c r="CK569" s="40"/>
      <c r="CL569" s="5"/>
      <c r="CN569" s="40"/>
      <c r="CO569" s="5"/>
      <c r="CQ569" s="40"/>
      <c r="CR569" s="5"/>
    </row>
    <row r="570">
      <c r="AL570" s="40"/>
      <c r="AM570" s="5"/>
      <c r="AO570" s="40"/>
      <c r="AP570" s="5"/>
      <c r="AR570" s="40"/>
      <c r="AS570" s="5"/>
      <c r="AU570" s="40"/>
      <c r="AV570" s="5"/>
      <c r="AX570" s="40"/>
      <c r="AY570" s="5"/>
      <c r="BA570" s="40"/>
      <c r="BB570" s="5"/>
      <c r="BD570" s="40"/>
      <c r="BE570" s="5"/>
      <c r="BG570" s="40"/>
      <c r="BH570" s="5"/>
      <c r="BJ570" s="40"/>
      <c r="BK570" s="5"/>
      <c r="BM570" s="40"/>
      <c r="BN570" s="5"/>
      <c r="BP570" s="40"/>
      <c r="BQ570" s="5"/>
      <c r="BS570" s="40"/>
      <c r="BT570" s="5"/>
      <c r="BV570" s="40"/>
      <c r="BW570" s="5"/>
      <c r="BY570" s="40"/>
      <c r="BZ570" s="5"/>
      <c r="CB570" s="40"/>
      <c r="CC570" s="5"/>
      <c r="CE570" s="40"/>
      <c r="CF570" s="5"/>
      <c r="CH570" s="40"/>
      <c r="CI570" s="5"/>
      <c r="CK570" s="40"/>
      <c r="CL570" s="5"/>
      <c r="CN570" s="40"/>
      <c r="CO570" s="5"/>
      <c r="CQ570" s="40"/>
      <c r="CR570" s="5"/>
    </row>
    <row r="571">
      <c r="AL571" s="40"/>
      <c r="AM571" s="5"/>
      <c r="AO571" s="40"/>
      <c r="AP571" s="5"/>
      <c r="AR571" s="40"/>
      <c r="AS571" s="5"/>
      <c r="AU571" s="40"/>
      <c r="AV571" s="5"/>
      <c r="AX571" s="40"/>
      <c r="AY571" s="5"/>
      <c r="BA571" s="40"/>
      <c r="BB571" s="5"/>
      <c r="BD571" s="40"/>
      <c r="BE571" s="5"/>
      <c r="BG571" s="40"/>
      <c r="BH571" s="5"/>
      <c r="BJ571" s="40"/>
      <c r="BK571" s="5"/>
      <c r="BM571" s="40"/>
      <c r="BN571" s="5"/>
      <c r="BP571" s="40"/>
      <c r="BQ571" s="5"/>
      <c r="BS571" s="40"/>
      <c r="BT571" s="5"/>
      <c r="BV571" s="40"/>
      <c r="BW571" s="5"/>
      <c r="BY571" s="40"/>
      <c r="BZ571" s="5"/>
      <c r="CB571" s="40"/>
      <c r="CC571" s="5"/>
      <c r="CE571" s="40"/>
      <c r="CF571" s="5"/>
      <c r="CH571" s="40"/>
      <c r="CI571" s="5"/>
      <c r="CK571" s="40"/>
      <c r="CL571" s="5"/>
      <c r="CN571" s="40"/>
      <c r="CO571" s="5"/>
      <c r="CQ571" s="40"/>
      <c r="CR571" s="5"/>
    </row>
    <row r="572">
      <c r="AL572" s="40"/>
      <c r="AM572" s="5"/>
      <c r="AO572" s="40"/>
      <c r="AP572" s="5"/>
      <c r="AR572" s="40"/>
      <c r="AS572" s="5"/>
      <c r="AU572" s="40"/>
      <c r="AV572" s="5"/>
      <c r="AX572" s="40"/>
      <c r="AY572" s="5"/>
      <c r="BA572" s="40"/>
      <c r="BB572" s="5"/>
      <c r="BD572" s="40"/>
      <c r="BE572" s="5"/>
      <c r="BG572" s="40"/>
      <c r="BH572" s="5"/>
      <c r="BJ572" s="40"/>
      <c r="BK572" s="5"/>
      <c r="BM572" s="40"/>
      <c r="BN572" s="5"/>
      <c r="BP572" s="40"/>
      <c r="BQ572" s="5"/>
      <c r="BS572" s="40"/>
      <c r="BT572" s="5"/>
      <c r="BV572" s="40"/>
      <c r="BW572" s="5"/>
      <c r="BY572" s="40"/>
      <c r="BZ572" s="5"/>
      <c r="CB572" s="40"/>
      <c r="CC572" s="5"/>
      <c r="CE572" s="40"/>
      <c r="CF572" s="5"/>
      <c r="CH572" s="40"/>
      <c r="CI572" s="5"/>
      <c r="CK572" s="40"/>
      <c r="CL572" s="5"/>
      <c r="CN572" s="40"/>
      <c r="CO572" s="5"/>
      <c r="CQ572" s="40"/>
      <c r="CR572" s="5"/>
    </row>
    <row r="573">
      <c r="AL573" s="40"/>
      <c r="AM573" s="5"/>
      <c r="AO573" s="40"/>
      <c r="AP573" s="5"/>
      <c r="AR573" s="40"/>
      <c r="AS573" s="5"/>
      <c r="AU573" s="40"/>
      <c r="AV573" s="5"/>
      <c r="AX573" s="40"/>
      <c r="AY573" s="5"/>
      <c r="BA573" s="40"/>
      <c r="BB573" s="5"/>
      <c r="BD573" s="40"/>
      <c r="BE573" s="5"/>
      <c r="BG573" s="40"/>
      <c r="BH573" s="5"/>
      <c r="BJ573" s="40"/>
      <c r="BK573" s="5"/>
      <c r="BM573" s="40"/>
      <c r="BN573" s="5"/>
      <c r="BP573" s="40"/>
      <c r="BQ573" s="5"/>
      <c r="BS573" s="40"/>
      <c r="BT573" s="5"/>
      <c r="BV573" s="40"/>
      <c r="BW573" s="5"/>
      <c r="BY573" s="40"/>
      <c r="BZ573" s="5"/>
      <c r="CB573" s="40"/>
      <c r="CC573" s="5"/>
      <c r="CE573" s="40"/>
      <c r="CF573" s="5"/>
      <c r="CH573" s="40"/>
      <c r="CI573" s="5"/>
      <c r="CK573" s="40"/>
      <c r="CL573" s="5"/>
      <c r="CN573" s="40"/>
      <c r="CO573" s="5"/>
      <c r="CQ573" s="40"/>
      <c r="CR573" s="5"/>
    </row>
    <row r="574">
      <c r="AL574" s="40"/>
      <c r="AM574" s="5"/>
      <c r="AO574" s="40"/>
      <c r="AP574" s="5"/>
      <c r="AR574" s="40"/>
      <c r="AS574" s="5"/>
      <c r="AU574" s="40"/>
      <c r="AV574" s="5"/>
      <c r="AX574" s="40"/>
      <c r="AY574" s="5"/>
      <c r="BA574" s="40"/>
      <c r="BB574" s="5"/>
      <c r="BD574" s="40"/>
      <c r="BE574" s="5"/>
      <c r="BG574" s="40"/>
      <c r="BH574" s="5"/>
      <c r="BJ574" s="40"/>
      <c r="BK574" s="5"/>
      <c r="BM574" s="40"/>
      <c r="BN574" s="5"/>
      <c r="BP574" s="40"/>
      <c r="BQ574" s="5"/>
      <c r="BS574" s="40"/>
      <c r="BT574" s="5"/>
      <c r="BV574" s="40"/>
      <c r="BW574" s="5"/>
      <c r="BY574" s="40"/>
      <c r="BZ574" s="5"/>
      <c r="CB574" s="40"/>
      <c r="CC574" s="5"/>
      <c r="CE574" s="40"/>
      <c r="CF574" s="5"/>
      <c r="CH574" s="40"/>
      <c r="CI574" s="5"/>
      <c r="CK574" s="40"/>
      <c r="CL574" s="5"/>
      <c r="CN574" s="40"/>
      <c r="CO574" s="5"/>
      <c r="CQ574" s="40"/>
      <c r="CR574" s="5"/>
    </row>
    <row r="575">
      <c r="AL575" s="40"/>
      <c r="AM575" s="5"/>
      <c r="AO575" s="40"/>
      <c r="AP575" s="5"/>
      <c r="AR575" s="40"/>
      <c r="AS575" s="5"/>
      <c r="AU575" s="40"/>
      <c r="AV575" s="5"/>
      <c r="AX575" s="40"/>
      <c r="AY575" s="5"/>
      <c r="BA575" s="40"/>
      <c r="BB575" s="5"/>
      <c r="BD575" s="40"/>
      <c r="BE575" s="5"/>
      <c r="BG575" s="40"/>
      <c r="BH575" s="5"/>
      <c r="BJ575" s="40"/>
      <c r="BK575" s="5"/>
      <c r="BM575" s="40"/>
      <c r="BN575" s="5"/>
      <c r="BP575" s="40"/>
      <c r="BQ575" s="5"/>
      <c r="BS575" s="40"/>
      <c r="BT575" s="5"/>
      <c r="BV575" s="40"/>
      <c r="BW575" s="5"/>
      <c r="BY575" s="40"/>
      <c r="BZ575" s="5"/>
      <c r="CB575" s="40"/>
      <c r="CC575" s="5"/>
      <c r="CE575" s="40"/>
      <c r="CF575" s="5"/>
      <c r="CH575" s="40"/>
      <c r="CI575" s="5"/>
      <c r="CK575" s="40"/>
      <c r="CL575" s="5"/>
      <c r="CN575" s="40"/>
      <c r="CO575" s="5"/>
      <c r="CQ575" s="40"/>
      <c r="CR575" s="5"/>
    </row>
    <row r="576">
      <c r="AL576" s="40"/>
      <c r="AM576" s="5"/>
      <c r="AO576" s="40"/>
      <c r="AP576" s="5"/>
      <c r="AR576" s="40"/>
      <c r="AS576" s="5"/>
      <c r="AU576" s="40"/>
      <c r="AV576" s="5"/>
      <c r="AX576" s="40"/>
      <c r="AY576" s="5"/>
      <c r="BA576" s="40"/>
      <c r="BB576" s="5"/>
      <c r="BD576" s="40"/>
      <c r="BE576" s="5"/>
      <c r="BG576" s="40"/>
      <c r="BH576" s="5"/>
      <c r="BJ576" s="40"/>
      <c r="BK576" s="5"/>
      <c r="BM576" s="40"/>
      <c r="BN576" s="5"/>
      <c r="BP576" s="40"/>
      <c r="BQ576" s="5"/>
      <c r="BS576" s="40"/>
      <c r="BT576" s="5"/>
      <c r="BV576" s="40"/>
      <c r="BW576" s="5"/>
      <c r="BY576" s="40"/>
      <c r="BZ576" s="5"/>
      <c r="CB576" s="40"/>
      <c r="CC576" s="5"/>
      <c r="CE576" s="40"/>
      <c r="CF576" s="5"/>
      <c r="CH576" s="40"/>
      <c r="CI576" s="5"/>
      <c r="CK576" s="40"/>
      <c r="CL576" s="5"/>
      <c r="CN576" s="40"/>
      <c r="CO576" s="5"/>
      <c r="CQ576" s="40"/>
      <c r="CR576" s="5"/>
    </row>
    <row r="577">
      <c r="AL577" s="40"/>
      <c r="AM577" s="5"/>
      <c r="AO577" s="40"/>
      <c r="AP577" s="5"/>
      <c r="AR577" s="40"/>
      <c r="AS577" s="5"/>
      <c r="AU577" s="40"/>
      <c r="AV577" s="5"/>
      <c r="AX577" s="40"/>
      <c r="AY577" s="5"/>
      <c r="BA577" s="40"/>
      <c r="BB577" s="5"/>
      <c r="BD577" s="40"/>
      <c r="BE577" s="5"/>
      <c r="BG577" s="40"/>
      <c r="BH577" s="5"/>
      <c r="BJ577" s="40"/>
      <c r="BK577" s="5"/>
      <c r="BM577" s="40"/>
      <c r="BN577" s="5"/>
      <c r="BP577" s="40"/>
      <c r="BQ577" s="5"/>
      <c r="BS577" s="40"/>
      <c r="BT577" s="5"/>
      <c r="BV577" s="40"/>
      <c r="BW577" s="5"/>
      <c r="BY577" s="40"/>
      <c r="BZ577" s="5"/>
      <c r="CB577" s="40"/>
      <c r="CC577" s="5"/>
      <c r="CE577" s="40"/>
      <c r="CF577" s="5"/>
      <c r="CH577" s="40"/>
      <c r="CI577" s="5"/>
      <c r="CK577" s="40"/>
      <c r="CL577" s="5"/>
      <c r="CN577" s="40"/>
      <c r="CO577" s="5"/>
      <c r="CQ577" s="40"/>
      <c r="CR577" s="5"/>
    </row>
    <row r="578">
      <c r="AL578" s="40"/>
      <c r="AM578" s="5"/>
      <c r="AO578" s="40"/>
      <c r="AP578" s="5"/>
      <c r="AR578" s="40"/>
      <c r="AS578" s="5"/>
      <c r="AU578" s="40"/>
      <c r="AV578" s="5"/>
      <c r="AX578" s="40"/>
      <c r="AY578" s="5"/>
      <c r="BA578" s="40"/>
      <c r="BB578" s="5"/>
      <c r="BD578" s="40"/>
      <c r="BE578" s="5"/>
      <c r="BG578" s="40"/>
      <c r="BH578" s="5"/>
      <c r="BJ578" s="40"/>
      <c r="BK578" s="5"/>
      <c r="BM578" s="40"/>
      <c r="BN578" s="5"/>
      <c r="BP578" s="40"/>
      <c r="BQ578" s="5"/>
      <c r="BS578" s="40"/>
      <c r="BT578" s="5"/>
      <c r="BV578" s="40"/>
      <c r="BW578" s="5"/>
      <c r="BY578" s="40"/>
      <c r="BZ578" s="5"/>
      <c r="CB578" s="40"/>
      <c r="CC578" s="5"/>
      <c r="CE578" s="40"/>
      <c r="CF578" s="5"/>
      <c r="CH578" s="40"/>
      <c r="CI578" s="5"/>
      <c r="CK578" s="40"/>
      <c r="CL578" s="5"/>
      <c r="CN578" s="40"/>
      <c r="CO578" s="5"/>
      <c r="CQ578" s="40"/>
      <c r="CR578" s="5"/>
    </row>
    <row r="579">
      <c r="AL579" s="40"/>
      <c r="AM579" s="5"/>
      <c r="AO579" s="40"/>
      <c r="AP579" s="5"/>
      <c r="AR579" s="40"/>
      <c r="AS579" s="5"/>
      <c r="AU579" s="40"/>
      <c r="AV579" s="5"/>
      <c r="AX579" s="40"/>
      <c r="AY579" s="5"/>
      <c r="BA579" s="40"/>
      <c r="BB579" s="5"/>
      <c r="BD579" s="40"/>
      <c r="BE579" s="5"/>
      <c r="BG579" s="40"/>
      <c r="BH579" s="5"/>
      <c r="BJ579" s="40"/>
      <c r="BK579" s="5"/>
      <c r="BM579" s="40"/>
      <c r="BN579" s="5"/>
      <c r="BP579" s="40"/>
      <c r="BQ579" s="5"/>
      <c r="BS579" s="40"/>
      <c r="BT579" s="5"/>
      <c r="BV579" s="40"/>
      <c r="BW579" s="5"/>
      <c r="BY579" s="40"/>
      <c r="BZ579" s="5"/>
      <c r="CB579" s="40"/>
      <c r="CC579" s="5"/>
      <c r="CE579" s="40"/>
      <c r="CF579" s="5"/>
      <c r="CH579" s="40"/>
      <c r="CI579" s="5"/>
      <c r="CK579" s="40"/>
      <c r="CL579" s="5"/>
      <c r="CN579" s="40"/>
      <c r="CO579" s="5"/>
      <c r="CQ579" s="40"/>
      <c r="CR579" s="5"/>
    </row>
    <row r="580">
      <c r="AL580" s="40"/>
      <c r="AM580" s="5"/>
      <c r="AO580" s="40"/>
      <c r="AP580" s="5"/>
      <c r="AR580" s="40"/>
      <c r="AS580" s="5"/>
      <c r="AU580" s="40"/>
      <c r="AV580" s="5"/>
      <c r="AX580" s="40"/>
      <c r="AY580" s="5"/>
      <c r="BA580" s="40"/>
      <c r="BB580" s="5"/>
      <c r="BD580" s="40"/>
      <c r="BE580" s="5"/>
      <c r="BG580" s="40"/>
      <c r="BH580" s="5"/>
      <c r="BJ580" s="40"/>
      <c r="BK580" s="5"/>
      <c r="BM580" s="40"/>
      <c r="BN580" s="5"/>
      <c r="BP580" s="40"/>
      <c r="BQ580" s="5"/>
      <c r="BS580" s="40"/>
      <c r="BT580" s="5"/>
      <c r="BV580" s="40"/>
      <c r="BW580" s="5"/>
      <c r="BY580" s="40"/>
      <c r="BZ580" s="5"/>
      <c r="CB580" s="40"/>
      <c r="CC580" s="5"/>
      <c r="CE580" s="40"/>
      <c r="CF580" s="5"/>
      <c r="CH580" s="40"/>
      <c r="CI580" s="5"/>
      <c r="CK580" s="40"/>
      <c r="CL580" s="5"/>
      <c r="CN580" s="40"/>
      <c r="CO580" s="5"/>
      <c r="CQ580" s="40"/>
      <c r="CR580" s="5"/>
    </row>
    <row r="581">
      <c r="AL581" s="40"/>
      <c r="AM581" s="5"/>
      <c r="AO581" s="40"/>
      <c r="AP581" s="5"/>
      <c r="AR581" s="40"/>
      <c r="AS581" s="5"/>
      <c r="AU581" s="40"/>
      <c r="AV581" s="5"/>
      <c r="AX581" s="40"/>
      <c r="AY581" s="5"/>
      <c r="BA581" s="40"/>
      <c r="BB581" s="5"/>
      <c r="BD581" s="40"/>
      <c r="BE581" s="5"/>
      <c r="BG581" s="40"/>
      <c r="BH581" s="5"/>
      <c r="BJ581" s="40"/>
      <c r="BK581" s="5"/>
      <c r="BM581" s="40"/>
      <c r="BN581" s="5"/>
      <c r="BP581" s="40"/>
      <c r="BQ581" s="5"/>
      <c r="BS581" s="40"/>
      <c r="BT581" s="5"/>
      <c r="BV581" s="40"/>
      <c r="BW581" s="5"/>
      <c r="BY581" s="40"/>
      <c r="BZ581" s="5"/>
      <c r="CB581" s="40"/>
      <c r="CC581" s="5"/>
      <c r="CE581" s="40"/>
      <c r="CF581" s="5"/>
      <c r="CH581" s="40"/>
      <c r="CI581" s="5"/>
      <c r="CK581" s="40"/>
      <c r="CL581" s="5"/>
      <c r="CN581" s="40"/>
      <c r="CO581" s="5"/>
      <c r="CQ581" s="40"/>
      <c r="CR581" s="5"/>
    </row>
    <row r="582">
      <c r="AL582" s="40"/>
      <c r="AM582" s="5"/>
      <c r="AO582" s="40"/>
      <c r="AP582" s="5"/>
      <c r="AR582" s="40"/>
      <c r="AS582" s="5"/>
      <c r="AU582" s="40"/>
      <c r="AV582" s="5"/>
      <c r="AX582" s="40"/>
      <c r="AY582" s="5"/>
      <c r="BA582" s="40"/>
      <c r="BB582" s="5"/>
      <c r="BD582" s="40"/>
      <c r="BE582" s="5"/>
      <c r="BG582" s="40"/>
      <c r="BH582" s="5"/>
      <c r="BJ582" s="40"/>
      <c r="BK582" s="5"/>
      <c r="BM582" s="40"/>
      <c r="BN582" s="5"/>
      <c r="BP582" s="40"/>
      <c r="BQ582" s="5"/>
      <c r="BS582" s="40"/>
      <c r="BT582" s="5"/>
      <c r="BV582" s="40"/>
      <c r="BW582" s="5"/>
      <c r="BY582" s="40"/>
      <c r="BZ582" s="5"/>
      <c r="CB582" s="40"/>
      <c r="CC582" s="5"/>
      <c r="CE582" s="40"/>
      <c r="CF582" s="5"/>
      <c r="CH582" s="40"/>
      <c r="CI582" s="5"/>
      <c r="CK582" s="40"/>
      <c r="CL582" s="5"/>
      <c r="CN582" s="40"/>
      <c r="CO582" s="5"/>
      <c r="CQ582" s="40"/>
      <c r="CR582" s="5"/>
    </row>
    <row r="583">
      <c r="AL583" s="40"/>
      <c r="AM583" s="5"/>
      <c r="AO583" s="40"/>
      <c r="AP583" s="5"/>
      <c r="AR583" s="40"/>
      <c r="AS583" s="5"/>
      <c r="AU583" s="40"/>
      <c r="AV583" s="5"/>
      <c r="AX583" s="40"/>
      <c r="AY583" s="5"/>
      <c r="BA583" s="40"/>
      <c r="BB583" s="5"/>
      <c r="BD583" s="40"/>
      <c r="BE583" s="5"/>
      <c r="BG583" s="40"/>
      <c r="BH583" s="5"/>
      <c r="BJ583" s="40"/>
      <c r="BK583" s="5"/>
      <c r="BM583" s="40"/>
      <c r="BN583" s="5"/>
      <c r="BP583" s="40"/>
      <c r="BQ583" s="5"/>
      <c r="BS583" s="40"/>
      <c r="BT583" s="5"/>
      <c r="BV583" s="40"/>
      <c r="BW583" s="5"/>
      <c r="BY583" s="40"/>
      <c r="BZ583" s="5"/>
      <c r="CB583" s="40"/>
      <c r="CC583" s="5"/>
      <c r="CE583" s="40"/>
      <c r="CF583" s="5"/>
      <c r="CH583" s="40"/>
      <c r="CI583" s="5"/>
      <c r="CK583" s="40"/>
      <c r="CL583" s="5"/>
      <c r="CN583" s="40"/>
      <c r="CO583" s="5"/>
      <c r="CQ583" s="40"/>
      <c r="CR583" s="5"/>
    </row>
    <row r="584">
      <c r="AL584" s="40"/>
      <c r="AM584" s="5"/>
      <c r="AO584" s="40"/>
      <c r="AP584" s="5"/>
      <c r="AR584" s="40"/>
      <c r="AS584" s="5"/>
      <c r="AU584" s="40"/>
      <c r="AV584" s="5"/>
      <c r="AX584" s="40"/>
      <c r="AY584" s="5"/>
      <c r="BA584" s="40"/>
      <c r="BB584" s="5"/>
      <c r="BD584" s="40"/>
      <c r="BE584" s="5"/>
      <c r="BG584" s="40"/>
      <c r="BH584" s="5"/>
      <c r="BJ584" s="40"/>
      <c r="BK584" s="5"/>
      <c r="BM584" s="40"/>
      <c r="BN584" s="5"/>
      <c r="BP584" s="40"/>
      <c r="BQ584" s="5"/>
      <c r="BS584" s="40"/>
      <c r="BT584" s="5"/>
      <c r="BV584" s="40"/>
      <c r="BW584" s="5"/>
      <c r="BY584" s="40"/>
      <c r="BZ584" s="5"/>
      <c r="CB584" s="40"/>
      <c r="CC584" s="5"/>
      <c r="CE584" s="40"/>
      <c r="CF584" s="5"/>
      <c r="CH584" s="40"/>
      <c r="CI584" s="5"/>
      <c r="CK584" s="40"/>
      <c r="CL584" s="5"/>
      <c r="CN584" s="40"/>
      <c r="CO584" s="5"/>
      <c r="CQ584" s="40"/>
      <c r="CR584" s="5"/>
    </row>
    <row r="585">
      <c r="AL585" s="40"/>
      <c r="AM585" s="5"/>
      <c r="AO585" s="40"/>
      <c r="AP585" s="5"/>
      <c r="AR585" s="40"/>
      <c r="AS585" s="5"/>
      <c r="AU585" s="40"/>
      <c r="AV585" s="5"/>
      <c r="AX585" s="40"/>
      <c r="AY585" s="5"/>
      <c r="BA585" s="40"/>
      <c r="BB585" s="5"/>
      <c r="BD585" s="40"/>
      <c r="BE585" s="5"/>
      <c r="BG585" s="40"/>
      <c r="BH585" s="5"/>
      <c r="BJ585" s="40"/>
      <c r="BK585" s="5"/>
      <c r="BM585" s="40"/>
      <c r="BN585" s="5"/>
      <c r="BP585" s="40"/>
      <c r="BQ585" s="5"/>
      <c r="BS585" s="40"/>
      <c r="BT585" s="5"/>
      <c r="BV585" s="40"/>
      <c r="BW585" s="5"/>
      <c r="BY585" s="40"/>
      <c r="BZ585" s="5"/>
      <c r="CB585" s="40"/>
      <c r="CC585" s="5"/>
      <c r="CE585" s="40"/>
      <c r="CF585" s="5"/>
      <c r="CH585" s="40"/>
      <c r="CI585" s="5"/>
      <c r="CK585" s="40"/>
      <c r="CL585" s="5"/>
      <c r="CN585" s="40"/>
      <c r="CO585" s="5"/>
      <c r="CQ585" s="40"/>
      <c r="CR585" s="5"/>
    </row>
    <row r="586">
      <c r="AL586" s="40"/>
      <c r="AM586" s="5"/>
      <c r="AO586" s="40"/>
      <c r="AP586" s="5"/>
      <c r="AR586" s="40"/>
      <c r="AS586" s="5"/>
      <c r="AU586" s="40"/>
      <c r="AV586" s="5"/>
      <c r="AX586" s="40"/>
      <c r="AY586" s="5"/>
      <c r="BA586" s="40"/>
      <c r="BB586" s="5"/>
      <c r="BD586" s="40"/>
      <c r="BE586" s="5"/>
      <c r="BG586" s="40"/>
      <c r="BH586" s="5"/>
      <c r="BJ586" s="40"/>
      <c r="BK586" s="5"/>
      <c r="BM586" s="40"/>
      <c r="BN586" s="5"/>
      <c r="BP586" s="40"/>
      <c r="BQ586" s="5"/>
      <c r="BS586" s="40"/>
      <c r="BT586" s="5"/>
      <c r="BV586" s="40"/>
      <c r="BW586" s="5"/>
      <c r="BY586" s="40"/>
      <c r="BZ586" s="5"/>
      <c r="CB586" s="40"/>
      <c r="CC586" s="5"/>
      <c r="CE586" s="40"/>
      <c r="CF586" s="5"/>
      <c r="CH586" s="40"/>
      <c r="CI586" s="5"/>
      <c r="CK586" s="40"/>
      <c r="CL586" s="5"/>
      <c r="CN586" s="40"/>
      <c r="CO586" s="5"/>
      <c r="CQ586" s="40"/>
      <c r="CR586" s="5"/>
    </row>
    <row r="587">
      <c r="AL587" s="40"/>
      <c r="AM587" s="5"/>
      <c r="AO587" s="40"/>
      <c r="AP587" s="5"/>
      <c r="AR587" s="40"/>
      <c r="AS587" s="5"/>
      <c r="AU587" s="40"/>
      <c r="AV587" s="5"/>
      <c r="AX587" s="40"/>
      <c r="AY587" s="5"/>
      <c r="BA587" s="40"/>
      <c r="BB587" s="5"/>
      <c r="BD587" s="40"/>
      <c r="BE587" s="5"/>
      <c r="BG587" s="40"/>
      <c r="BH587" s="5"/>
      <c r="BJ587" s="40"/>
      <c r="BK587" s="5"/>
      <c r="BM587" s="40"/>
      <c r="BN587" s="5"/>
      <c r="BP587" s="40"/>
      <c r="BQ587" s="5"/>
      <c r="BS587" s="40"/>
      <c r="BT587" s="5"/>
      <c r="BV587" s="40"/>
      <c r="BW587" s="5"/>
      <c r="BY587" s="40"/>
      <c r="BZ587" s="5"/>
      <c r="CB587" s="40"/>
      <c r="CC587" s="5"/>
      <c r="CE587" s="40"/>
      <c r="CF587" s="5"/>
      <c r="CH587" s="40"/>
      <c r="CI587" s="5"/>
      <c r="CK587" s="40"/>
      <c r="CL587" s="5"/>
      <c r="CN587" s="40"/>
      <c r="CO587" s="5"/>
      <c r="CQ587" s="40"/>
      <c r="CR587" s="5"/>
    </row>
    <row r="588">
      <c r="AL588" s="40"/>
      <c r="AM588" s="5"/>
      <c r="AO588" s="40"/>
      <c r="AP588" s="5"/>
      <c r="AR588" s="40"/>
      <c r="AS588" s="5"/>
      <c r="AU588" s="40"/>
      <c r="AV588" s="5"/>
      <c r="AX588" s="40"/>
      <c r="AY588" s="5"/>
      <c r="BA588" s="40"/>
      <c r="BB588" s="5"/>
      <c r="BD588" s="40"/>
      <c r="BE588" s="5"/>
      <c r="BG588" s="40"/>
      <c r="BH588" s="5"/>
      <c r="BJ588" s="40"/>
      <c r="BK588" s="5"/>
      <c r="BM588" s="40"/>
      <c r="BN588" s="5"/>
      <c r="BP588" s="40"/>
      <c r="BQ588" s="5"/>
      <c r="BS588" s="40"/>
      <c r="BT588" s="5"/>
      <c r="BV588" s="40"/>
      <c r="BW588" s="5"/>
      <c r="BY588" s="40"/>
      <c r="BZ588" s="5"/>
      <c r="CB588" s="40"/>
      <c r="CC588" s="5"/>
      <c r="CE588" s="40"/>
      <c r="CF588" s="5"/>
      <c r="CH588" s="40"/>
      <c r="CI588" s="5"/>
      <c r="CK588" s="40"/>
      <c r="CL588" s="5"/>
      <c r="CN588" s="40"/>
      <c r="CO588" s="5"/>
      <c r="CQ588" s="40"/>
      <c r="CR588" s="5"/>
    </row>
    <row r="589">
      <c r="AL589" s="40"/>
      <c r="AM589" s="5"/>
      <c r="AO589" s="40"/>
      <c r="AP589" s="5"/>
      <c r="AR589" s="40"/>
      <c r="AS589" s="5"/>
      <c r="AU589" s="40"/>
      <c r="AV589" s="5"/>
      <c r="AX589" s="40"/>
      <c r="AY589" s="5"/>
      <c r="BA589" s="40"/>
      <c r="BB589" s="5"/>
      <c r="BD589" s="40"/>
      <c r="BE589" s="5"/>
      <c r="BG589" s="40"/>
      <c r="BH589" s="5"/>
      <c r="BJ589" s="40"/>
      <c r="BK589" s="5"/>
      <c r="BM589" s="40"/>
      <c r="BN589" s="5"/>
      <c r="BP589" s="40"/>
      <c r="BQ589" s="5"/>
      <c r="BS589" s="40"/>
      <c r="BT589" s="5"/>
      <c r="BV589" s="40"/>
      <c r="BW589" s="5"/>
      <c r="BY589" s="40"/>
      <c r="BZ589" s="5"/>
      <c r="CB589" s="40"/>
      <c r="CC589" s="5"/>
      <c r="CE589" s="40"/>
      <c r="CF589" s="5"/>
      <c r="CH589" s="40"/>
      <c r="CI589" s="5"/>
      <c r="CK589" s="40"/>
      <c r="CL589" s="5"/>
      <c r="CN589" s="40"/>
      <c r="CO589" s="5"/>
      <c r="CQ589" s="40"/>
      <c r="CR589" s="5"/>
    </row>
    <row r="590">
      <c r="AL590" s="40"/>
      <c r="AM590" s="5"/>
      <c r="AO590" s="40"/>
      <c r="AP590" s="5"/>
      <c r="AR590" s="40"/>
      <c r="AS590" s="5"/>
      <c r="AU590" s="40"/>
      <c r="AV590" s="5"/>
      <c r="AX590" s="40"/>
      <c r="AY590" s="5"/>
      <c r="BA590" s="40"/>
      <c r="BB590" s="5"/>
      <c r="BD590" s="40"/>
      <c r="BE590" s="5"/>
      <c r="BG590" s="40"/>
      <c r="BH590" s="5"/>
      <c r="BJ590" s="40"/>
      <c r="BK590" s="5"/>
      <c r="BM590" s="40"/>
      <c r="BN590" s="5"/>
      <c r="BP590" s="40"/>
      <c r="BQ590" s="5"/>
      <c r="BS590" s="40"/>
      <c r="BT590" s="5"/>
      <c r="BV590" s="40"/>
      <c r="BW590" s="5"/>
      <c r="BY590" s="40"/>
      <c r="BZ590" s="5"/>
      <c r="CB590" s="40"/>
      <c r="CC590" s="5"/>
      <c r="CE590" s="40"/>
      <c r="CF590" s="5"/>
      <c r="CH590" s="40"/>
      <c r="CI590" s="5"/>
      <c r="CK590" s="40"/>
      <c r="CL590" s="5"/>
      <c r="CN590" s="40"/>
      <c r="CO590" s="5"/>
      <c r="CQ590" s="40"/>
      <c r="CR590" s="5"/>
    </row>
    <row r="591">
      <c r="AL591" s="40"/>
      <c r="AM591" s="5"/>
      <c r="AO591" s="40"/>
      <c r="AP591" s="5"/>
      <c r="AR591" s="40"/>
      <c r="AS591" s="5"/>
      <c r="AU591" s="40"/>
      <c r="AV591" s="5"/>
      <c r="AX591" s="40"/>
      <c r="AY591" s="5"/>
      <c r="BA591" s="40"/>
      <c r="BB591" s="5"/>
      <c r="BD591" s="40"/>
      <c r="BE591" s="5"/>
      <c r="BG591" s="40"/>
      <c r="BH591" s="5"/>
      <c r="BJ591" s="40"/>
      <c r="BK591" s="5"/>
      <c r="BM591" s="40"/>
      <c r="BN591" s="5"/>
      <c r="BP591" s="40"/>
      <c r="BQ591" s="5"/>
      <c r="BS591" s="40"/>
      <c r="BT591" s="5"/>
      <c r="BV591" s="40"/>
      <c r="BW591" s="5"/>
      <c r="BY591" s="40"/>
      <c r="BZ591" s="5"/>
      <c r="CB591" s="40"/>
      <c r="CC591" s="5"/>
      <c r="CE591" s="40"/>
      <c r="CF591" s="5"/>
      <c r="CH591" s="40"/>
      <c r="CI591" s="5"/>
      <c r="CK591" s="40"/>
      <c r="CL591" s="5"/>
      <c r="CN591" s="40"/>
      <c r="CO591" s="5"/>
      <c r="CQ591" s="40"/>
      <c r="CR591" s="5"/>
    </row>
    <row r="592">
      <c r="AL592" s="40"/>
      <c r="AM592" s="5"/>
      <c r="AO592" s="40"/>
      <c r="AP592" s="5"/>
      <c r="AR592" s="40"/>
      <c r="AS592" s="5"/>
      <c r="AU592" s="40"/>
      <c r="AV592" s="5"/>
      <c r="AX592" s="40"/>
      <c r="AY592" s="5"/>
      <c r="BA592" s="40"/>
      <c r="BB592" s="5"/>
      <c r="BD592" s="40"/>
      <c r="BE592" s="5"/>
      <c r="BG592" s="40"/>
      <c r="BH592" s="5"/>
      <c r="BJ592" s="40"/>
      <c r="BK592" s="5"/>
      <c r="BM592" s="40"/>
      <c r="BN592" s="5"/>
      <c r="BP592" s="40"/>
      <c r="BQ592" s="5"/>
      <c r="BS592" s="40"/>
      <c r="BT592" s="5"/>
      <c r="BV592" s="40"/>
      <c r="BW592" s="5"/>
      <c r="BY592" s="40"/>
      <c r="BZ592" s="5"/>
      <c r="CB592" s="40"/>
      <c r="CC592" s="5"/>
      <c r="CE592" s="40"/>
      <c r="CF592" s="5"/>
      <c r="CH592" s="40"/>
      <c r="CI592" s="5"/>
      <c r="CK592" s="40"/>
      <c r="CL592" s="5"/>
      <c r="CN592" s="40"/>
      <c r="CO592" s="5"/>
      <c r="CQ592" s="40"/>
      <c r="CR592" s="5"/>
    </row>
    <row r="593">
      <c r="AL593" s="40"/>
      <c r="AM593" s="5"/>
      <c r="AO593" s="40"/>
      <c r="AP593" s="5"/>
      <c r="AR593" s="40"/>
      <c r="AS593" s="5"/>
      <c r="AU593" s="40"/>
      <c r="AV593" s="5"/>
      <c r="AX593" s="40"/>
      <c r="AY593" s="5"/>
      <c r="BA593" s="40"/>
      <c r="BB593" s="5"/>
      <c r="BD593" s="40"/>
      <c r="BE593" s="5"/>
      <c r="BG593" s="40"/>
      <c r="BH593" s="5"/>
      <c r="BJ593" s="40"/>
      <c r="BK593" s="5"/>
      <c r="BM593" s="40"/>
      <c r="BN593" s="5"/>
      <c r="BP593" s="40"/>
      <c r="BQ593" s="5"/>
      <c r="BS593" s="40"/>
      <c r="BT593" s="5"/>
      <c r="BV593" s="40"/>
      <c r="BW593" s="5"/>
      <c r="BY593" s="40"/>
      <c r="BZ593" s="5"/>
      <c r="CB593" s="40"/>
      <c r="CC593" s="5"/>
      <c r="CE593" s="40"/>
      <c r="CF593" s="5"/>
      <c r="CH593" s="40"/>
      <c r="CI593" s="5"/>
      <c r="CK593" s="40"/>
      <c r="CL593" s="5"/>
      <c r="CN593" s="40"/>
      <c r="CO593" s="5"/>
      <c r="CQ593" s="40"/>
      <c r="CR593" s="5"/>
    </row>
    <row r="594">
      <c r="AL594" s="40"/>
      <c r="AM594" s="5"/>
      <c r="AO594" s="40"/>
      <c r="AP594" s="5"/>
      <c r="AR594" s="40"/>
      <c r="AS594" s="5"/>
      <c r="AU594" s="40"/>
      <c r="AV594" s="5"/>
      <c r="AX594" s="40"/>
      <c r="AY594" s="5"/>
      <c r="BA594" s="40"/>
      <c r="BB594" s="5"/>
      <c r="BD594" s="40"/>
      <c r="BE594" s="5"/>
      <c r="BG594" s="40"/>
      <c r="BH594" s="5"/>
      <c r="BJ594" s="40"/>
      <c r="BK594" s="5"/>
      <c r="BM594" s="40"/>
      <c r="BN594" s="5"/>
      <c r="BP594" s="40"/>
      <c r="BQ594" s="5"/>
      <c r="BS594" s="40"/>
      <c r="BT594" s="5"/>
      <c r="BV594" s="40"/>
      <c r="BW594" s="5"/>
      <c r="BY594" s="40"/>
      <c r="BZ594" s="5"/>
      <c r="CB594" s="40"/>
      <c r="CC594" s="5"/>
      <c r="CE594" s="40"/>
      <c r="CF594" s="5"/>
      <c r="CH594" s="40"/>
      <c r="CI594" s="5"/>
      <c r="CK594" s="40"/>
      <c r="CL594" s="5"/>
      <c r="CN594" s="40"/>
      <c r="CO594" s="5"/>
      <c r="CQ594" s="40"/>
      <c r="CR594" s="5"/>
    </row>
    <row r="595">
      <c r="AL595" s="40"/>
      <c r="AM595" s="5"/>
      <c r="AO595" s="40"/>
      <c r="AP595" s="5"/>
      <c r="AR595" s="40"/>
      <c r="AS595" s="5"/>
      <c r="AU595" s="40"/>
      <c r="AV595" s="5"/>
      <c r="AX595" s="40"/>
      <c r="AY595" s="5"/>
      <c r="BA595" s="40"/>
      <c r="BB595" s="5"/>
      <c r="BD595" s="40"/>
      <c r="BE595" s="5"/>
      <c r="BG595" s="40"/>
      <c r="BH595" s="5"/>
      <c r="BJ595" s="40"/>
      <c r="BK595" s="5"/>
      <c r="BM595" s="40"/>
      <c r="BN595" s="5"/>
      <c r="BP595" s="40"/>
      <c r="BQ595" s="5"/>
      <c r="BS595" s="40"/>
      <c r="BT595" s="5"/>
      <c r="BV595" s="40"/>
      <c r="BW595" s="5"/>
      <c r="BY595" s="40"/>
      <c r="BZ595" s="5"/>
      <c r="CB595" s="40"/>
      <c r="CC595" s="5"/>
      <c r="CE595" s="40"/>
      <c r="CF595" s="5"/>
      <c r="CH595" s="40"/>
      <c r="CI595" s="5"/>
      <c r="CK595" s="40"/>
      <c r="CL595" s="5"/>
      <c r="CN595" s="40"/>
      <c r="CO595" s="5"/>
      <c r="CQ595" s="40"/>
      <c r="CR595" s="5"/>
    </row>
    <row r="596">
      <c r="AL596" s="40"/>
      <c r="AM596" s="5"/>
      <c r="AO596" s="40"/>
      <c r="AP596" s="5"/>
      <c r="AR596" s="40"/>
      <c r="AS596" s="5"/>
      <c r="AU596" s="40"/>
      <c r="AV596" s="5"/>
      <c r="AX596" s="40"/>
      <c r="AY596" s="5"/>
      <c r="BA596" s="40"/>
      <c r="BB596" s="5"/>
      <c r="BD596" s="40"/>
      <c r="BE596" s="5"/>
      <c r="BG596" s="40"/>
      <c r="BH596" s="5"/>
      <c r="BJ596" s="40"/>
      <c r="BK596" s="5"/>
      <c r="BM596" s="40"/>
      <c r="BN596" s="5"/>
      <c r="BP596" s="40"/>
      <c r="BQ596" s="5"/>
      <c r="BS596" s="40"/>
      <c r="BT596" s="5"/>
      <c r="BV596" s="40"/>
      <c r="BW596" s="5"/>
      <c r="BY596" s="40"/>
      <c r="BZ596" s="5"/>
      <c r="CB596" s="40"/>
      <c r="CC596" s="5"/>
      <c r="CE596" s="40"/>
      <c r="CF596" s="5"/>
      <c r="CH596" s="40"/>
      <c r="CI596" s="5"/>
      <c r="CK596" s="40"/>
      <c r="CL596" s="5"/>
      <c r="CN596" s="40"/>
      <c r="CO596" s="5"/>
      <c r="CQ596" s="40"/>
      <c r="CR596" s="5"/>
    </row>
    <row r="597">
      <c r="AL597" s="40"/>
      <c r="AM597" s="5"/>
      <c r="AO597" s="40"/>
      <c r="AP597" s="5"/>
      <c r="AR597" s="40"/>
      <c r="AS597" s="5"/>
      <c r="AU597" s="40"/>
      <c r="AV597" s="5"/>
      <c r="AX597" s="40"/>
      <c r="AY597" s="5"/>
      <c r="BA597" s="40"/>
      <c r="BB597" s="5"/>
      <c r="BD597" s="40"/>
      <c r="BE597" s="5"/>
      <c r="BG597" s="40"/>
      <c r="BH597" s="5"/>
      <c r="BJ597" s="40"/>
      <c r="BK597" s="5"/>
      <c r="BM597" s="40"/>
      <c r="BN597" s="5"/>
      <c r="BP597" s="40"/>
      <c r="BQ597" s="5"/>
      <c r="BS597" s="40"/>
      <c r="BT597" s="5"/>
      <c r="BV597" s="40"/>
      <c r="BW597" s="5"/>
      <c r="BY597" s="40"/>
      <c r="BZ597" s="5"/>
      <c r="CB597" s="40"/>
      <c r="CC597" s="5"/>
      <c r="CE597" s="40"/>
      <c r="CF597" s="5"/>
      <c r="CH597" s="40"/>
      <c r="CI597" s="5"/>
      <c r="CK597" s="40"/>
      <c r="CL597" s="5"/>
      <c r="CN597" s="40"/>
      <c r="CO597" s="5"/>
      <c r="CQ597" s="40"/>
      <c r="CR597" s="5"/>
    </row>
    <row r="598">
      <c r="AL598" s="40"/>
      <c r="AM598" s="5"/>
      <c r="AO598" s="40"/>
      <c r="AP598" s="5"/>
      <c r="AR598" s="40"/>
      <c r="AS598" s="5"/>
      <c r="AU598" s="40"/>
      <c r="AV598" s="5"/>
      <c r="AX598" s="40"/>
      <c r="AY598" s="5"/>
      <c r="BA598" s="40"/>
      <c r="BB598" s="5"/>
      <c r="BD598" s="40"/>
      <c r="BE598" s="5"/>
      <c r="BG598" s="40"/>
      <c r="BH598" s="5"/>
      <c r="BJ598" s="40"/>
      <c r="BK598" s="5"/>
      <c r="BM598" s="40"/>
      <c r="BN598" s="5"/>
      <c r="BP598" s="40"/>
      <c r="BQ598" s="5"/>
      <c r="BS598" s="40"/>
      <c r="BT598" s="5"/>
      <c r="BV598" s="40"/>
      <c r="BW598" s="5"/>
      <c r="BY598" s="40"/>
      <c r="BZ598" s="5"/>
      <c r="CB598" s="40"/>
      <c r="CC598" s="5"/>
      <c r="CE598" s="40"/>
      <c r="CF598" s="5"/>
      <c r="CH598" s="40"/>
      <c r="CI598" s="5"/>
      <c r="CK598" s="40"/>
      <c r="CL598" s="5"/>
      <c r="CN598" s="40"/>
      <c r="CO598" s="5"/>
      <c r="CQ598" s="40"/>
      <c r="CR598" s="5"/>
    </row>
    <row r="599">
      <c r="AL599" s="40"/>
      <c r="AM599" s="5"/>
      <c r="AO599" s="40"/>
      <c r="AP599" s="5"/>
      <c r="AR599" s="40"/>
      <c r="AS599" s="5"/>
      <c r="AU599" s="40"/>
      <c r="AV599" s="5"/>
      <c r="AX599" s="40"/>
      <c r="AY599" s="5"/>
      <c r="BA599" s="40"/>
      <c r="BB599" s="5"/>
      <c r="BD599" s="40"/>
      <c r="BE599" s="5"/>
      <c r="BG599" s="40"/>
      <c r="BH599" s="5"/>
      <c r="BJ599" s="40"/>
      <c r="BK599" s="5"/>
      <c r="BM599" s="40"/>
      <c r="BN599" s="5"/>
      <c r="BP599" s="40"/>
      <c r="BQ599" s="5"/>
      <c r="BS599" s="40"/>
      <c r="BT599" s="5"/>
      <c r="BV599" s="40"/>
      <c r="BW599" s="5"/>
      <c r="BY599" s="40"/>
      <c r="BZ599" s="5"/>
      <c r="CB599" s="40"/>
      <c r="CC599" s="5"/>
      <c r="CE599" s="40"/>
      <c r="CF599" s="5"/>
      <c r="CH599" s="40"/>
      <c r="CI599" s="5"/>
      <c r="CK599" s="40"/>
      <c r="CL599" s="5"/>
      <c r="CN599" s="40"/>
      <c r="CO599" s="5"/>
      <c r="CQ599" s="40"/>
      <c r="CR599" s="5"/>
    </row>
    <row r="600">
      <c r="AL600" s="40"/>
      <c r="AM600" s="5"/>
      <c r="AO600" s="40"/>
      <c r="AP600" s="5"/>
      <c r="AR600" s="40"/>
      <c r="AS600" s="5"/>
      <c r="AU600" s="40"/>
      <c r="AV600" s="5"/>
      <c r="AX600" s="40"/>
      <c r="AY600" s="5"/>
      <c r="BA600" s="40"/>
      <c r="BB600" s="5"/>
      <c r="BD600" s="40"/>
      <c r="BE600" s="5"/>
      <c r="BG600" s="40"/>
      <c r="BH600" s="5"/>
      <c r="BJ600" s="40"/>
      <c r="BK600" s="5"/>
      <c r="BM600" s="40"/>
      <c r="BN600" s="5"/>
      <c r="BP600" s="40"/>
      <c r="BQ600" s="5"/>
      <c r="BS600" s="40"/>
      <c r="BT600" s="5"/>
      <c r="BV600" s="40"/>
      <c r="BW600" s="5"/>
      <c r="BY600" s="40"/>
      <c r="BZ600" s="5"/>
      <c r="CB600" s="40"/>
      <c r="CC600" s="5"/>
      <c r="CE600" s="40"/>
      <c r="CF600" s="5"/>
      <c r="CH600" s="40"/>
      <c r="CI600" s="5"/>
      <c r="CK600" s="40"/>
      <c r="CL600" s="5"/>
      <c r="CN600" s="40"/>
      <c r="CO600" s="5"/>
      <c r="CQ600" s="40"/>
      <c r="CR600" s="5"/>
    </row>
    <row r="601">
      <c r="AL601" s="40"/>
      <c r="AM601" s="5"/>
      <c r="AO601" s="40"/>
      <c r="AP601" s="5"/>
      <c r="AR601" s="40"/>
      <c r="AS601" s="5"/>
      <c r="AU601" s="40"/>
      <c r="AV601" s="5"/>
      <c r="AX601" s="40"/>
      <c r="AY601" s="5"/>
      <c r="BA601" s="40"/>
      <c r="BB601" s="5"/>
      <c r="BD601" s="40"/>
      <c r="BE601" s="5"/>
      <c r="BG601" s="40"/>
      <c r="BH601" s="5"/>
      <c r="BJ601" s="40"/>
      <c r="BK601" s="5"/>
      <c r="BM601" s="40"/>
      <c r="BN601" s="5"/>
      <c r="BP601" s="40"/>
      <c r="BQ601" s="5"/>
      <c r="BS601" s="40"/>
      <c r="BT601" s="5"/>
      <c r="BV601" s="40"/>
      <c r="BW601" s="5"/>
      <c r="BY601" s="40"/>
      <c r="BZ601" s="5"/>
      <c r="CB601" s="40"/>
      <c r="CC601" s="5"/>
      <c r="CE601" s="40"/>
      <c r="CF601" s="5"/>
      <c r="CH601" s="40"/>
      <c r="CI601" s="5"/>
      <c r="CK601" s="40"/>
      <c r="CL601" s="5"/>
      <c r="CN601" s="40"/>
      <c r="CO601" s="5"/>
      <c r="CQ601" s="40"/>
      <c r="CR601" s="5"/>
    </row>
    <row r="602">
      <c r="AL602" s="40"/>
      <c r="AM602" s="5"/>
      <c r="AO602" s="40"/>
      <c r="AP602" s="5"/>
      <c r="AR602" s="40"/>
      <c r="AS602" s="5"/>
      <c r="AU602" s="40"/>
      <c r="AV602" s="5"/>
      <c r="AX602" s="40"/>
      <c r="AY602" s="5"/>
      <c r="BA602" s="40"/>
      <c r="BB602" s="5"/>
      <c r="BD602" s="40"/>
      <c r="BE602" s="5"/>
      <c r="BG602" s="40"/>
      <c r="BH602" s="5"/>
      <c r="BJ602" s="40"/>
      <c r="BK602" s="5"/>
      <c r="BM602" s="40"/>
      <c r="BN602" s="5"/>
      <c r="BP602" s="40"/>
      <c r="BQ602" s="5"/>
      <c r="BS602" s="40"/>
      <c r="BT602" s="5"/>
      <c r="BV602" s="40"/>
      <c r="BW602" s="5"/>
      <c r="BY602" s="40"/>
      <c r="BZ602" s="5"/>
      <c r="CB602" s="40"/>
      <c r="CC602" s="5"/>
      <c r="CE602" s="40"/>
      <c r="CF602" s="5"/>
      <c r="CH602" s="40"/>
      <c r="CI602" s="5"/>
      <c r="CK602" s="40"/>
      <c r="CL602" s="5"/>
      <c r="CN602" s="40"/>
      <c r="CO602" s="5"/>
      <c r="CQ602" s="40"/>
      <c r="CR602" s="5"/>
    </row>
    <row r="603">
      <c r="AL603" s="40"/>
      <c r="AM603" s="5"/>
      <c r="AO603" s="40"/>
      <c r="AP603" s="5"/>
      <c r="AR603" s="40"/>
      <c r="AS603" s="5"/>
      <c r="AU603" s="40"/>
      <c r="AV603" s="5"/>
      <c r="AX603" s="40"/>
      <c r="AY603" s="5"/>
      <c r="BA603" s="40"/>
      <c r="BB603" s="5"/>
      <c r="BD603" s="40"/>
      <c r="BE603" s="5"/>
      <c r="BG603" s="40"/>
      <c r="BH603" s="5"/>
      <c r="BJ603" s="40"/>
      <c r="BK603" s="5"/>
      <c r="BM603" s="40"/>
      <c r="BN603" s="5"/>
      <c r="BP603" s="40"/>
      <c r="BQ603" s="5"/>
      <c r="BS603" s="40"/>
      <c r="BT603" s="5"/>
      <c r="BV603" s="40"/>
      <c r="BW603" s="5"/>
      <c r="BY603" s="40"/>
      <c r="BZ603" s="5"/>
      <c r="CB603" s="40"/>
      <c r="CC603" s="5"/>
      <c r="CE603" s="40"/>
      <c r="CF603" s="5"/>
      <c r="CH603" s="40"/>
      <c r="CI603" s="5"/>
      <c r="CK603" s="40"/>
      <c r="CL603" s="5"/>
      <c r="CN603" s="40"/>
      <c r="CO603" s="5"/>
      <c r="CQ603" s="40"/>
      <c r="CR603" s="5"/>
    </row>
    <row r="604">
      <c r="AL604" s="40"/>
      <c r="AM604" s="5"/>
      <c r="AO604" s="40"/>
      <c r="AP604" s="5"/>
      <c r="AR604" s="40"/>
      <c r="AS604" s="5"/>
      <c r="AU604" s="40"/>
      <c r="AV604" s="5"/>
      <c r="AX604" s="40"/>
      <c r="AY604" s="5"/>
      <c r="BA604" s="40"/>
      <c r="BB604" s="5"/>
      <c r="BD604" s="40"/>
      <c r="BE604" s="5"/>
      <c r="BG604" s="40"/>
      <c r="BH604" s="5"/>
      <c r="BJ604" s="40"/>
      <c r="BK604" s="5"/>
      <c r="BM604" s="40"/>
      <c r="BN604" s="5"/>
      <c r="BP604" s="40"/>
      <c r="BQ604" s="5"/>
      <c r="BS604" s="40"/>
      <c r="BT604" s="5"/>
      <c r="BV604" s="40"/>
      <c r="BW604" s="5"/>
      <c r="BY604" s="40"/>
      <c r="BZ604" s="5"/>
      <c r="CB604" s="40"/>
      <c r="CC604" s="5"/>
      <c r="CE604" s="40"/>
      <c r="CF604" s="5"/>
      <c r="CH604" s="40"/>
      <c r="CI604" s="5"/>
      <c r="CK604" s="40"/>
      <c r="CL604" s="5"/>
      <c r="CN604" s="40"/>
      <c r="CO604" s="5"/>
      <c r="CQ604" s="40"/>
      <c r="CR604" s="5"/>
    </row>
    <row r="605">
      <c r="AL605" s="40"/>
      <c r="AM605" s="5"/>
      <c r="AO605" s="40"/>
      <c r="AP605" s="5"/>
      <c r="AR605" s="40"/>
      <c r="AS605" s="5"/>
      <c r="AU605" s="40"/>
      <c r="AV605" s="5"/>
      <c r="AX605" s="40"/>
      <c r="AY605" s="5"/>
      <c r="BA605" s="40"/>
      <c r="BB605" s="5"/>
      <c r="BD605" s="40"/>
      <c r="BE605" s="5"/>
      <c r="BG605" s="40"/>
      <c r="BH605" s="5"/>
      <c r="BJ605" s="40"/>
      <c r="BK605" s="5"/>
      <c r="BM605" s="40"/>
      <c r="BN605" s="5"/>
      <c r="BP605" s="40"/>
      <c r="BQ605" s="5"/>
      <c r="BS605" s="40"/>
      <c r="BT605" s="5"/>
      <c r="BV605" s="40"/>
      <c r="BW605" s="5"/>
      <c r="BY605" s="40"/>
      <c r="BZ605" s="5"/>
      <c r="CB605" s="40"/>
      <c r="CC605" s="5"/>
      <c r="CE605" s="40"/>
      <c r="CF605" s="5"/>
      <c r="CH605" s="40"/>
      <c r="CI605" s="5"/>
      <c r="CK605" s="40"/>
      <c r="CL605" s="5"/>
      <c r="CN605" s="40"/>
      <c r="CO605" s="5"/>
      <c r="CQ605" s="40"/>
      <c r="CR605" s="5"/>
    </row>
    <row r="606">
      <c r="AL606" s="40"/>
      <c r="AM606" s="5"/>
      <c r="AO606" s="40"/>
      <c r="AP606" s="5"/>
      <c r="AR606" s="40"/>
      <c r="AS606" s="5"/>
      <c r="AU606" s="40"/>
      <c r="AV606" s="5"/>
      <c r="AX606" s="40"/>
      <c r="AY606" s="5"/>
      <c r="BA606" s="40"/>
      <c r="BB606" s="5"/>
      <c r="BD606" s="40"/>
      <c r="BE606" s="5"/>
      <c r="BG606" s="40"/>
      <c r="BH606" s="5"/>
      <c r="BJ606" s="40"/>
      <c r="BK606" s="5"/>
      <c r="BM606" s="40"/>
      <c r="BN606" s="5"/>
      <c r="BP606" s="40"/>
      <c r="BQ606" s="5"/>
      <c r="BS606" s="40"/>
      <c r="BT606" s="5"/>
      <c r="BV606" s="40"/>
      <c r="BW606" s="5"/>
      <c r="BY606" s="40"/>
      <c r="BZ606" s="5"/>
      <c r="CB606" s="40"/>
      <c r="CC606" s="5"/>
      <c r="CE606" s="40"/>
      <c r="CF606" s="5"/>
      <c r="CH606" s="40"/>
      <c r="CI606" s="5"/>
      <c r="CK606" s="40"/>
      <c r="CL606" s="5"/>
      <c r="CN606" s="40"/>
      <c r="CO606" s="5"/>
      <c r="CQ606" s="40"/>
      <c r="CR606" s="5"/>
    </row>
    <row r="607">
      <c r="AL607" s="40"/>
      <c r="AM607" s="5"/>
      <c r="AO607" s="40"/>
      <c r="AP607" s="5"/>
      <c r="AR607" s="40"/>
      <c r="AS607" s="5"/>
      <c r="AU607" s="40"/>
      <c r="AV607" s="5"/>
      <c r="AX607" s="40"/>
      <c r="AY607" s="5"/>
      <c r="BA607" s="40"/>
      <c r="BB607" s="5"/>
      <c r="BD607" s="40"/>
      <c r="BE607" s="5"/>
      <c r="BG607" s="40"/>
      <c r="BH607" s="5"/>
      <c r="BJ607" s="40"/>
      <c r="BK607" s="5"/>
      <c r="BM607" s="40"/>
      <c r="BN607" s="5"/>
      <c r="BP607" s="40"/>
      <c r="BQ607" s="5"/>
      <c r="BS607" s="40"/>
      <c r="BT607" s="5"/>
      <c r="BV607" s="40"/>
      <c r="BW607" s="5"/>
      <c r="BY607" s="40"/>
      <c r="BZ607" s="5"/>
      <c r="CB607" s="40"/>
      <c r="CC607" s="5"/>
      <c r="CE607" s="40"/>
      <c r="CF607" s="5"/>
      <c r="CH607" s="40"/>
      <c r="CI607" s="5"/>
      <c r="CK607" s="40"/>
      <c r="CL607" s="5"/>
      <c r="CN607" s="40"/>
      <c r="CO607" s="5"/>
      <c r="CQ607" s="40"/>
      <c r="CR607" s="5"/>
    </row>
    <row r="608">
      <c r="AL608" s="40"/>
      <c r="AM608" s="5"/>
      <c r="AO608" s="40"/>
      <c r="AP608" s="5"/>
      <c r="AR608" s="40"/>
      <c r="AS608" s="5"/>
      <c r="AU608" s="40"/>
      <c r="AV608" s="5"/>
      <c r="AX608" s="40"/>
      <c r="AY608" s="5"/>
      <c r="BA608" s="40"/>
      <c r="BB608" s="5"/>
      <c r="BD608" s="40"/>
      <c r="BE608" s="5"/>
      <c r="BG608" s="40"/>
      <c r="BH608" s="5"/>
      <c r="BJ608" s="40"/>
      <c r="BK608" s="5"/>
      <c r="BM608" s="40"/>
      <c r="BN608" s="5"/>
      <c r="BP608" s="40"/>
      <c r="BQ608" s="5"/>
      <c r="BS608" s="40"/>
      <c r="BT608" s="5"/>
      <c r="BV608" s="40"/>
      <c r="BW608" s="5"/>
      <c r="BY608" s="40"/>
      <c r="BZ608" s="5"/>
      <c r="CB608" s="40"/>
      <c r="CC608" s="5"/>
      <c r="CE608" s="40"/>
      <c r="CF608" s="5"/>
      <c r="CH608" s="40"/>
      <c r="CI608" s="5"/>
      <c r="CK608" s="40"/>
      <c r="CL608" s="5"/>
      <c r="CN608" s="40"/>
      <c r="CO608" s="5"/>
      <c r="CQ608" s="40"/>
      <c r="CR608" s="5"/>
    </row>
    <row r="609">
      <c r="AL609" s="40"/>
      <c r="AM609" s="5"/>
      <c r="AO609" s="40"/>
      <c r="AP609" s="5"/>
      <c r="AR609" s="40"/>
      <c r="AS609" s="5"/>
      <c r="AU609" s="40"/>
      <c r="AV609" s="5"/>
      <c r="AX609" s="40"/>
      <c r="AY609" s="5"/>
      <c r="BA609" s="40"/>
      <c r="BB609" s="5"/>
      <c r="BD609" s="40"/>
      <c r="BE609" s="5"/>
      <c r="BG609" s="40"/>
      <c r="BH609" s="5"/>
      <c r="BJ609" s="40"/>
      <c r="BK609" s="5"/>
      <c r="BM609" s="40"/>
      <c r="BN609" s="5"/>
      <c r="BP609" s="40"/>
      <c r="BQ609" s="5"/>
      <c r="BS609" s="40"/>
      <c r="BT609" s="5"/>
      <c r="BV609" s="40"/>
      <c r="BW609" s="5"/>
      <c r="BY609" s="40"/>
      <c r="BZ609" s="5"/>
      <c r="CB609" s="40"/>
      <c r="CC609" s="5"/>
      <c r="CE609" s="40"/>
      <c r="CF609" s="5"/>
      <c r="CH609" s="40"/>
      <c r="CI609" s="5"/>
      <c r="CK609" s="40"/>
      <c r="CL609" s="5"/>
      <c r="CN609" s="40"/>
      <c r="CO609" s="5"/>
      <c r="CQ609" s="40"/>
      <c r="CR609" s="5"/>
    </row>
    <row r="610">
      <c r="AL610" s="40"/>
      <c r="AM610" s="5"/>
      <c r="AO610" s="40"/>
      <c r="AP610" s="5"/>
      <c r="AR610" s="40"/>
      <c r="AS610" s="5"/>
      <c r="AU610" s="40"/>
      <c r="AV610" s="5"/>
      <c r="AX610" s="40"/>
      <c r="AY610" s="5"/>
      <c r="BA610" s="40"/>
      <c r="BB610" s="5"/>
      <c r="BD610" s="40"/>
      <c r="BE610" s="5"/>
      <c r="BG610" s="40"/>
      <c r="BH610" s="5"/>
      <c r="BJ610" s="40"/>
      <c r="BK610" s="5"/>
      <c r="BM610" s="40"/>
      <c r="BN610" s="5"/>
      <c r="BP610" s="40"/>
      <c r="BQ610" s="5"/>
      <c r="BS610" s="40"/>
      <c r="BT610" s="5"/>
      <c r="BV610" s="40"/>
      <c r="BW610" s="5"/>
      <c r="BY610" s="40"/>
      <c r="BZ610" s="5"/>
      <c r="CB610" s="40"/>
      <c r="CC610" s="5"/>
      <c r="CE610" s="40"/>
      <c r="CF610" s="5"/>
      <c r="CH610" s="40"/>
      <c r="CI610" s="5"/>
      <c r="CK610" s="40"/>
      <c r="CL610" s="5"/>
      <c r="CN610" s="40"/>
      <c r="CO610" s="5"/>
      <c r="CQ610" s="40"/>
      <c r="CR610" s="5"/>
    </row>
    <row r="611">
      <c r="AL611" s="40"/>
      <c r="AM611" s="5"/>
      <c r="AO611" s="40"/>
      <c r="AP611" s="5"/>
      <c r="AR611" s="40"/>
      <c r="AS611" s="5"/>
      <c r="AU611" s="40"/>
      <c r="AV611" s="5"/>
      <c r="AX611" s="40"/>
      <c r="AY611" s="5"/>
      <c r="BA611" s="40"/>
      <c r="BB611" s="5"/>
      <c r="BD611" s="40"/>
      <c r="BE611" s="5"/>
      <c r="BG611" s="40"/>
      <c r="BH611" s="5"/>
      <c r="BJ611" s="40"/>
      <c r="BK611" s="5"/>
      <c r="BM611" s="40"/>
      <c r="BN611" s="5"/>
      <c r="BP611" s="40"/>
      <c r="BQ611" s="5"/>
      <c r="BS611" s="40"/>
      <c r="BT611" s="5"/>
      <c r="BV611" s="40"/>
      <c r="BW611" s="5"/>
      <c r="BY611" s="40"/>
      <c r="BZ611" s="5"/>
      <c r="CB611" s="40"/>
      <c r="CC611" s="5"/>
      <c r="CE611" s="40"/>
      <c r="CF611" s="5"/>
      <c r="CH611" s="40"/>
      <c r="CI611" s="5"/>
      <c r="CK611" s="40"/>
      <c r="CL611" s="5"/>
      <c r="CN611" s="40"/>
      <c r="CO611" s="5"/>
      <c r="CQ611" s="40"/>
      <c r="CR611" s="5"/>
    </row>
    <row r="612">
      <c r="AL612" s="40"/>
      <c r="AM612" s="5"/>
      <c r="AO612" s="40"/>
      <c r="AP612" s="5"/>
      <c r="AR612" s="40"/>
      <c r="AS612" s="5"/>
      <c r="AU612" s="40"/>
      <c r="AV612" s="5"/>
      <c r="AX612" s="40"/>
      <c r="AY612" s="5"/>
      <c r="BA612" s="40"/>
      <c r="BB612" s="5"/>
      <c r="BD612" s="40"/>
      <c r="BE612" s="5"/>
      <c r="BG612" s="40"/>
      <c r="BH612" s="5"/>
      <c r="BJ612" s="40"/>
      <c r="BK612" s="5"/>
      <c r="BM612" s="40"/>
      <c r="BN612" s="5"/>
      <c r="BP612" s="40"/>
      <c r="BQ612" s="5"/>
      <c r="BS612" s="40"/>
      <c r="BT612" s="5"/>
      <c r="BV612" s="40"/>
      <c r="BW612" s="5"/>
      <c r="BY612" s="40"/>
      <c r="BZ612" s="5"/>
      <c r="CB612" s="40"/>
      <c r="CC612" s="5"/>
      <c r="CE612" s="40"/>
      <c r="CF612" s="5"/>
      <c r="CH612" s="40"/>
      <c r="CI612" s="5"/>
      <c r="CK612" s="40"/>
      <c r="CL612" s="5"/>
      <c r="CN612" s="40"/>
      <c r="CO612" s="5"/>
      <c r="CQ612" s="40"/>
      <c r="CR612" s="5"/>
    </row>
    <row r="613">
      <c r="AL613" s="40"/>
      <c r="AM613" s="5"/>
      <c r="AO613" s="40"/>
      <c r="AP613" s="5"/>
      <c r="AR613" s="40"/>
      <c r="AS613" s="5"/>
      <c r="AU613" s="40"/>
      <c r="AV613" s="5"/>
      <c r="AX613" s="40"/>
      <c r="AY613" s="5"/>
      <c r="BA613" s="40"/>
      <c r="BB613" s="5"/>
      <c r="BD613" s="40"/>
      <c r="BE613" s="5"/>
      <c r="BG613" s="40"/>
      <c r="BH613" s="5"/>
      <c r="BJ613" s="40"/>
      <c r="BK613" s="5"/>
      <c r="BM613" s="40"/>
      <c r="BN613" s="5"/>
      <c r="BP613" s="40"/>
      <c r="BQ613" s="5"/>
      <c r="BS613" s="40"/>
      <c r="BT613" s="5"/>
      <c r="BV613" s="40"/>
      <c r="BW613" s="5"/>
      <c r="BY613" s="40"/>
      <c r="BZ613" s="5"/>
      <c r="CB613" s="40"/>
      <c r="CC613" s="5"/>
      <c r="CE613" s="40"/>
      <c r="CF613" s="5"/>
      <c r="CH613" s="40"/>
      <c r="CI613" s="5"/>
      <c r="CK613" s="40"/>
      <c r="CL613" s="5"/>
      <c r="CN613" s="40"/>
      <c r="CO613" s="5"/>
      <c r="CQ613" s="40"/>
      <c r="CR613" s="5"/>
    </row>
    <row r="614">
      <c r="AL614" s="40"/>
      <c r="AM614" s="5"/>
      <c r="AO614" s="40"/>
      <c r="AP614" s="5"/>
      <c r="AR614" s="40"/>
      <c r="AS614" s="5"/>
      <c r="AU614" s="40"/>
      <c r="AV614" s="5"/>
      <c r="AX614" s="40"/>
      <c r="AY614" s="5"/>
      <c r="BA614" s="40"/>
      <c r="BB614" s="5"/>
      <c r="BD614" s="40"/>
      <c r="BE614" s="5"/>
      <c r="BG614" s="40"/>
      <c r="BH614" s="5"/>
      <c r="BJ614" s="40"/>
      <c r="BK614" s="5"/>
      <c r="BM614" s="40"/>
      <c r="BN614" s="5"/>
      <c r="BP614" s="40"/>
      <c r="BQ614" s="5"/>
      <c r="BS614" s="40"/>
      <c r="BT614" s="5"/>
      <c r="BV614" s="40"/>
      <c r="BW614" s="5"/>
      <c r="BY614" s="40"/>
      <c r="BZ614" s="5"/>
      <c r="CB614" s="40"/>
      <c r="CC614" s="5"/>
      <c r="CE614" s="40"/>
      <c r="CF614" s="5"/>
      <c r="CH614" s="40"/>
      <c r="CI614" s="5"/>
      <c r="CK614" s="40"/>
      <c r="CL614" s="5"/>
      <c r="CN614" s="40"/>
      <c r="CO614" s="5"/>
      <c r="CQ614" s="40"/>
      <c r="CR614" s="5"/>
    </row>
    <row r="615">
      <c r="AL615" s="40"/>
      <c r="AM615" s="5"/>
      <c r="AO615" s="40"/>
      <c r="AP615" s="5"/>
      <c r="AR615" s="40"/>
      <c r="AS615" s="5"/>
      <c r="AU615" s="40"/>
      <c r="AV615" s="5"/>
      <c r="AX615" s="40"/>
      <c r="AY615" s="5"/>
      <c r="BA615" s="40"/>
      <c r="BB615" s="5"/>
      <c r="BD615" s="40"/>
      <c r="BE615" s="5"/>
      <c r="BG615" s="40"/>
      <c r="BH615" s="5"/>
      <c r="BJ615" s="40"/>
      <c r="BK615" s="5"/>
      <c r="BM615" s="40"/>
      <c r="BN615" s="5"/>
      <c r="BP615" s="40"/>
      <c r="BQ615" s="5"/>
      <c r="BS615" s="40"/>
      <c r="BT615" s="5"/>
      <c r="BV615" s="40"/>
      <c r="BW615" s="5"/>
      <c r="BY615" s="40"/>
      <c r="BZ615" s="5"/>
      <c r="CB615" s="40"/>
      <c r="CC615" s="5"/>
      <c r="CE615" s="40"/>
      <c r="CF615" s="5"/>
      <c r="CH615" s="40"/>
      <c r="CI615" s="5"/>
      <c r="CK615" s="40"/>
      <c r="CL615" s="5"/>
      <c r="CN615" s="40"/>
      <c r="CO615" s="5"/>
      <c r="CQ615" s="40"/>
      <c r="CR615" s="5"/>
    </row>
    <row r="616">
      <c r="AL616" s="40"/>
      <c r="AM616" s="5"/>
      <c r="AO616" s="40"/>
      <c r="AP616" s="5"/>
      <c r="AR616" s="40"/>
      <c r="AS616" s="5"/>
      <c r="AU616" s="40"/>
      <c r="AV616" s="5"/>
      <c r="AX616" s="40"/>
      <c r="AY616" s="5"/>
      <c r="BA616" s="40"/>
      <c r="BB616" s="5"/>
      <c r="BD616" s="40"/>
      <c r="BE616" s="5"/>
      <c r="BG616" s="40"/>
      <c r="BH616" s="5"/>
      <c r="BJ616" s="40"/>
      <c r="BK616" s="5"/>
      <c r="BM616" s="40"/>
      <c r="BN616" s="5"/>
      <c r="BP616" s="40"/>
      <c r="BQ616" s="5"/>
      <c r="BS616" s="40"/>
      <c r="BT616" s="5"/>
      <c r="BV616" s="40"/>
      <c r="BW616" s="5"/>
      <c r="BY616" s="40"/>
      <c r="BZ616" s="5"/>
      <c r="CB616" s="40"/>
      <c r="CC616" s="5"/>
      <c r="CE616" s="40"/>
      <c r="CF616" s="5"/>
      <c r="CH616" s="40"/>
      <c r="CI616" s="5"/>
      <c r="CK616" s="40"/>
      <c r="CL616" s="5"/>
      <c r="CN616" s="40"/>
      <c r="CO616" s="5"/>
      <c r="CQ616" s="40"/>
      <c r="CR616" s="5"/>
    </row>
    <row r="617">
      <c r="AL617" s="40"/>
      <c r="AM617" s="5"/>
      <c r="AO617" s="40"/>
      <c r="AP617" s="5"/>
      <c r="AR617" s="40"/>
      <c r="AS617" s="5"/>
      <c r="AU617" s="40"/>
      <c r="AV617" s="5"/>
      <c r="AX617" s="40"/>
      <c r="AY617" s="5"/>
      <c r="BA617" s="40"/>
      <c r="BB617" s="5"/>
      <c r="BD617" s="40"/>
      <c r="BE617" s="5"/>
      <c r="BG617" s="40"/>
      <c r="BH617" s="5"/>
      <c r="BJ617" s="40"/>
      <c r="BK617" s="5"/>
      <c r="BM617" s="40"/>
      <c r="BN617" s="5"/>
      <c r="BP617" s="40"/>
      <c r="BQ617" s="5"/>
      <c r="BS617" s="40"/>
      <c r="BT617" s="5"/>
      <c r="BV617" s="40"/>
      <c r="BW617" s="5"/>
      <c r="BY617" s="40"/>
      <c r="BZ617" s="5"/>
      <c r="CB617" s="40"/>
      <c r="CC617" s="5"/>
      <c r="CE617" s="40"/>
      <c r="CF617" s="5"/>
      <c r="CH617" s="40"/>
      <c r="CI617" s="5"/>
      <c r="CK617" s="40"/>
      <c r="CL617" s="5"/>
      <c r="CN617" s="40"/>
      <c r="CO617" s="5"/>
      <c r="CQ617" s="40"/>
      <c r="CR617" s="5"/>
    </row>
    <row r="618">
      <c r="AL618" s="40"/>
      <c r="AM618" s="5"/>
      <c r="AO618" s="40"/>
      <c r="AP618" s="5"/>
      <c r="AR618" s="40"/>
      <c r="AS618" s="5"/>
      <c r="AU618" s="40"/>
      <c r="AV618" s="5"/>
      <c r="AX618" s="40"/>
      <c r="AY618" s="5"/>
      <c r="BA618" s="40"/>
      <c r="BB618" s="5"/>
      <c r="BD618" s="40"/>
      <c r="BE618" s="5"/>
      <c r="BG618" s="40"/>
      <c r="BH618" s="5"/>
      <c r="BJ618" s="40"/>
      <c r="BK618" s="5"/>
      <c r="BM618" s="40"/>
      <c r="BN618" s="5"/>
      <c r="BP618" s="40"/>
      <c r="BQ618" s="5"/>
      <c r="BS618" s="40"/>
      <c r="BT618" s="5"/>
      <c r="BV618" s="40"/>
      <c r="BW618" s="5"/>
      <c r="BY618" s="40"/>
      <c r="BZ618" s="5"/>
      <c r="CB618" s="40"/>
      <c r="CC618" s="5"/>
      <c r="CE618" s="40"/>
      <c r="CF618" s="5"/>
      <c r="CH618" s="40"/>
      <c r="CI618" s="5"/>
      <c r="CK618" s="40"/>
      <c r="CL618" s="5"/>
      <c r="CN618" s="40"/>
      <c r="CO618" s="5"/>
      <c r="CQ618" s="40"/>
      <c r="CR618" s="5"/>
    </row>
    <row r="619">
      <c r="AL619" s="40"/>
      <c r="AM619" s="5"/>
      <c r="AO619" s="40"/>
      <c r="AP619" s="5"/>
      <c r="AR619" s="40"/>
      <c r="AS619" s="5"/>
      <c r="AU619" s="40"/>
      <c r="AV619" s="5"/>
      <c r="AX619" s="40"/>
      <c r="AY619" s="5"/>
      <c r="BA619" s="40"/>
      <c r="BB619" s="5"/>
      <c r="BD619" s="40"/>
      <c r="BE619" s="5"/>
      <c r="BG619" s="40"/>
      <c r="BH619" s="5"/>
      <c r="BJ619" s="40"/>
      <c r="BK619" s="5"/>
      <c r="BM619" s="40"/>
      <c r="BN619" s="5"/>
      <c r="BP619" s="40"/>
      <c r="BQ619" s="5"/>
      <c r="BS619" s="40"/>
      <c r="BT619" s="5"/>
      <c r="BV619" s="40"/>
      <c r="BW619" s="5"/>
      <c r="BY619" s="40"/>
      <c r="BZ619" s="5"/>
      <c r="CB619" s="40"/>
      <c r="CC619" s="5"/>
      <c r="CE619" s="40"/>
      <c r="CF619" s="5"/>
      <c r="CH619" s="40"/>
      <c r="CI619" s="5"/>
      <c r="CK619" s="40"/>
      <c r="CL619" s="5"/>
      <c r="CN619" s="40"/>
      <c r="CO619" s="5"/>
      <c r="CQ619" s="40"/>
      <c r="CR619" s="5"/>
    </row>
    <row r="620">
      <c r="AL620" s="40"/>
      <c r="AM620" s="5"/>
      <c r="AO620" s="40"/>
      <c r="AP620" s="5"/>
      <c r="AR620" s="40"/>
      <c r="AS620" s="5"/>
      <c r="AU620" s="40"/>
      <c r="AV620" s="5"/>
      <c r="AX620" s="40"/>
      <c r="AY620" s="5"/>
      <c r="BA620" s="40"/>
      <c r="BB620" s="5"/>
      <c r="BD620" s="40"/>
      <c r="BE620" s="5"/>
      <c r="BG620" s="40"/>
      <c r="BH620" s="5"/>
      <c r="BJ620" s="40"/>
      <c r="BK620" s="5"/>
      <c r="BM620" s="40"/>
      <c r="BN620" s="5"/>
      <c r="BP620" s="40"/>
      <c r="BQ620" s="5"/>
      <c r="BS620" s="40"/>
      <c r="BT620" s="5"/>
      <c r="BV620" s="40"/>
      <c r="BW620" s="5"/>
      <c r="BY620" s="40"/>
      <c r="BZ620" s="5"/>
      <c r="CB620" s="40"/>
      <c r="CC620" s="5"/>
      <c r="CE620" s="40"/>
      <c r="CF620" s="5"/>
      <c r="CH620" s="40"/>
      <c r="CI620" s="5"/>
      <c r="CK620" s="40"/>
      <c r="CL620" s="5"/>
      <c r="CN620" s="40"/>
      <c r="CO620" s="5"/>
      <c r="CQ620" s="40"/>
      <c r="CR620" s="5"/>
    </row>
    <row r="621">
      <c r="AL621" s="40"/>
      <c r="AM621" s="5"/>
      <c r="AO621" s="40"/>
      <c r="AP621" s="5"/>
      <c r="AR621" s="40"/>
      <c r="AS621" s="5"/>
      <c r="AU621" s="40"/>
      <c r="AV621" s="5"/>
      <c r="AX621" s="40"/>
      <c r="AY621" s="5"/>
      <c r="BA621" s="40"/>
      <c r="BB621" s="5"/>
      <c r="BD621" s="40"/>
      <c r="BE621" s="5"/>
      <c r="BG621" s="40"/>
      <c r="BH621" s="5"/>
      <c r="BJ621" s="40"/>
      <c r="BK621" s="5"/>
      <c r="BM621" s="40"/>
      <c r="BN621" s="5"/>
      <c r="BP621" s="40"/>
      <c r="BQ621" s="5"/>
      <c r="BS621" s="40"/>
      <c r="BT621" s="5"/>
      <c r="BV621" s="40"/>
      <c r="BW621" s="5"/>
      <c r="BY621" s="40"/>
      <c r="BZ621" s="5"/>
      <c r="CB621" s="40"/>
      <c r="CC621" s="5"/>
      <c r="CE621" s="40"/>
      <c r="CF621" s="5"/>
      <c r="CH621" s="40"/>
      <c r="CI621" s="5"/>
      <c r="CK621" s="40"/>
      <c r="CL621" s="5"/>
      <c r="CN621" s="40"/>
      <c r="CO621" s="5"/>
      <c r="CQ621" s="40"/>
      <c r="CR621" s="5"/>
    </row>
    <row r="622">
      <c r="AL622" s="40"/>
      <c r="AM622" s="5"/>
      <c r="AO622" s="40"/>
      <c r="AP622" s="5"/>
      <c r="AR622" s="40"/>
      <c r="AS622" s="5"/>
      <c r="AU622" s="40"/>
      <c r="AV622" s="5"/>
      <c r="AX622" s="40"/>
      <c r="AY622" s="5"/>
      <c r="BA622" s="40"/>
      <c r="BB622" s="5"/>
      <c r="BD622" s="40"/>
      <c r="BE622" s="5"/>
      <c r="BG622" s="40"/>
      <c r="BH622" s="5"/>
      <c r="BJ622" s="40"/>
      <c r="BK622" s="5"/>
      <c r="BM622" s="40"/>
      <c r="BN622" s="5"/>
      <c r="BP622" s="40"/>
      <c r="BQ622" s="5"/>
      <c r="BS622" s="40"/>
      <c r="BT622" s="5"/>
      <c r="BV622" s="40"/>
      <c r="BW622" s="5"/>
      <c r="BY622" s="40"/>
      <c r="BZ622" s="5"/>
      <c r="CB622" s="40"/>
      <c r="CC622" s="5"/>
      <c r="CE622" s="40"/>
      <c r="CF622" s="5"/>
      <c r="CH622" s="40"/>
      <c r="CI622" s="5"/>
      <c r="CK622" s="40"/>
      <c r="CL622" s="5"/>
      <c r="CN622" s="40"/>
      <c r="CO622" s="5"/>
      <c r="CQ622" s="40"/>
      <c r="CR622" s="5"/>
    </row>
    <row r="623">
      <c r="AL623" s="40"/>
      <c r="AM623" s="5"/>
      <c r="AO623" s="40"/>
      <c r="AP623" s="5"/>
      <c r="AR623" s="40"/>
      <c r="AS623" s="5"/>
      <c r="AU623" s="40"/>
      <c r="AV623" s="5"/>
      <c r="AX623" s="40"/>
      <c r="AY623" s="5"/>
      <c r="BA623" s="40"/>
      <c r="BB623" s="5"/>
      <c r="BD623" s="40"/>
      <c r="BE623" s="5"/>
      <c r="BG623" s="40"/>
      <c r="BH623" s="5"/>
      <c r="BJ623" s="40"/>
      <c r="BK623" s="5"/>
      <c r="BM623" s="40"/>
      <c r="BN623" s="5"/>
      <c r="BP623" s="40"/>
      <c r="BQ623" s="5"/>
      <c r="BS623" s="40"/>
      <c r="BT623" s="5"/>
      <c r="BV623" s="40"/>
      <c r="BW623" s="5"/>
      <c r="BY623" s="40"/>
      <c r="BZ623" s="5"/>
      <c r="CB623" s="40"/>
      <c r="CC623" s="5"/>
      <c r="CE623" s="40"/>
      <c r="CF623" s="5"/>
      <c r="CH623" s="40"/>
      <c r="CI623" s="5"/>
      <c r="CK623" s="40"/>
      <c r="CL623" s="5"/>
      <c r="CN623" s="40"/>
      <c r="CO623" s="5"/>
      <c r="CQ623" s="40"/>
      <c r="CR623" s="5"/>
    </row>
    <row r="624">
      <c r="AL624" s="40"/>
      <c r="AM624" s="5"/>
      <c r="AO624" s="40"/>
      <c r="AP624" s="5"/>
      <c r="AR624" s="40"/>
      <c r="AS624" s="5"/>
      <c r="AU624" s="40"/>
      <c r="AV624" s="5"/>
      <c r="AX624" s="40"/>
      <c r="AY624" s="5"/>
      <c r="BA624" s="40"/>
      <c r="BB624" s="5"/>
      <c r="BD624" s="40"/>
      <c r="BE624" s="5"/>
      <c r="BG624" s="40"/>
      <c r="BH624" s="5"/>
      <c r="BJ624" s="40"/>
      <c r="BK624" s="5"/>
      <c r="BM624" s="40"/>
      <c r="BN624" s="5"/>
      <c r="BP624" s="40"/>
      <c r="BQ624" s="5"/>
      <c r="BS624" s="40"/>
      <c r="BT624" s="5"/>
      <c r="BV624" s="40"/>
      <c r="BW624" s="5"/>
      <c r="BY624" s="40"/>
      <c r="BZ624" s="5"/>
      <c r="CB624" s="40"/>
      <c r="CC624" s="5"/>
      <c r="CE624" s="40"/>
      <c r="CF624" s="5"/>
      <c r="CH624" s="40"/>
      <c r="CI624" s="5"/>
      <c r="CK624" s="40"/>
      <c r="CL624" s="5"/>
      <c r="CN624" s="40"/>
      <c r="CO624" s="5"/>
      <c r="CQ624" s="40"/>
      <c r="CR624" s="5"/>
    </row>
    <row r="625">
      <c r="AL625" s="40"/>
      <c r="AM625" s="5"/>
      <c r="AO625" s="40"/>
      <c r="AP625" s="5"/>
      <c r="AR625" s="40"/>
      <c r="AS625" s="5"/>
      <c r="AU625" s="40"/>
      <c r="AV625" s="5"/>
      <c r="AX625" s="40"/>
      <c r="AY625" s="5"/>
      <c r="BA625" s="40"/>
      <c r="BB625" s="5"/>
      <c r="BD625" s="40"/>
      <c r="BE625" s="5"/>
      <c r="BG625" s="40"/>
      <c r="BH625" s="5"/>
      <c r="BJ625" s="40"/>
      <c r="BK625" s="5"/>
      <c r="BM625" s="40"/>
      <c r="BN625" s="5"/>
      <c r="BP625" s="40"/>
      <c r="BQ625" s="5"/>
      <c r="BS625" s="40"/>
      <c r="BT625" s="5"/>
      <c r="BV625" s="40"/>
      <c r="BW625" s="5"/>
      <c r="BY625" s="40"/>
      <c r="BZ625" s="5"/>
      <c r="CB625" s="40"/>
      <c r="CC625" s="5"/>
      <c r="CE625" s="40"/>
      <c r="CF625" s="5"/>
      <c r="CH625" s="40"/>
      <c r="CI625" s="5"/>
      <c r="CK625" s="40"/>
      <c r="CL625" s="5"/>
      <c r="CN625" s="40"/>
      <c r="CO625" s="5"/>
      <c r="CQ625" s="40"/>
      <c r="CR625" s="5"/>
    </row>
    <row r="626">
      <c r="AL626" s="40"/>
      <c r="AM626" s="5"/>
      <c r="AO626" s="40"/>
      <c r="AP626" s="5"/>
      <c r="AR626" s="40"/>
      <c r="AS626" s="5"/>
      <c r="AU626" s="40"/>
      <c r="AV626" s="5"/>
      <c r="AX626" s="40"/>
      <c r="AY626" s="5"/>
      <c r="BA626" s="40"/>
      <c r="BB626" s="5"/>
      <c r="BD626" s="40"/>
      <c r="BE626" s="5"/>
      <c r="BG626" s="40"/>
      <c r="BH626" s="5"/>
      <c r="BJ626" s="40"/>
      <c r="BK626" s="5"/>
      <c r="BM626" s="40"/>
      <c r="BN626" s="5"/>
      <c r="BP626" s="40"/>
      <c r="BQ626" s="5"/>
      <c r="BS626" s="40"/>
      <c r="BT626" s="5"/>
      <c r="BV626" s="40"/>
      <c r="BW626" s="5"/>
      <c r="BY626" s="40"/>
      <c r="BZ626" s="5"/>
      <c r="CB626" s="40"/>
      <c r="CC626" s="5"/>
      <c r="CE626" s="40"/>
      <c r="CF626" s="5"/>
      <c r="CH626" s="40"/>
      <c r="CI626" s="5"/>
      <c r="CK626" s="40"/>
      <c r="CL626" s="5"/>
      <c r="CN626" s="40"/>
      <c r="CO626" s="5"/>
      <c r="CQ626" s="40"/>
      <c r="CR626" s="5"/>
    </row>
    <row r="627">
      <c r="AL627" s="40"/>
      <c r="AM627" s="5"/>
      <c r="AO627" s="40"/>
      <c r="AP627" s="5"/>
      <c r="AR627" s="40"/>
      <c r="AS627" s="5"/>
      <c r="AU627" s="40"/>
      <c r="AV627" s="5"/>
      <c r="AX627" s="40"/>
      <c r="AY627" s="5"/>
      <c r="BA627" s="40"/>
      <c r="BB627" s="5"/>
      <c r="BD627" s="40"/>
      <c r="BE627" s="5"/>
      <c r="BG627" s="40"/>
      <c r="BH627" s="5"/>
      <c r="BJ627" s="40"/>
      <c r="BK627" s="5"/>
      <c r="BM627" s="40"/>
      <c r="BN627" s="5"/>
      <c r="BP627" s="40"/>
      <c r="BQ627" s="5"/>
      <c r="BS627" s="40"/>
      <c r="BT627" s="5"/>
      <c r="BV627" s="40"/>
      <c r="BW627" s="5"/>
      <c r="BY627" s="40"/>
      <c r="BZ627" s="5"/>
      <c r="CB627" s="40"/>
      <c r="CC627" s="5"/>
      <c r="CE627" s="40"/>
      <c r="CF627" s="5"/>
      <c r="CH627" s="40"/>
      <c r="CI627" s="5"/>
      <c r="CK627" s="40"/>
      <c r="CL627" s="5"/>
      <c r="CN627" s="40"/>
      <c r="CO627" s="5"/>
      <c r="CQ627" s="40"/>
      <c r="CR627" s="5"/>
    </row>
    <row r="628">
      <c r="AL628" s="40"/>
      <c r="AM628" s="5"/>
      <c r="AO628" s="40"/>
      <c r="AP628" s="5"/>
      <c r="AR628" s="40"/>
      <c r="AS628" s="5"/>
      <c r="AU628" s="40"/>
      <c r="AV628" s="5"/>
      <c r="AX628" s="40"/>
      <c r="AY628" s="5"/>
      <c r="BA628" s="40"/>
      <c r="BB628" s="5"/>
      <c r="BD628" s="40"/>
      <c r="BE628" s="5"/>
      <c r="BG628" s="40"/>
      <c r="BH628" s="5"/>
      <c r="BJ628" s="40"/>
      <c r="BK628" s="5"/>
      <c r="BM628" s="40"/>
      <c r="BN628" s="5"/>
      <c r="BP628" s="40"/>
      <c r="BQ628" s="5"/>
      <c r="BS628" s="40"/>
      <c r="BT628" s="5"/>
      <c r="BV628" s="40"/>
      <c r="BW628" s="5"/>
      <c r="BY628" s="40"/>
      <c r="BZ628" s="5"/>
      <c r="CB628" s="40"/>
      <c r="CC628" s="5"/>
      <c r="CE628" s="40"/>
      <c r="CF628" s="5"/>
      <c r="CH628" s="40"/>
      <c r="CI628" s="5"/>
      <c r="CK628" s="40"/>
      <c r="CL628" s="5"/>
      <c r="CN628" s="40"/>
      <c r="CO628" s="5"/>
      <c r="CQ628" s="40"/>
      <c r="CR628" s="5"/>
    </row>
    <row r="629">
      <c r="AL629" s="40"/>
      <c r="AM629" s="5"/>
      <c r="AO629" s="40"/>
      <c r="AP629" s="5"/>
      <c r="AR629" s="40"/>
      <c r="AS629" s="5"/>
      <c r="AU629" s="40"/>
      <c r="AV629" s="5"/>
      <c r="AX629" s="40"/>
      <c r="AY629" s="5"/>
      <c r="BA629" s="40"/>
      <c r="BB629" s="5"/>
      <c r="BD629" s="40"/>
      <c r="BE629" s="5"/>
      <c r="BG629" s="40"/>
      <c r="BH629" s="5"/>
      <c r="BJ629" s="40"/>
      <c r="BK629" s="5"/>
      <c r="BM629" s="40"/>
      <c r="BN629" s="5"/>
      <c r="BP629" s="40"/>
      <c r="BQ629" s="5"/>
      <c r="BS629" s="40"/>
      <c r="BT629" s="5"/>
      <c r="BV629" s="40"/>
      <c r="BW629" s="5"/>
      <c r="BY629" s="40"/>
      <c r="BZ629" s="5"/>
      <c r="CB629" s="40"/>
      <c r="CC629" s="5"/>
      <c r="CE629" s="40"/>
      <c r="CF629" s="5"/>
      <c r="CH629" s="40"/>
      <c r="CI629" s="5"/>
      <c r="CK629" s="40"/>
      <c r="CL629" s="5"/>
      <c r="CN629" s="40"/>
      <c r="CO629" s="5"/>
      <c r="CQ629" s="40"/>
      <c r="CR629" s="5"/>
    </row>
    <row r="630">
      <c r="AL630" s="40"/>
      <c r="AM630" s="5"/>
      <c r="AO630" s="40"/>
      <c r="AP630" s="5"/>
      <c r="AR630" s="40"/>
      <c r="AS630" s="5"/>
      <c r="AU630" s="40"/>
      <c r="AV630" s="5"/>
      <c r="AX630" s="40"/>
      <c r="AY630" s="5"/>
      <c r="BA630" s="40"/>
      <c r="BB630" s="5"/>
      <c r="BD630" s="40"/>
      <c r="BE630" s="5"/>
      <c r="BG630" s="40"/>
      <c r="BH630" s="5"/>
      <c r="BJ630" s="40"/>
      <c r="BK630" s="5"/>
      <c r="BM630" s="40"/>
      <c r="BN630" s="5"/>
      <c r="BP630" s="40"/>
      <c r="BQ630" s="5"/>
      <c r="BS630" s="40"/>
      <c r="BT630" s="5"/>
      <c r="BV630" s="40"/>
      <c r="BW630" s="5"/>
      <c r="BY630" s="40"/>
      <c r="BZ630" s="5"/>
      <c r="CB630" s="40"/>
      <c r="CC630" s="5"/>
      <c r="CE630" s="40"/>
      <c r="CF630" s="5"/>
      <c r="CH630" s="40"/>
      <c r="CI630" s="5"/>
      <c r="CK630" s="40"/>
      <c r="CL630" s="5"/>
      <c r="CN630" s="40"/>
      <c r="CO630" s="5"/>
      <c r="CQ630" s="40"/>
      <c r="CR630" s="5"/>
    </row>
    <row r="631">
      <c r="AL631" s="40"/>
      <c r="AM631" s="5"/>
      <c r="AO631" s="40"/>
      <c r="AP631" s="5"/>
      <c r="AR631" s="40"/>
      <c r="AS631" s="5"/>
      <c r="AU631" s="40"/>
      <c r="AV631" s="5"/>
      <c r="AX631" s="40"/>
      <c r="AY631" s="5"/>
      <c r="BA631" s="40"/>
      <c r="BB631" s="5"/>
      <c r="BD631" s="40"/>
      <c r="BE631" s="5"/>
      <c r="BG631" s="40"/>
      <c r="BH631" s="5"/>
      <c r="BJ631" s="40"/>
      <c r="BK631" s="5"/>
      <c r="BM631" s="40"/>
      <c r="BN631" s="5"/>
      <c r="BP631" s="40"/>
      <c r="BQ631" s="5"/>
      <c r="BS631" s="40"/>
      <c r="BT631" s="5"/>
      <c r="BV631" s="40"/>
      <c r="BW631" s="5"/>
      <c r="BY631" s="40"/>
      <c r="BZ631" s="5"/>
      <c r="CB631" s="40"/>
      <c r="CC631" s="5"/>
      <c r="CE631" s="40"/>
      <c r="CF631" s="5"/>
      <c r="CH631" s="40"/>
      <c r="CI631" s="5"/>
      <c r="CK631" s="40"/>
      <c r="CL631" s="5"/>
      <c r="CN631" s="40"/>
      <c r="CO631" s="5"/>
      <c r="CQ631" s="40"/>
      <c r="CR631" s="5"/>
    </row>
    <row r="632">
      <c r="AL632" s="40"/>
      <c r="AM632" s="5"/>
      <c r="AO632" s="40"/>
      <c r="AP632" s="5"/>
      <c r="AR632" s="40"/>
      <c r="AS632" s="5"/>
      <c r="AU632" s="40"/>
      <c r="AV632" s="5"/>
      <c r="AX632" s="40"/>
      <c r="AY632" s="5"/>
      <c r="BA632" s="40"/>
      <c r="BB632" s="5"/>
      <c r="BD632" s="40"/>
      <c r="BE632" s="5"/>
      <c r="BG632" s="40"/>
      <c r="BH632" s="5"/>
      <c r="BJ632" s="40"/>
      <c r="BK632" s="5"/>
      <c r="BM632" s="40"/>
      <c r="BN632" s="5"/>
      <c r="BP632" s="40"/>
      <c r="BQ632" s="5"/>
      <c r="BS632" s="40"/>
      <c r="BT632" s="5"/>
      <c r="BV632" s="40"/>
      <c r="BW632" s="5"/>
      <c r="BY632" s="40"/>
      <c r="BZ632" s="5"/>
      <c r="CB632" s="40"/>
      <c r="CC632" s="5"/>
      <c r="CE632" s="40"/>
      <c r="CF632" s="5"/>
      <c r="CH632" s="40"/>
      <c r="CI632" s="5"/>
      <c r="CK632" s="40"/>
      <c r="CL632" s="5"/>
      <c r="CN632" s="40"/>
      <c r="CO632" s="5"/>
      <c r="CQ632" s="40"/>
      <c r="CR632" s="5"/>
    </row>
    <row r="633">
      <c r="AL633" s="40"/>
      <c r="AM633" s="5"/>
      <c r="AO633" s="40"/>
      <c r="AP633" s="5"/>
      <c r="AR633" s="40"/>
      <c r="AS633" s="5"/>
      <c r="AU633" s="40"/>
      <c r="AV633" s="5"/>
      <c r="AX633" s="40"/>
      <c r="AY633" s="5"/>
      <c r="BA633" s="40"/>
      <c r="BB633" s="5"/>
      <c r="BD633" s="40"/>
      <c r="BE633" s="5"/>
      <c r="BG633" s="40"/>
      <c r="BH633" s="5"/>
      <c r="BJ633" s="40"/>
      <c r="BK633" s="5"/>
      <c r="BM633" s="40"/>
      <c r="BN633" s="5"/>
      <c r="BP633" s="40"/>
      <c r="BQ633" s="5"/>
      <c r="BS633" s="40"/>
      <c r="BT633" s="5"/>
      <c r="BV633" s="40"/>
      <c r="BW633" s="5"/>
      <c r="BY633" s="40"/>
      <c r="BZ633" s="5"/>
      <c r="CB633" s="40"/>
      <c r="CC633" s="5"/>
      <c r="CE633" s="40"/>
      <c r="CF633" s="5"/>
      <c r="CH633" s="40"/>
      <c r="CI633" s="5"/>
      <c r="CK633" s="40"/>
      <c r="CL633" s="5"/>
      <c r="CN633" s="40"/>
      <c r="CO633" s="5"/>
      <c r="CQ633" s="40"/>
      <c r="CR633" s="5"/>
    </row>
    <row r="634">
      <c r="AL634" s="40"/>
      <c r="AM634" s="5"/>
      <c r="AO634" s="40"/>
      <c r="AP634" s="5"/>
      <c r="AR634" s="40"/>
      <c r="AS634" s="5"/>
      <c r="AU634" s="40"/>
      <c r="AV634" s="5"/>
      <c r="AX634" s="40"/>
      <c r="AY634" s="5"/>
      <c r="BA634" s="40"/>
      <c r="BB634" s="5"/>
      <c r="BD634" s="40"/>
      <c r="BE634" s="5"/>
      <c r="BG634" s="40"/>
      <c r="BH634" s="5"/>
      <c r="BJ634" s="40"/>
      <c r="BK634" s="5"/>
      <c r="BM634" s="40"/>
      <c r="BN634" s="5"/>
      <c r="BP634" s="40"/>
      <c r="BQ634" s="5"/>
      <c r="BS634" s="40"/>
      <c r="BT634" s="5"/>
      <c r="BV634" s="40"/>
      <c r="BW634" s="5"/>
      <c r="BY634" s="40"/>
      <c r="BZ634" s="5"/>
      <c r="CB634" s="40"/>
      <c r="CC634" s="5"/>
      <c r="CE634" s="40"/>
      <c r="CF634" s="5"/>
      <c r="CH634" s="40"/>
      <c r="CI634" s="5"/>
      <c r="CK634" s="40"/>
      <c r="CL634" s="5"/>
      <c r="CN634" s="40"/>
      <c r="CO634" s="5"/>
      <c r="CQ634" s="40"/>
      <c r="CR634" s="5"/>
    </row>
    <row r="635">
      <c r="AL635" s="40"/>
      <c r="AM635" s="5"/>
      <c r="AO635" s="40"/>
      <c r="AP635" s="5"/>
      <c r="AR635" s="40"/>
      <c r="AS635" s="5"/>
      <c r="AU635" s="40"/>
      <c r="AV635" s="5"/>
      <c r="AX635" s="40"/>
      <c r="AY635" s="5"/>
      <c r="BA635" s="40"/>
      <c r="BB635" s="5"/>
      <c r="BD635" s="40"/>
      <c r="BE635" s="5"/>
      <c r="BG635" s="40"/>
      <c r="BH635" s="5"/>
      <c r="BJ635" s="40"/>
      <c r="BK635" s="5"/>
      <c r="BM635" s="40"/>
      <c r="BN635" s="5"/>
      <c r="BP635" s="40"/>
      <c r="BQ635" s="5"/>
      <c r="BS635" s="40"/>
      <c r="BT635" s="5"/>
      <c r="BV635" s="40"/>
      <c r="BW635" s="5"/>
      <c r="BY635" s="40"/>
      <c r="BZ635" s="5"/>
      <c r="CB635" s="40"/>
      <c r="CC635" s="5"/>
      <c r="CE635" s="40"/>
      <c r="CF635" s="5"/>
      <c r="CH635" s="40"/>
      <c r="CI635" s="5"/>
      <c r="CK635" s="40"/>
      <c r="CL635" s="5"/>
      <c r="CN635" s="40"/>
      <c r="CO635" s="5"/>
      <c r="CQ635" s="40"/>
      <c r="CR635" s="5"/>
    </row>
    <row r="636">
      <c r="AL636" s="40"/>
      <c r="AM636" s="5"/>
      <c r="AO636" s="40"/>
      <c r="AP636" s="5"/>
      <c r="AR636" s="40"/>
      <c r="AS636" s="5"/>
      <c r="AU636" s="40"/>
      <c r="AV636" s="5"/>
      <c r="AX636" s="40"/>
      <c r="AY636" s="5"/>
      <c r="BA636" s="40"/>
      <c r="BB636" s="5"/>
      <c r="BD636" s="40"/>
      <c r="BE636" s="5"/>
      <c r="BG636" s="40"/>
      <c r="BH636" s="5"/>
      <c r="BJ636" s="40"/>
      <c r="BK636" s="5"/>
      <c r="BM636" s="40"/>
      <c r="BN636" s="5"/>
      <c r="BP636" s="40"/>
      <c r="BQ636" s="5"/>
      <c r="BS636" s="40"/>
      <c r="BT636" s="5"/>
      <c r="BV636" s="40"/>
      <c r="BW636" s="5"/>
      <c r="BY636" s="40"/>
      <c r="BZ636" s="5"/>
      <c r="CB636" s="40"/>
      <c r="CC636" s="5"/>
      <c r="CE636" s="40"/>
      <c r="CF636" s="5"/>
      <c r="CH636" s="40"/>
      <c r="CI636" s="5"/>
      <c r="CK636" s="40"/>
      <c r="CL636" s="5"/>
      <c r="CN636" s="40"/>
      <c r="CO636" s="5"/>
      <c r="CQ636" s="40"/>
      <c r="CR636" s="5"/>
    </row>
    <row r="637">
      <c r="AL637" s="40"/>
      <c r="AM637" s="5"/>
      <c r="AO637" s="40"/>
      <c r="AP637" s="5"/>
      <c r="AR637" s="40"/>
      <c r="AS637" s="5"/>
      <c r="AU637" s="40"/>
      <c r="AV637" s="5"/>
      <c r="AX637" s="40"/>
      <c r="AY637" s="5"/>
      <c r="BA637" s="40"/>
      <c r="BB637" s="5"/>
      <c r="BD637" s="40"/>
      <c r="BE637" s="5"/>
      <c r="BG637" s="40"/>
      <c r="BH637" s="5"/>
      <c r="BJ637" s="40"/>
      <c r="BK637" s="5"/>
      <c r="BM637" s="40"/>
      <c r="BN637" s="5"/>
      <c r="BP637" s="40"/>
      <c r="BQ637" s="5"/>
      <c r="BS637" s="40"/>
      <c r="BT637" s="5"/>
      <c r="BV637" s="40"/>
      <c r="BW637" s="5"/>
      <c r="BY637" s="40"/>
      <c r="BZ637" s="5"/>
      <c r="CB637" s="40"/>
      <c r="CC637" s="5"/>
      <c r="CE637" s="40"/>
      <c r="CF637" s="5"/>
      <c r="CH637" s="40"/>
      <c r="CI637" s="5"/>
      <c r="CK637" s="40"/>
      <c r="CL637" s="5"/>
      <c r="CN637" s="40"/>
      <c r="CO637" s="5"/>
      <c r="CQ637" s="40"/>
      <c r="CR637" s="5"/>
    </row>
    <row r="638">
      <c r="AL638" s="40"/>
      <c r="AM638" s="5"/>
      <c r="AO638" s="40"/>
      <c r="AP638" s="5"/>
      <c r="AR638" s="40"/>
      <c r="AS638" s="5"/>
      <c r="AU638" s="40"/>
      <c r="AV638" s="5"/>
      <c r="AX638" s="40"/>
      <c r="AY638" s="5"/>
      <c r="BA638" s="40"/>
      <c r="BB638" s="5"/>
      <c r="BD638" s="40"/>
      <c r="BE638" s="5"/>
      <c r="BG638" s="40"/>
      <c r="BH638" s="5"/>
      <c r="BJ638" s="40"/>
      <c r="BK638" s="5"/>
      <c r="BM638" s="40"/>
      <c r="BN638" s="5"/>
      <c r="BP638" s="40"/>
      <c r="BQ638" s="5"/>
      <c r="BS638" s="40"/>
      <c r="BT638" s="5"/>
      <c r="BV638" s="40"/>
      <c r="BW638" s="5"/>
      <c r="BY638" s="40"/>
      <c r="BZ638" s="5"/>
      <c r="CB638" s="40"/>
      <c r="CC638" s="5"/>
      <c r="CE638" s="40"/>
      <c r="CF638" s="5"/>
      <c r="CH638" s="40"/>
      <c r="CI638" s="5"/>
      <c r="CK638" s="40"/>
      <c r="CL638" s="5"/>
      <c r="CN638" s="40"/>
      <c r="CO638" s="5"/>
      <c r="CQ638" s="40"/>
      <c r="CR638" s="5"/>
    </row>
    <row r="639">
      <c r="AL639" s="40"/>
      <c r="AM639" s="5"/>
      <c r="AO639" s="40"/>
      <c r="AP639" s="5"/>
      <c r="AR639" s="40"/>
      <c r="AS639" s="5"/>
      <c r="AU639" s="40"/>
      <c r="AV639" s="5"/>
      <c r="AX639" s="40"/>
      <c r="AY639" s="5"/>
      <c r="BA639" s="40"/>
      <c r="BB639" s="5"/>
      <c r="BD639" s="40"/>
      <c r="BE639" s="5"/>
      <c r="BG639" s="40"/>
      <c r="BH639" s="5"/>
      <c r="BJ639" s="40"/>
      <c r="BK639" s="5"/>
      <c r="BM639" s="40"/>
      <c r="BN639" s="5"/>
      <c r="BP639" s="40"/>
      <c r="BQ639" s="5"/>
      <c r="BS639" s="40"/>
      <c r="BT639" s="5"/>
      <c r="BV639" s="40"/>
      <c r="BW639" s="5"/>
      <c r="BY639" s="40"/>
      <c r="BZ639" s="5"/>
      <c r="CB639" s="40"/>
      <c r="CC639" s="5"/>
      <c r="CE639" s="40"/>
      <c r="CF639" s="5"/>
      <c r="CH639" s="40"/>
      <c r="CI639" s="5"/>
      <c r="CK639" s="40"/>
      <c r="CL639" s="5"/>
      <c r="CN639" s="40"/>
      <c r="CO639" s="5"/>
      <c r="CQ639" s="40"/>
      <c r="CR639" s="5"/>
    </row>
    <row r="640">
      <c r="AL640" s="40"/>
      <c r="AM640" s="5"/>
      <c r="AO640" s="40"/>
      <c r="AP640" s="5"/>
      <c r="AR640" s="40"/>
      <c r="AS640" s="5"/>
      <c r="AU640" s="40"/>
      <c r="AV640" s="5"/>
      <c r="AX640" s="40"/>
      <c r="AY640" s="5"/>
      <c r="BA640" s="40"/>
      <c r="BB640" s="5"/>
      <c r="BD640" s="40"/>
      <c r="BE640" s="5"/>
      <c r="BG640" s="40"/>
      <c r="BH640" s="5"/>
      <c r="BJ640" s="40"/>
      <c r="BK640" s="5"/>
      <c r="BM640" s="40"/>
      <c r="BN640" s="5"/>
      <c r="BP640" s="40"/>
      <c r="BQ640" s="5"/>
      <c r="BS640" s="40"/>
      <c r="BT640" s="5"/>
      <c r="BV640" s="40"/>
      <c r="BW640" s="5"/>
      <c r="BY640" s="40"/>
      <c r="BZ640" s="5"/>
      <c r="CB640" s="40"/>
      <c r="CC640" s="5"/>
      <c r="CE640" s="40"/>
      <c r="CF640" s="5"/>
      <c r="CH640" s="40"/>
      <c r="CI640" s="5"/>
      <c r="CK640" s="40"/>
      <c r="CL640" s="5"/>
      <c r="CN640" s="40"/>
      <c r="CO640" s="5"/>
      <c r="CQ640" s="40"/>
      <c r="CR640" s="5"/>
    </row>
    <row r="641">
      <c r="AL641" s="40"/>
      <c r="AM641" s="5"/>
      <c r="AO641" s="40"/>
      <c r="AP641" s="5"/>
      <c r="AR641" s="40"/>
      <c r="AS641" s="5"/>
      <c r="AU641" s="40"/>
      <c r="AV641" s="5"/>
      <c r="AX641" s="40"/>
      <c r="AY641" s="5"/>
      <c r="BA641" s="40"/>
      <c r="BB641" s="5"/>
      <c r="BD641" s="40"/>
      <c r="BE641" s="5"/>
      <c r="BG641" s="40"/>
      <c r="BH641" s="5"/>
      <c r="BJ641" s="40"/>
      <c r="BK641" s="5"/>
      <c r="BM641" s="40"/>
      <c r="BN641" s="5"/>
      <c r="BP641" s="40"/>
      <c r="BQ641" s="5"/>
      <c r="BS641" s="40"/>
      <c r="BT641" s="5"/>
      <c r="BV641" s="40"/>
      <c r="BW641" s="5"/>
      <c r="BY641" s="40"/>
      <c r="BZ641" s="5"/>
      <c r="CB641" s="40"/>
      <c r="CC641" s="5"/>
      <c r="CE641" s="40"/>
      <c r="CF641" s="5"/>
      <c r="CH641" s="40"/>
      <c r="CI641" s="5"/>
      <c r="CK641" s="40"/>
      <c r="CL641" s="5"/>
      <c r="CN641" s="40"/>
      <c r="CO641" s="5"/>
      <c r="CQ641" s="40"/>
      <c r="CR641" s="5"/>
    </row>
    <row r="642">
      <c r="AL642" s="40"/>
      <c r="AM642" s="5"/>
      <c r="AO642" s="40"/>
      <c r="AP642" s="5"/>
      <c r="AR642" s="40"/>
      <c r="AS642" s="5"/>
      <c r="AU642" s="40"/>
      <c r="AV642" s="5"/>
      <c r="AX642" s="40"/>
      <c r="AY642" s="5"/>
      <c r="BA642" s="40"/>
      <c r="BB642" s="5"/>
      <c r="BD642" s="40"/>
      <c r="BE642" s="5"/>
      <c r="BG642" s="40"/>
      <c r="BH642" s="5"/>
      <c r="BJ642" s="40"/>
      <c r="BK642" s="5"/>
      <c r="BM642" s="40"/>
      <c r="BN642" s="5"/>
      <c r="BP642" s="40"/>
      <c r="BQ642" s="5"/>
      <c r="BS642" s="40"/>
      <c r="BT642" s="5"/>
      <c r="BV642" s="40"/>
      <c r="BW642" s="5"/>
      <c r="BY642" s="40"/>
      <c r="BZ642" s="5"/>
      <c r="CB642" s="40"/>
      <c r="CC642" s="5"/>
      <c r="CE642" s="40"/>
      <c r="CF642" s="5"/>
      <c r="CH642" s="40"/>
      <c r="CI642" s="5"/>
      <c r="CK642" s="40"/>
      <c r="CL642" s="5"/>
      <c r="CN642" s="40"/>
      <c r="CO642" s="5"/>
      <c r="CQ642" s="40"/>
      <c r="CR642" s="5"/>
    </row>
    <row r="643">
      <c r="AL643" s="40"/>
      <c r="AM643" s="5"/>
      <c r="AO643" s="40"/>
      <c r="AP643" s="5"/>
      <c r="AR643" s="40"/>
      <c r="AS643" s="5"/>
      <c r="AU643" s="40"/>
      <c r="AV643" s="5"/>
      <c r="AX643" s="40"/>
      <c r="AY643" s="5"/>
      <c r="BA643" s="40"/>
      <c r="BB643" s="5"/>
      <c r="BD643" s="40"/>
      <c r="BE643" s="5"/>
      <c r="BG643" s="40"/>
      <c r="BH643" s="5"/>
      <c r="BJ643" s="40"/>
      <c r="BK643" s="5"/>
      <c r="BM643" s="40"/>
      <c r="BN643" s="5"/>
      <c r="BP643" s="40"/>
      <c r="BQ643" s="5"/>
      <c r="BS643" s="40"/>
      <c r="BT643" s="5"/>
      <c r="BV643" s="40"/>
      <c r="BW643" s="5"/>
      <c r="BY643" s="40"/>
      <c r="BZ643" s="5"/>
      <c r="CB643" s="40"/>
      <c r="CC643" s="5"/>
      <c r="CE643" s="40"/>
      <c r="CF643" s="5"/>
      <c r="CH643" s="40"/>
      <c r="CI643" s="5"/>
      <c r="CK643" s="40"/>
      <c r="CL643" s="5"/>
      <c r="CN643" s="40"/>
      <c r="CO643" s="5"/>
      <c r="CQ643" s="40"/>
      <c r="CR643" s="5"/>
    </row>
    <row r="644">
      <c r="AL644" s="40"/>
      <c r="AM644" s="5"/>
      <c r="AO644" s="40"/>
      <c r="AP644" s="5"/>
      <c r="AR644" s="40"/>
      <c r="AS644" s="5"/>
      <c r="AU644" s="40"/>
      <c r="AV644" s="5"/>
      <c r="AX644" s="40"/>
      <c r="AY644" s="5"/>
      <c r="BA644" s="40"/>
      <c r="BB644" s="5"/>
      <c r="BD644" s="40"/>
      <c r="BE644" s="5"/>
      <c r="BG644" s="40"/>
      <c r="BH644" s="5"/>
      <c r="BJ644" s="40"/>
      <c r="BK644" s="5"/>
      <c r="BM644" s="40"/>
      <c r="BN644" s="5"/>
      <c r="BP644" s="40"/>
      <c r="BQ644" s="5"/>
      <c r="BS644" s="40"/>
      <c r="BT644" s="5"/>
      <c r="BV644" s="40"/>
      <c r="BW644" s="5"/>
      <c r="BY644" s="40"/>
      <c r="BZ644" s="5"/>
      <c r="CB644" s="40"/>
      <c r="CC644" s="5"/>
      <c r="CE644" s="40"/>
      <c r="CF644" s="5"/>
      <c r="CH644" s="40"/>
      <c r="CI644" s="5"/>
      <c r="CK644" s="40"/>
      <c r="CL644" s="5"/>
      <c r="CN644" s="40"/>
      <c r="CO644" s="5"/>
      <c r="CQ644" s="40"/>
      <c r="CR644" s="5"/>
    </row>
    <row r="645">
      <c r="AL645" s="40"/>
      <c r="AM645" s="5"/>
      <c r="AO645" s="40"/>
      <c r="AP645" s="5"/>
      <c r="AR645" s="40"/>
      <c r="AS645" s="5"/>
      <c r="AU645" s="40"/>
      <c r="AV645" s="5"/>
      <c r="AX645" s="40"/>
      <c r="AY645" s="5"/>
      <c r="BA645" s="40"/>
      <c r="BB645" s="5"/>
      <c r="BD645" s="40"/>
      <c r="BE645" s="5"/>
      <c r="BG645" s="40"/>
      <c r="BH645" s="5"/>
      <c r="BJ645" s="40"/>
      <c r="BK645" s="5"/>
      <c r="BM645" s="40"/>
      <c r="BN645" s="5"/>
      <c r="BP645" s="40"/>
      <c r="BQ645" s="5"/>
      <c r="BS645" s="40"/>
      <c r="BT645" s="5"/>
      <c r="BV645" s="40"/>
      <c r="BW645" s="5"/>
      <c r="BY645" s="40"/>
      <c r="BZ645" s="5"/>
      <c r="CB645" s="40"/>
      <c r="CC645" s="5"/>
      <c r="CE645" s="40"/>
      <c r="CF645" s="5"/>
      <c r="CH645" s="40"/>
      <c r="CI645" s="5"/>
      <c r="CK645" s="40"/>
      <c r="CL645" s="5"/>
      <c r="CN645" s="40"/>
      <c r="CO645" s="5"/>
      <c r="CQ645" s="40"/>
      <c r="CR645" s="5"/>
    </row>
    <row r="646">
      <c r="AL646" s="40"/>
      <c r="AM646" s="5"/>
      <c r="AO646" s="40"/>
      <c r="AP646" s="5"/>
      <c r="AR646" s="40"/>
      <c r="AS646" s="5"/>
      <c r="AU646" s="40"/>
      <c r="AV646" s="5"/>
      <c r="AX646" s="40"/>
      <c r="AY646" s="5"/>
      <c r="BA646" s="40"/>
      <c r="BB646" s="5"/>
      <c r="BD646" s="40"/>
      <c r="BE646" s="5"/>
      <c r="BG646" s="40"/>
      <c r="BH646" s="5"/>
      <c r="BJ646" s="40"/>
      <c r="BK646" s="5"/>
      <c r="BM646" s="40"/>
      <c r="BN646" s="5"/>
      <c r="BP646" s="40"/>
      <c r="BQ646" s="5"/>
      <c r="BS646" s="40"/>
      <c r="BT646" s="5"/>
      <c r="BV646" s="40"/>
      <c r="BW646" s="5"/>
      <c r="BY646" s="40"/>
      <c r="BZ646" s="5"/>
      <c r="CB646" s="40"/>
      <c r="CC646" s="5"/>
      <c r="CE646" s="40"/>
      <c r="CF646" s="5"/>
      <c r="CH646" s="40"/>
      <c r="CI646" s="5"/>
      <c r="CK646" s="40"/>
      <c r="CL646" s="5"/>
      <c r="CN646" s="40"/>
      <c r="CO646" s="5"/>
      <c r="CQ646" s="40"/>
      <c r="CR646" s="5"/>
    </row>
    <row r="647">
      <c r="AL647" s="40"/>
      <c r="AM647" s="5"/>
      <c r="AO647" s="40"/>
      <c r="AP647" s="5"/>
      <c r="AR647" s="40"/>
      <c r="AS647" s="5"/>
      <c r="AU647" s="40"/>
      <c r="AV647" s="5"/>
      <c r="AX647" s="40"/>
      <c r="AY647" s="5"/>
      <c r="BA647" s="40"/>
      <c r="BB647" s="5"/>
      <c r="BD647" s="40"/>
      <c r="BE647" s="5"/>
      <c r="BG647" s="40"/>
      <c r="BH647" s="5"/>
      <c r="BJ647" s="40"/>
      <c r="BK647" s="5"/>
      <c r="BM647" s="40"/>
      <c r="BN647" s="5"/>
      <c r="BP647" s="40"/>
      <c r="BQ647" s="5"/>
      <c r="BS647" s="40"/>
      <c r="BT647" s="5"/>
      <c r="BV647" s="40"/>
      <c r="BW647" s="5"/>
      <c r="BY647" s="40"/>
      <c r="BZ647" s="5"/>
      <c r="CB647" s="40"/>
      <c r="CC647" s="5"/>
      <c r="CE647" s="40"/>
      <c r="CF647" s="5"/>
      <c r="CH647" s="40"/>
      <c r="CI647" s="5"/>
      <c r="CK647" s="40"/>
      <c r="CL647" s="5"/>
      <c r="CN647" s="40"/>
      <c r="CO647" s="5"/>
      <c r="CQ647" s="40"/>
      <c r="CR647" s="5"/>
    </row>
    <row r="648">
      <c r="AL648" s="40"/>
      <c r="AM648" s="5"/>
      <c r="AO648" s="40"/>
      <c r="AP648" s="5"/>
      <c r="AR648" s="40"/>
      <c r="AS648" s="5"/>
      <c r="AU648" s="40"/>
      <c r="AV648" s="5"/>
      <c r="AX648" s="40"/>
      <c r="AY648" s="5"/>
      <c r="BA648" s="40"/>
      <c r="BB648" s="5"/>
      <c r="BD648" s="40"/>
      <c r="BE648" s="5"/>
      <c r="BG648" s="40"/>
      <c r="BH648" s="5"/>
      <c r="BJ648" s="40"/>
      <c r="BK648" s="5"/>
      <c r="BM648" s="40"/>
      <c r="BN648" s="5"/>
      <c r="BP648" s="40"/>
      <c r="BQ648" s="5"/>
      <c r="BS648" s="40"/>
      <c r="BT648" s="5"/>
      <c r="BV648" s="40"/>
      <c r="BW648" s="5"/>
      <c r="BY648" s="40"/>
      <c r="BZ648" s="5"/>
      <c r="CB648" s="40"/>
      <c r="CC648" s="5"/>
      <c r="CE648" s="40"/>
      <c r="CF648" s="5"/>
      <c r="CH648" s="40"/>
      <c r="CI648" s="5"/>
      <c r="CK648" s="40"/>
      <c r="CL648" s="5"/>
      <c r="CN648" s="40"/>
      <c r="CO648" s="5"/>
      <c r="CQ648" s="40"/>
      <c r="CR648" s="5"/>
    </row>
    <row r="649">
      <c r="AL649" s="40"/>
      <c r="AM649" s="5"/>
      <c r="AO649" s="40"/>
      <c r="AP649" s="5"/>
      <c r="AR649" s="40"/>
      <c r="AS649" s="5"/>
      <c r="AU649" s="40"/>
      <c r="AV649" s="5"/>
      <c r="AX649" s="40"/>
      <c r="AY649" s="5"/>
      <c r="BA649" s="40"/>
      <c r="BB649" s="5"/>
      <c r="BD649" s="40"/>
      <c r="BE649" s="5"/>
      <c r="BG649" s="40"/>
      <c r="BH649" s="5"/>
      <c r="BJ649" s="40"/>
      <c r="BK649" s="5"/>
      <c r="BM649" s="40"/>
      <c r="BN649" s="5"/>
      <c r="BP649" s="40"/>
      <c r="BQ649" s="5"/>
      <c r="BS649" s="40"/>
      <c r="BT649" s="5"/>
      <c r="BV649" s="40"/>
      <c r="BW649" s="5"/>
      <c r="BY649" s="40"/>
      <c r="BZ649" s="5"/>
      <c r="CB649" s="40"/>
      <c r="CC649" s="5"/>
      <c r="CE649" s="40"/>
      <c r="CF649" s="5"/>
      <c r="CH649" s="40"/>
      <c r="CI649" s="5"/>
      <c r="CK649" s="40"/>
      <c r="CL649" s="5"/>
      <c r="CN649" s="40"/>
      <c r="CO649" s="5"/>
      <c r="CQ649" s="40"/>
      <c r="CR649" s="5"/>
    </row>
    <row r="650">
      <c r="AL650" s="40"/>
      <c r="AM650" s="5"/>
      <c r="AO650" s="40"/>
      <c r="AP650" s="5"/>
      <c r="AR650" s="40"/>
      <c r="AS650" s="5"/>
      <c r="AU650" s="40"/>
      <c r="AV650" s="5"/>
      <c r="AX650" s="40"/>
      <c r="AY650" s="5"/>
      <c r="BA650" s="40"/>
      <c r="BB650" s="5"/>
      <c r="BD650" s="40"/>
      <c r="BE650" s="5"/>
      <c r="BG650" s="40"/>
      <c r="BH650" s="5"/>
      <c r="BJ650" s="40"/>
      <c r="BK650" s="5"/>
      <c r="BM650" s="40"/>
      <c r="BN650" s="5"/>
      <c r="BP650" s="40"/>
      <c r="BQ650" s="5"/>
      <c r="BS650" s="40"/>
      <c r="BT650" s="5"/>
      <c r="BV650" s="40"/>
      <c r="BW650" s="5"/>
      <c r="BY650" s="40"/>
      <c r="BZ650" s="5"/>
      <c r="CB650" s="40"/>
      <c r="CC650" s="5"/>
      <c r="CE650" s="40"/>
      <c r="CF650" s="5"/>
      <c r="CH650" s="40"/>
      <c r="CI650" s="5"/>
      <c r="CK650" s="40"/>
      <c r="CL650" s="5"/>
      <c r="CN650" s="40"/>
      <c r="CO650" s="5"/>
      <c r="CQ650" s="40"/>
      <c r="CR650" s="5"/>
    </row>
    <row r="651">
      <c r="AL651" s="40"/>
      <c r="AM651" s="5"/>
      <c r="AO651" s="40"/>
      <c r="AP651" s="5"/>
      <c r="AR651" s="40"/>
      <c r="AS651" s="5"/>
      <c r="AU651" s="40"/>
      <c r="AV651" s="5"/>
      <c r="AX651" s="40"/>
      <c r="AY651" s="5"/>
      <c r="BA651" s="40"/>
      <c r="BB651" s="5"/>
      <c r="BD651" s="40"/>
      <c r="BE651" s="5"/>
      <c r="BG651" s="40"/>
      <c r="BH651" s="5"/>
      <c r="BJ651" s="40"/>
      <c r="BK651" s="5"/>
      <c r="BM651" s="40"/>
      <c r="BN651" s="5"/>
      <c r="BP651" s="40"/>
      <c r="BQ651" s="5"/>
      <c r="BS651" s="40"/>
      <c r="BT651" s="5"/>
      <c r="BV651" s="40"/>
      <c r="BW651" s="5"/>
      <c r="BY651" s="40"/>
      <c r="BZ651" s="5"/>
      <c r="CB651" s="40"/>
      <c r="CC651" s="5"/>
      <c r="CE651" s="40"/>
      <c r="CF651" s="5"/>
      <c r="CH651" s="40"/>
      <c r="CI651" s="5"/>
      <c r="CK651" s="40"/>
      <c r="CL651" s="5"/>
      <c r="CN651" s="40"/>
      <c r="CO651" s="5"/>
      <c r="CQ651" s="40"/>
      <c r="CR651" s="5"/>
    </row>
    <row r="652">
      <c r="AL652" s="40"/>
      <c r="AM652" s="5"/>
      <c r="AO652" s="40"/>
      <c r="AP652" s="5"/>
      <c r="AR652" s="40"/>
      <c r="AS652" s="5"/>
      <c r="AU652" s="40"/>
      <c r="AV652" s="5"/>
      <c r="AX652" s="40"/>
      <c r="AY652" s="5"/>
      <c r="BA652" s="40"/>
      <c r="BB652" s="5"/>
      <c r="BD652" s="40"/>
      <c r="BE652" s="5"/>
      <c r="BG652" s="40"/>
      <c r="BH652" s="5"/>
      <c r="BJ652" s="40"/>
      <c r="BK652" s="5"/>
      <c r="BM652" s="40"/>
      <c r="BN652" s="5"/>
      <c r="BP652" s="40"/>
      <c r="BQ652" s="5"/>
      <c r="BS652" s="40"/>
      <c r="BT652" s="5"/>
      <c r="BV652" s="40"/>
      <c r="BW652" s="5"/>
      <c r="BY652" s="40"/>
      <c r="BZ652" s="5"/>
      <c r="CB652" s="40"/>
      <c r="CC652" s="5"/>
      <c r="CE652" s="40"/>
      <c r="CF652" s="5"/>
      <c r="CH652" s="40"/>
      <c r="CI652" s="5"/>
      <c r="CK652" s="40"/>
      <c r="CL652" s="5"/>
      <c r="CN652" s="40"/>
      <c r="CO652" s="5"/>
      <c r="CQ652" s="40"/>
      <c r="CR652" s="5"/>
    </row>
    <row r="653">
      <c r="AL653" s="40"/>
      <c r="AM653" s="5"/>
      <c r="AO653" s="40"/>
      <c r="AP653" s="5"/>
      <c r="AR653" s="40"/>
      <c r="AS653" s="5"/>
      <c r="AU653" s="40"/>
      <c r="AV653" s="5"/>
      <c r="AX653" s="40"/>
      <c r="AY653" s="5"/>
      <c r="BA653" s="40"/>
      <c r="BB653" s="5"/>
      <c r="BD653" s="40"/>
      <c r="BE653" s="5"/>
      <c r="BG653" s="40"/>
      <c r="BH653" s="5"/>
      <c r="BJ653" s="40"/>
      <c r="BK653" s="5"/>
      <c r="BM653" s="40"/>
      <c r="BN653" s="5"/>
      <c r="BP653" s="40"/>
      <c r="BQ653" s="5"/>
      <c r="BS653" s="40"/>
      <c r="BT653" s="5"/>
      <c r="BV653" s="40"/>
      <c r="BW653" s="5"/>
      <c r="BY653" s="40"/>
      <c r="BZ653" s="5"/>
      <c r="CB653" s="40"/>
      <c r="CC653" s="5"/>
      <c r="CE653" s="40"/>
      <c r="CF653" s="5"/>
      <c r="CH653" s="40"/>
      <c r="CI653" s="5"/>
      <c r="CK653" s="40"/>
      <c r="CL653" s="5"/>
      <c r="CN653" s="40"/>
      <c r="CO653" s="5"/>
      <c r="CQ653" s="40"/>
      <c r="CR653" s="5"/>
    </row>
    <row r="654">
      <c r="AL654" s="40"/>
      <c r="AM654" s="5"/>
      <c r="AO654" s="40"/>
      <c r="AP654" s="5"/>
      <c r="AR654" s="40"/>
      <c r="AS654" s="5"/>
      <c r="AU654" s="40"/>
      <c r="AV654" s="5"/>
      <c r="AX654" s="40"/>
      <c r="AY654" s="5"/>
      <c r="BA654" s="40"/>
      <c r="BB654" s="5"/>
      <c r="BD654" s="40"/>
      <c r="BE654" s="5"/>
      <c r="BG654" s="40"/>
      <c r="BH654" s="5"/>
      <c r="BJ654" s="40"/>
      <c r="BK654" s="5"/>
      <c r="BM654" s="40"/>
      <c r="BN654" s="5"/>
      <c r="BP654" s="40"/>
      <c r="BQ654" s="5"/>
      <c r="BS654" s="40"/>
      <c r="BT654" s="5"/>
      <c r="BV654" s="40"/>
      <c r="BW654" s="5"/>
      <c r="BY654" s="40"/>
      <c r="BZ654" s="5"/>
      <c r="CB654" s="40"/>
      <c r="CC654" s="5"/>
      <c r="CE654" s="40"/>
      <c r="CF654" s="5"/>
      <c r="CH654" s="40"/>
      <c r="CI654" s="5"/>
      <c r="CK654" s="40"/>
      <c r="CL654" s="5"/>
      <c r="CN654" s="40"/>
      <c r="CO654" s="5"/>
      <c r="CQ654" s="40"/>
      <c r="CR654" s="5"/>
    </row>
    <row r="655">
      <c r="AL655" s="40"/>
      <c r="AM655" s="5"/>
      <c r="AO655" s="40"/>
      <c r="AP655" s="5"/>
      <c r="AR655" s="40"/>
      <c r="AS655" s="5"/>
      <c r="AU655" s="40"/>
      <c r="AV655" s="5"/>
      <c r="AX655" s="40"/>
      <c r="AY655" s="5"/>
      <c r="BA655" s="40"/>
      <c r="BB655" s="5"/>
      <c r="BD655" s="40"/>
      <c r="BE655" s="5"/>
      <c r="BG655" s="40"/>
      <c r="BH655" s="5"/>
      <c r="BJ655" s="40"/>
      <c r="BK655" s="5"/>
      <c r="BM655" s="40"/>
      <c r="BN655" s="5"/>
      <c r="BP655" s="40"/>
      <c r="BQ655" s="5"/>
      <c r="BS655" s="40"/>
      <c r="BT655" s="5"/>
      <c r="BV655" s="40"/>
      <c r="BW655" s="5"/>
      <c r="BY655" s="40"/>
      <c r="BZ655" s="5"/>
      <c r="CB655" s="40"/>
      <c r="CC655" s="5"/>
      <c r="CE655" s="40"/>
      <c r="CF655" s="5"/>
      <c r="CH655" s="40"/>
      <c r="CI655" s="5"/>
      <c r="CK655" s="40"/>
      <c r="CL655" s="5"/>
      <c r="CN655" s="40"/>
      <c r="CO655" s="5"/>
      <c r="CQ655" s="40"/>
      <c r="CR655" s="5"/>
    </row>
    <row r="656">
      <c r="AL656" s="40"/>
      <c r="AM656" s="5"/>
      <c r="AO656" s="40"/>
      <c r="AP656" s="5"/>
      <c r="AR656" s="40"/>
      <c r="AS656" s="5"/>
      <c r="AU656" s="40"/>
      <c r="AV656" s="5"/>
      <c r="AX656" s="40"/>
      <c r="AY656" s="5"/>
      <c r="BA656" s="40"/>
      <c r="BB656" s="5"/>
      <c r="BD656" s="40"/>
      <c r="BE656" s="5"/>
      <c r="BG656" s="40"/>
      <c r="BH656" s="5"/>
      <c r="BJ656" s="40"/>
      <c r="BK656" s="5"/>
      <c r="BM656" s="40"/>
      <c r="BN656" s="5"/>
      <c r="BP656" s="40"/>
      <c r="BQ656" s="5"/>
      <c r="BS656" s="40"/>
      <c r="BT656" s="5"/>
      <c r="BV656" s="40"/>
      <c r="BW656" s="5"/>
      <c r="BY656" s="40"/>
      <c r="BZ656" s="5"/>
      <c r="CB656" s="40"/>
      <c r="CC656" s="5"/>
      <c r="CE656" s="40"/>
      <c r="CF656" s="5"/>
      <c r="CH656" s="40"/>
      <c r="CI656" s="5"/>
      <c r="CK656" s="40"/>
      <c r="CL656" s="5"/>
      <c r="CN656" s="40"/>
      <c r="CO656" s="5"/>
      <c r="CQ656" s="40"/>
      <c r="CR656" s="5"/>
    </row>
    <row r="657">
      <c r="AL657" s="40"/>
      <c r="AM657" s="5"/>
      <c r="AO657" s="40"/>
      <c r="AP657" s="5"/>
      <c r="AR657" s="40"/>
      <c r="AS657" s="5"/>
      <c r="AU657" s="40"/>
      <c r="AV657" s="5"/>
      <c r="AX657" s="40"/>
      <c r="AY657" s="5"/>
      <c r="BA657" s="40"/>
      <c r="BB657" s="5"/>
      <c r="BD657" s="40"/>
      <c r="BE657" s="5"/>
      <c r="BG657" s="40"/>
      <c r="BH657" s="5"/>
      <c r="BJ657" s="40"/>
      <c r="BK657" s="5"/>
      <c r="BM657" s="40"/>
      <c r="BN657" s="5"/>
      <c r="BP657" s="40"/>
      <c r="BQ657" s="5"/>
      <c r="BS657" s="40"/>
      <c r="BT657" s="5"/>
      <c r="BV657" s="40"/>
      <c r="BW657" s="5"/>
      <c r="BY657" s="40"/>
      <c r="BZ657" s="5"/>
      <c r="CB657" s="40"/>
      <c r="CC657" s="5"/>
      <c r="CE657" s="40"/>
      <c r="CF657" s="5"/>
      <c r="CH657" s="40"/>
      <c r="CI657" s="5"/>
      <c r="CK657" s="40"/>
      <c r="CL657" s="5"/>
      <c r="CN657" s="40"/>
      <c r="CO657" s="5"/>
      <c r="CQ657" s="40"/>
      <c r="CR657" s="5"/>
    </row>
    <row r="658">
      <c r="AL658" s="40"/>
      <c r="AM658" s="5"/>
      <c r="AO658" s="40"/>
      <c r="AP658" s="5"/>
      <c r="AR658" s="40"/>
      <c r="AS658" s="5"/>
      <c r="AU658" s="40"/>
      <c r="AV658" s="5"/>
      <c r="AX658" s="40"/>
      <c r="AY658" s="5"/>
      <c r="BA658" s="40"/>
      <c r="BB658" s="5"/>
      <c r="BD658" s="40"/>
      <c r="BE658" s="5"/>
      <c r="BG658" s="40"/>
      <c r="BH658" s="5"/>
      <c r="BJ658" s="40"/>
      <c r="BK658" s="5"/>
      <c r="BM658" s="40"/>
      <c r="BN658" s="5"/>
      <c r="BP658" s="40"/>
      <c r="BQ658" s="5"/>
      <c r="BS658" s="40"/>
      <c r="BT658" s="5"/>
      <c r="BV658" s="40"/>
      <c r="BW658" s="5"/>
      <c r="BY658" s="40"/>
      <c r="BZ658" s="5"/>
      <c r="CB658" s="40"/>
      <c r="CC658" s="5"/>
      <c r="CE658" s="40"/>
      <c r="CF658" s="5"/>
      <c r="CH658" s="40"/>
      <c r="CI658" s="5"/>
      <c r="CK658" s="40"/>
      <c r="CL658" s="5"/>
      <c r="CN658" s="40"/>
      <c r="CO658" s="5"/>
      <c r="CQ658" s="40"/>
      <c r="CR658" s="5"/>
    </row>
    <row r="659">
      <c r="AL659" s="40"/>
      <c r="AM659" s="5"/>
      <c r="AO659" s="40"/>
      <c r="AP659" s="5"/>
      <c r="AR659" s="40"/>
      <c r="AS659" s="5"/>
      <c r="AU659" s="40"/>
      <c r="AV659" s="5"/>
      <c r="AX659" s="40"/>
      <c r="AY659" s="5"/>
      <c r="BA659" s="40"/>
      <c r="BB659" s="5"/>
      <c r="BD659" s="40"/>
      <c r="BE659" s="5"/>
      <c r="BG659" s="40"/>
      <c r="BH659" s="5"/>
      <c r="BJ659" s="40"/>
      <c r="BK659" s="5"/>
      <c r="BM659" s="40"/>
      <c r="BN659" s="5"/>
      <c r="BP659" s="40"/>
      <c r="BQ659" s="5"/>
      <c r="BS659" s="40"/>
      <c r="BT659" s="5"/>
      <c r="BV659" s="40"/>
      <c r="BW659" s="5"/>
      <c r="BY659" s="40"/>
      <c r="BZ659" s="5"/>
      <c r="CB659" s="40"/>
      <c r="CC659" s="5"/>
      <c r="CE659" s="40"/>
      <c r="CF659" s="5"/>
      <c r="CH659" s="40"/>
      <c r="CI659" s="5"/>
      <c r="CK659" s="40"/>
      <c r="CL659" s="5"/>
      <c r="CN659" s="40"/>
      <c r="CO659" s="5"/>
      <c r="CQ659" s="40"/>
      <c r="CR659" s="5"/>
    </row>
    <row r="660">
      <c r="AL660" s="40"/>
      <c r="AM660" s="5"/>
      <c r="AO660" s="40"/>
      <c r="AP660" s="5"/>
      <c r="AR660" s="40"/>
      <c r="AS660" s="5"/>
      <c r="AU660" s="40"/>
      <c r="AV660" s="5"/>
      <c r="AX660" s="40"/>
      <c r="AY660" s="5"/>
      <c r="BA660" s="40"/>
      <c r="BB660" s="5"/>
      <c r="BD660" s="40"/>
      <c r="BE660" s="5"/>
      <c r="BG660" s="40"/>
      <c r="BH660" s="5"/>
      <c r="BJ660" s="40"/>
      <c r="BK660" s="5"/>
      <c r="BM660" s="40"/>
      <c r="BN660" s="5"/>
      <c r="BP660" s="40"/>
      <c r="BQ660" s="5"/>
      <c r="BS660" s="40"/>
      <c r="BT660" s="5"/>
      <c r="BV660" s="40"/>
      <c r="BW660" s="5"/>
      <c r="BY660" s="40"/>
      <c r="BZ660" s="5"/>
      <c r="CB660" s="40"/>
      <c r="CC660" s="5"/>
      <c r="CE660" s="40"/>
      <c r="CF660" s="5"/>
      <c r="CH660" s="40"/>
      <c r="CI660" s="5"/>
      <c r="CK660" s="40"/>
      <c r="CL660" s="5"/>
      <c r="CN660" s="40"/>
      <c r="CO660" s="5"/>
      <c r="CQ660" s="40"/>
      <c r="CR660" s="5"/>
    </row>
    <row r="661">
      <c r="AL661" s="40"/>
      <c r="AM661" s="5"/>
      <c r="AO661" s="40"/>
      <c r="AP661" s="5"/>
      <c r="AR661" s="40"/>
      <c r="AS661" s="5"/>
      <c r="AU661" s="40"/>
      <c r="AV661" s="5"/>
      <c r="AX661" s="40"/>
      <c r="AY661" s="5"/>
      <c r="BA661" s="40"/>
      <c r="BB661" s="5"/>
      <c r="BD661" s="40"/>
      <c r="BE661" s="5"/>
      <c r="BG661" s="40"/>
      <c r="BH661" s="5"/>
      <c r="BJ661" s="40"/>
      <c r="BK661" s="5"/>
      <c r="BM661" s="40"/>
      <c r="BN661" s="5"/>
      <c r="BP661" s="40"/>
      <c r="BQ661" s="5"/>
      <c r="BS661" s="40"/>
      <c r="BT661" s="5"/>
      <c r="BV661" s="40"/>
      <c r="BW661" s="5"/>
      <c r="BY661" s="40"/>
      <c r="BZ661" s="5"/>
      <c r="CB661" s="40"/>
      <c r="CC661" s="5"/>
      <c r="CE661" s="40"/>
      <c r="CF661" s="5"/>
      <c r="CH661" s="40"/>
      <c r="CI661" s="5"/>
      <c r="CK661" s="40"/>
      <c r="CL661" s="5"/>
      <c r="CN661" s="40"/>
      <c r="CO661" s="5"/>
      <c r="CQ661" s="40"/>
      <c r="CR661" s="5"/>
    </row>
    <row r="662">
      <c r="AL662" s="40"/>
      <c r="AM662" s="5"/>
      <c r="AO662" s="40"/>
      <c r="AP662" s="5"/>
      <c r="AR662" s="40"/>
      <c r="AS662" s="5"/>
      <c r="AU662" s="40"/>
      <c r="AV662" s="5"/>
      <c r="AX662" s="40"/>
      <c r="AY662" s="5"/>
      <c r="BA662" s="40"/>
      <c r="BB662" s="5"/>
      <c r="BD662" s="40"/>
      <c r="BE662" s="5"/>
      <c r="BG662" s="40"/>
      <c r="BH662" s="5"/>
      <c r="BJ662" s="40"/>
      <c r="BK662" s="5"/>
      <c r="BM662" s="40"/>
      <c r="BN662" s="5"/>
      <c r="BP662" s="40"/>
      <c r="BQ662" s="5"/>
      <c r="BS662" s="40"/>
      <c r="BT662" s="5"/>
      <c r="BV662" s="40"/>
      <c r="BW662" s="5"/>
      <c r="BY662" s="40"/>
      <c r="BZ662" s="5"/>
      <c r="CB662" s="40"/>
      <c r="CC662" s="5"/>
      <c r="CE662" s="40"/>
      <c r="CF662" s="5"/>
      <c r="CH662" s="40"/>
      <c r="CI662" s="5"/>
      <c r="CK662" s="40"/>
      <c r="CL662" s="5"/>
      <c r="CN662" s="40"/>
      <c r="CO662" s="5"/>
      <c r="CQ662" s="40"/>
      <c r="CR662" s="5"/>
    </row>
    <row r="663">
      <c r="AL663" s="40"/>
      <c r="AM663" s="5"/>
      <c r="AO663" s="40"/>
      <c r="AP663" s="5"/>
      <c r="AR663" s="40"/>
      <c r="AS663" s="5"/>
      <c r="AU663" s="40"/>
      <c r="AV663" s="5"/>
      <c r="AX663" s="40"/>
      <c r="AY663" s="5"/>
      <c r="BA663" s="40"/>
      <c r="BB663" s="5"/>
      <c r="BD663" s="40"/>
      <c r="BE663" s="5"/>
      <c r="BG663" s="40"/>
      <c r="BH663" s="5"/>
      <c r="BJ663" s="40"/>
      <c r="BK663" s="5"/>
      <c r="BM663" s="40"/>
      <c r="BN663" s="5"/>
      <c r="BP663" s="40"/>
      <c r="BQ663" s="5"/>
      <c r="BS663" s="40"/>
      <c r="BT663" s="5"/>
      <c r="BV663" s="40"/>
      <c r="BW663" s="5"/>
      <c r="BY663" s="40"/>
      <c r="BZ663" s="5"/>
      <c r="CB663" s="40"/>
      <c r="CC663" s="5"/>
      <c r="CE663" s="40"/>
      <c r="CF663" s="5"/>
      <c r="CH663" s="40"/>
      <c r="CI663" s="5"/>
      <c r="CK663" s="40"/>
      <c r="CL663" s="5"/>
      <c r="CN663" s="40"/>
      <c r="CO663" s="5"/>
      <c r="CQ663" s="40"/>
      <c r="CR663" s="5"/>
    </row>
    <row r="664">
      <c r="AL664" s="40"/>
      <c r="AM664" s="5"/>
      <c r="AO664" s="40"/>
      <c r="AP664" s="5"/>
      <c r="AR664" s="40"/>
      <c r="AS664" s="5"/>
      <c r="AU664" s="40"/>
      <c r="AV664" s="5"/>
      <c r="AX664" s="40"/>
      <c r="AY664" s="5"/>
      <c r="BA664" s="40"/>
      <c r="BB664" s="5"/>
      <c r="BD664" s="40"/>
      <c r="BE664" s="5"/>
      <c r="BG664" s="40"/>
      <c r="BH664" s="5"/>
      <c r="BJ664" s="40"/>
      <c r="BK664" s="5"/>
      <c r="BM664" s="40"/>
      <c r="BN664" s="5"/>
      <c r="BP664" s="40"/>
      <c r="BQ664" s="5"/>
      <c r="BS664" s="40"/>
      <c r="BT664" s="5"/>
      <c r="BV664" s="40"/>
      <c r="BW664" s="5"/>
      <c r="BY664" s="40"/>
      <c r="BZ664" s="5"/>
      <c r="CB664" s="40"/>
      <c r="CC664" s="5"/>
      <c r="CE664" s="40"/>
      <c r="CF664" s="5"/>
      <c r="CH664" s="40"/>
      <c r="CI664" s="5"/>
      <c r="CK664" s="40"/>
      <c r="CL664" s="5"/>
      <c r="CN664" s="40"/>
      <c r="CO664" s="5"/>
      <c r="CQ664" s="40"/>
      <c r="CR664" s="5"/>
    </row>
    <row r="665">
      <c r="AL665" s="40"/>
      <c r="AM665" s="5"/>
      <c r="AO665" s="40"/>
      <c r="AP665" s="5"/>
      <c r="AR665" s="40"/>
      <c r="AS665" s="5"/>
      <c r="AU665" s="40"/>
      <c r="AV665" s="5"/>
      <c r="AX665" s="40"/>
      <c r="AY665" s="5"/>
      <c r="BA665" s="40"/>
      <c r="BB665" s="5"/>
      <c r="BD665" s="40"/>
      <c r="BE665" s="5"/>
      <c r="BG665" s="40"/>
      <c r="BH665" s="5"/>
      <c r="BJ665" s="40"/>
      <c r="BK665" s="5"/>
      <c r="BM665" s="40"/>
      <c r="BN665" s="5"/>
      <c r="BP665" s="40"/>
      <c r="BQ665" s="5"/>
      <c r="BS665" s="40"/>
      <c r="BT665" s="5"/>
      <c r="BV665" s="40"/>
      <c r="BW665" s="5"/>
      <c r="BY665" s="40"/>
      <c r="BZ665" s="5"/>
      <c r="CB665" s="40"/>
      <c r="CC665" s="5"/>
      <c r="CE665" s="40"/>
      <c r="CF665" s="5"/>
      <c r="CH665" s="40"/>
      <c r="CI665" s="5"/>
      <c r="CK665" s="40"/>
      <c r="CL665" s="5"/>
      <c r="CN665" s="40"/>
      <c r="CO665" s="5"/>
      <c r="CQ665" s="40"/>
      <c r="CR665" s="5"/>
    </row>
    <row r="666">
      <c r="AL666" s="40"/>
      <c r="AM666" s="5"/>
      <c r="AO666" s="40"/>
      <c r="AP666" s="5"/>
      <c r="AR666" s="40"/>
      <c r="AS666" s="5"/>
      <c r="AU666" s="40"/>
      <c r="AV666" s="5"/>
      <c r="AX666" s="40"/>
      <c r="AY666" s="5"/>
      <c r="BA666" s="40"/>
      <c r="BB666" s="5"/>
      <c r="BD666" s="40"/>
      <c r="BE666" s="5"/>
      <c r="BG666" s="40"/>
      <c r="BH666" s="5"/>
      <c r="BJ666" s="40"/>
      <c r="BK666" s="5"/>
      <c r="BM666" s="40"/>
      <c r="BN666" s="5"/>
      <c r="BP666" s="40"/>
      <c r="BQ666" s="5"/>
      <c r="BS666" s="40"/>
      <c r="BT666" s="5"/>
      <c r="BV666" s="40"/>
      <c r="BW666" s="5"/>
      <c r="BY666" s="40"/>
      <c r="BZ666" s="5"/>
      <c r="CB666" s="40"/>
      <c r="CC666" s="5"/>
      <c r="CE666" s="40"/>
      <c r="CF666" s="5"/>
      <c r="CH666" s="40"/>
      <c r="CI666" s="5"/>
      <c r="CK666" s="40"/>
      <c r="CL666" s="5"/>
      <c r="CN666" s="40"/>
      <c r="CO666" s="5"/>
      <c r="CQ666" s="40"/>
      <c r="CR666" s="5"/>
    </row>
    <row r="667">
      <c r="AL667" s="40"/>
      <c r="AM667" s="5"/>
      <c r="AO667" s="40"/>
      <c r="AP667" s="5"/>
      <c r="AR667" s="40"/>
      <c r="AS667" s="5"/>
      <c r="AU667" s="40"/>
      <c r="AV667" s="5"/>
      <c r="AX667" s="40"/>
      <c r="AY667" s="5"/>
      <c r="BA667" s="40"/>
      <c r="BB667" s="5"/>
      <c r="BD667" s="40"/>
      <c r="BE667" s="5"/>
      <c r="BG667" s="40"/>
      <c r="BH667" s="5"/>
      <c r="BJ667" s="40"/>
      <c r="BK667" s="5"/>
      <c r="BM667" s="40"/>
      <c r="BN667" s="5"/>
      <c r="BP667" s="40"/>
      <c r="BQ667" s="5"/>
      <c r="BS667" s="40"/>
      <c r="BT667" s="5"/>
      <c r="BV667" s="40"/>
      <c r="BW667" s="5"/>
      <c r="BY667" s="40"/>
      <c r="BZ667" s="5"/>
      <c r="CB667" s="40"/>
      <c r="CC667" s="5"/>
      <c r="CE667" s="40"/>
      <c r="CF667" s="5"/>
      <c r="CH667" s="40"/>
      <c r="CI667" s="5"/>
      <c r="CK667" s="40"/>
      <c r="CL667" s="5"/>
      <c r="CN667" s="40"/>
      <c r="CO667" s="5"/>
      <c r="CQ667" s="40"/>
      <c r="CR667" s="5"/>
    </row>
    <row r="668">
      <c r="AL668" s="40"/>
      <c r="AM668" s="5"/>
      <c r="AO668" s="40"/>
      <c r="AP668" s="5"/>
      <c r="AR668" s="40"/>
      <c r="AS668" s="5"/>
      <c r="AU668" s="40"/>
      <c r="AV668" s="5"/>
      <c r="AX668" s="40"/>
      <c r="AY668" s="5"/>
      <c r="BA668" s="40"/>
      <c r="BB668" s="5"/>
      <c r="BD668" s="40"/>
      <c r="BE668" s="5"/>
      <c r="BG668" s="40"/>
      <c r="BH668" s="5"/>
      <c r="BJ668" s="40"/>
      <c r="BK668" s="5"/>
      <c r="BM668" s="40"/>
      <c r="BN668" s="5"/>
      <c r="BP668" s="40"/>
      <c r="BQ668" s="5"/>
      <c r="BS668" s="40"/>
      <c r="BT668" s="5"/>
      <c r="BV668" s="40"/>
      <c r="BW668" s="5"/>
      <c r="BY668" s="40"/>
      <c r="BZ668" s="5"/>
      <c r="CB668" s="40"/>
      <c r="CC668" s="5"/>
      <c r="CE668" s="40"/>
      <c r="CF668" s="5"/>
      <c r="CH668" s="40"/>
      <c r="CI668" s="5"/>
      <c r="CK668" s="40"/>
      <c r="CL668" s="5"/>
      <c r="CN668" s="40"/>
      <c r="CO668" s="5"/>
      <c r="CQ668" s="40"/>
      <c r="CR668" s="5"/>
    </row>
    <row r="669">
      <c r="AL669" s="40"/>
      <c r="AM669" s="5"/>
      <c r="AO669" s="40"/>
      <c r="AP669" s="5"/>
      <c r="AR669" s="40"/>
      <c r="AS669" s="5"/>
      <c r="AU669" s="40"/>
      <c r="AV669" s="5"/>
      <c r="AX669" s="40"/>
      <c r="AY669" s="5"/>
      <c r="BA669" s="40"/>
      <c r="BB669" s="5"/>
      <c r="BD669" s="40"/>
      <c r="BE669" s="5"/>
      <c r="BG669" s="40"/>
      <c r="BH669" s="5"/>
      <c r="BJ669" s="40"/>
      <c r="BK669" s="5"/>
      <c r="BM669" s="40"/>
      <c r="BN669" s="5"/>
      <c r="BP669" s="40"/>
      <c r="BQ669" s="5"/>
      <c r="BS669" s="40"/>
      <c r="BT669" s="5"/>
      <c r="BV669" s="40"/>
      <c r="BW669" s="5"/>
      <c r="BY669" s="40"/>
      <c r="BZ669" s="5"/>
      <c r="CB669" s="40"/>
      <c r="CC669" s="5"/>
      <c r="CE669" s="40"/>
      <c r="CF669" s="5"/>
      <c r="CH669" s="40"/>
      <c r="CI669" s="5"/>
      <c r="CK669" s="40"/>
      <c r="CL669" s="5"/>
      <c r="CN669" s="40"/>
      <c r="CO669" s="5"/>
      <c r="CQ669" s="40"/>
      <c r="CR669" s="5"/>
    </row>
    <row r="670">
      <c r="AL670" s="40"/>
      <c r="AM670" s="5"/>
      <c r="AO670" s="40"/>
      <c r="AP670" s="5"/>
      <c r="AR670" s="40"/>
      <c r="AS670" s="5"/>
      <c r="AU670" s="40"/>
      <c r="AV670" s="5"/>
      <c r="AX670" s="40"/>
      <c r="AY670" s="5"/>
      <c r="BA670" s="40"/>
      <c r="BB670" s="5"/>
      <c r="BD670" s="40"/>
      <c r="BE670" s="5"/>
      <c r="BG670" s="40"/>
      <c r="BH670" s="5"/>
      <c r="BJ670" s="40"/>
      <c r="BK670" s="5"/>
      <c r="BM670" s="40"/>
      <c r="BN670" s="5"/>
      <c r="BP670" s="40"/>
      <c r="BQ670" s="5"/>
      <c r="BS670" s="40"/>
      <c r="BT670" s="5"/>
      <c r="BV670" s="40"/>
      <c r="BW670" s="5"/>
      <c r="BY670" s="40"/>
      <c r="BZ670" s="5"/>
      <c r="CB670" s="40"/>
      <c r="CC670" s="5"/>
      <c r="CE670" s="40"/>
      <c r="CF670" s="5"/>
      <c r="CH670" s="40"/>
      <c r="CI670" s="5"/>
      <c r="CK670" s="40"/>
      <c r="CL670" s="5"/>
      <c r="CN670" s="40"/>
      <c r="CO670" s="5"/>
      <c r="CQ670" s="40"/>
      <c r="CR670" s="5"/>
    </row>
    <row r="671">
      <c r="AL671" s="40"/>
      <c r="AM671" s="5"/>
      <c r="AO671" s="40"/>
      <c r="AP671" s="5"/>
      <c r="AR671" s="40"/>
      <c r="AS671" s="5"/>
      <c r="AU671" s="40"/>
      <c r="AV671" s="5"/>
      <c r="AX671" s="40"/>
      <c r="AY671" s="5"/>
      <c r="BA671" s="40"/>
      <c r="BB671" s="5"/>
      <c r="BD671" s="40"/>
      <c r="BE671" s="5"/>
      <c r="BG671" s="40"/>
      <c r="BH671" s="5"/>
      <c r="BJ671" s="40"/>
      <c r="BK671" s="5"/>
      <c r="BM671" s="40"/>
      <c r="BN671" s="5"/>
      <c r="BP671" s="40"/>
      <c r="BQ671" s="5"/>
      <c r="BS671" s="40"/>
      <c r="BT671" s="5"/>
      <c r="BV671" s="40"/>
      <c r="BW671" s="5"/>
      <c r="BY671" s="40"/>
      <c r="BZ671" s="5"/>
      <c r="CB671" s="40"/>
      <c r="CC671" s="5"/>
      <c r="CE671" s="40"/>
      <c r="CF671" s="5"/>
      <c r="CH671" s="40"/>
      <c r="CI671" s="5"/>
      <c r="CK671" s="40"/>
      <c r="CL671" s="5"/>
      <c r="CN671" s="40"/>
      <c r="CO671" s="5"/>
      <c r="CQ671" s="40"/>
      <c r="CR671" s="5"/>
    </row>
    <row r="672">
      <c r="AL672" s="40"/>
      <c r="AM672" s="5"/>
      <c r="AO672" s="40"/>
      <c r="AP672" s="5"/>
      <c r="AR672" s="40"/>
      <c r="AS672" s="5"/>
      <c r="AU672" s="40"/>
      <c r="AV672" s="5"/>
      <c r="AX672" s="40"/>
      <c r="AY672" s="5"/>
      <c r="BA672" s="40"/>
      <c r="BB672" s="5"/>
      <c r="BD672" s="40"/>
      <c r="BE672" s="5"/>
      <c r="BG672" s="40"/>
      <c r="BH672" s="5"/>
      <c r="BJ672" s="40"/>
      <c r="BK672" s="5"/>
      <c r="BM672" s="40"/>
      <c r="BN672" s="5"/>
      <c r="BP672" s="40"/>
      <c r="BQ672" s="5"/>
      <c r="BS672" s="40"/>
      <c r="BT672" s="5"/>
      <c r="BV672" s="40"/>
      <c r="BW672" s="5"/>
      <c r="BY672" s="40"/>
      <c r="BZ672" s="5"/>
      <c r="CB672" s="40"/>
      <c r="CC672" s="5"/>
      <c r="CE672" s="40"/>
      <c r="CF672" s="5"/>
      <c r="CH672" s="40"/>
      <c r="CI672" s="5"/>
      <c r="CK672" s="40"/>
      <c r="CL672" s="5"/>
      <c r="CN672" s="40"/>
      <c r="CO672" s="5"/>
      <c r="CQ672" s="40"/>
      <c r="CR672" s="5"/>
    </row>
    <row r="673">
      <c r="AL673" s="40"/>
      <c r="AM673" s="5"/>
      <c r="AO673" s="40"/>
      <c r="AP673" s="5"/>
      <c r="AR673" s="40"/>
      <c r="AS673" s="5"/>
      <c r="AU673" s="40"/>
      <c r="AV673" s="5"/>
      <c r="AX673" s="40"/>
      <c r="AY673" s="5"/>
      <c r="BA673" s="40"/>
      <c r="BB673" s="5"/>
      <c r="BD673" s="40"/>
      <c r="BE673" s="5"/>
      <c r="BG673" s="40"/>
      <c r="BH673" s="5"/>
      <c r="BJ673" s="40"/>
      <c r="BK673" s="5"/>
      <c r="BM673" s="40"/>
      <c r="BN673" s="5"/>
      <c r="BP673" s="40"/>
      <c r="BQ673" s="5"/>
      <c r="BS673" s="40"/>
      <c r="BT673" s="5"/>
      <c r="BV673" s="40"/>
      <c r="BW673" s="5"/>
      <c r="BY673" s="40"/>
      <c r="BZ673" s="5"/>
      <c r="CB673" s="40"/>
      <c r="CC673" s="5"/>
      <c r="CE673" s="40"/>
      <c r="CF673" s="5"/>
      <c r="CH673" s="40"/>
      <c r="CI673" s="5"/>
      <c r="CK673" s="40"/>
      <c r="CL673" s="5"/>
      <c r="CN673" s="40"/>
      <c r="CO673" s="5"/>
      <c r="CQ673" s="40"/>
      <c r="CR673" s="5"/>
    </row>
    <row r="674">
      <c r="AL674" s="40"/>
      <c r="AM674" s="5"/>
      <c r="AO674" s="40"/>
      <c r="AP674" s="5"/>
      <c r="AR674" s="40"/>
      <c r="AS674" s="5"/>
      <c r="AU674" s="40"/>
      <c r="AV674" s="5"/>
      <c r="AX674" s="40"/>
      <c r="AY674" s="5"/>
      <c r="BA674" s="40"/>
      <c r="BB674" s="5"/>
      <c r="BD674" s="40"/>
      <c r="BE674" s="5"/>
      <c r="BG674" s="40"/>
      <c r="BH674" s="5"/>
      <c r="BJ674" s="40"/>
      <c r="BK674" s="5"/>
      <c r="BM674" s="40"/>
      <c r="BN674" s="5"/>
      <c r="BP674" s="40"/>
      <c r="BQ674" s="5"/>
      <c r="BS674" s="40"/>
      <c r="BT674" s="5"/>
      <c r="BV674" s="40"/>
      <c r="BW674" s="5"/>
      <c r="BY674" s="40"/>
      <c r="BZ674" s="5"/>
      <c r="CB674" s="40"/>
      <c r="CC674" s="5"/>
      <c r="CE674" s="40"/>
      <c r="CF674" s="5"/>
      <c r="CH674" s="40"/>
      <c r="CI674" s="5"/>
      <c r="CK674" s="40"/>
      <c r="CL674" s="5"/>
      <c r="CN674" s="40"/>
      <c r="CO674" s="5"/>
      <c r="CQ674" s="40"/>
      <c r="CR674" s="5"/>
    </row>
    <row r="675">
      <c r="AL675" s="40"/>
      <c r="AM675" s="5"/>
      <c r="AO675" s="40"/>
      <c r="AP675" s="5"/>
      <c r="AR675" s="40"/>
      <c r="AS675" s="5"/>
      <c r="AU675" s="40"/>
      <c r="AV675" s="5"/>
      <c r="AX675" s="40"/>
      <c r="AY675" s="5"/>
      <c r="BA675" s="40"/>
      <c r="BB675" s="5"/>
      <c r="BD675" s="40"/>
      <c r="BE675" s="5"/>
      <c r="BG675" s="40"/>
      <c r="BH675" s="5"/>
      <c r="BJ675" s="40"/>
      <c r="BK675" s="5"/>
      <c r="BM675" s="40"/>
      <c r="BN675" s="5"/>
      <c r="BP675" s="40"/>
      <c r="BQ675" s="5"/>
      <c r="BS675" s="40"/>
      <c r="BT675" s="5"/>
      <c r="BV675" s="40"/>
      <c r="BW675" s="5"/>
      <c r="BY675" s="40"/>
      <c r="BZ675" s="5"/>
      <c r="CB675" s="40"/>
      <c r="CC675" s="5"/>
      <c r="CE675" s="40"/>
      <c r="CF675" s="5"/>
      <c r="CH675" s="40"/>
      <c r="CI675" s="5"/>
      <c r="CK675" s="40"/>
      <c r="CL675" s="5"/>
      <c r="CN675" s="40"/>
      <c r="CO675" s="5"/>
      <c r="CQ675" s="40"/>
      <c r="CR675" s="5"/>
    </row>
    <row r="676">
      <c r="AL676" s="40"/>
      <c r="AM676" s="5"/>
      <c r="AO676" s="40"/>
      <c r="AP676" s="5"/>
      <c r="AR676" s="40"/>
      <c r="AS676" s="5"/>
      <c r="AU676" s="40"/>
      <c r="AV676" s="5"/>
      <c r="AX676" s="40"/>
      <c r="AY676" s="5"/>
      <c r="BA676" s="40"/>
      <c r="BB676" s="5"/>
      <c r="BD676" s="40"/>
      <c r="BE676" s="5"/>
      <c r="BG676" s="40"/>
      <c r="BH676" s="5"/>
      <c r="BJ676" s="40"/>
      <c r="BK676" s="5"/>
      <c r="BM676" s="40"/>
      <c r="BN676" s="5"/>
      <c r="BP676" s="40"/>
      <c r="BQ676" s="5"/>
      <c r="BS676" s="40"/>
      <c r="BT676" s="5"/>
      <c r="BV676" s="40"/>
      <c r="BW676" s="5"/>
      <c r="BY676" s="40"/>
      <c r="BZ676" s="5"/>
      <c r="CB676" s="40"/>
      <c r="CC676" s="5"/>
      <c r="CE676" s="40"/>
      <c r="CF676" s="5"/>
      <c r="CH676" s="40"/>
      <c r="CI676" s="5"/>
      <c r="CK676" s="40"/>
      <c r="CL676" s="5"/>
      <c r="CN676" s="40"/>
      <c r="CO676" s="5"/>
      <c r="CQ676" s="40"/>
      <c r="CR676" s="5"/>
    </row>
    <row r="677">
      <c r="AL677" s="40"/>
      <c r="AM677" s="5"/>
      <c r="AO677" s="40"/>
      <c r="AP677" s="5"/>
      <c r="AR677" s="40"/>
      <c r="AS677" s="5"/>
      <c r="AU677" s="40"/>
      <c r="AV677" s="5"/>
      <c r="AX677" s="40"/>
      <c r="AY677" s="5"/>
      <c r="BA677" s="40"/>
      <c r="BB677" s="5"/>
      <c r="BD677" s="40"/>
      <c r="BE677" s="5"/>
      <c r="BG677" s="40"/>
      <c r="BH677" s="5"/>
      <c r="BJ677" s="40"/>
      <c r="BK677" s="5"/>
      <c r="BM677" s="40"/>
      <c r="BN677" s="5"/>
      <c r="BP677" s="40"/>
      <c r="BQ677" s="5"/>
      <c r="BS677" s="40"/>
      <c r="BT677" s="5"/>
      <c r="BV677" s="40"/>
      <c r="BW677" s="5"/>
      <c r="BY677" s="40"/>
      <c r="BZ677" s="5"/>
      <c r="CB677" s="40"/>
      <c r="CC677" s="5"/>
      <c r="CE677" s="40"/>
      <c r="CF677" s="5"/>
      <c r="CH677" s="40"/>
      <c r="CI677" s="5"/>
      <c r="CK677" s="40"/>
      <c r="CL677" s="5"/>
      <c r="CN677" s="40"/>
      <c r="CO677" s="5"/>
      <c r="CQ677" s="40"/>
      <c r="CR677" s="5"/>
    </row>
    <row r="678">
      <c r="AL678" s="40"/>
      <c r="AM678" s="5"/>
      <c r="AO678" s="40"/>
      <c r="AP678" s="5"/>
      <c r="AR678" s="40"/>
      <c r="AS678" s="5"/>
      <c r="AU678" s="40"/>
      <c r="AV678" s="5"/>
      <c r="AX678" s="40"/>
      <c r="AY678" s="5"/>
      <c r="BA678" s="40"/>
      <c r="BB678" s="5"/>
      <c r="BD678" s="40"/>
      <c r="BE678" s="5"/>
      <c r="BG678" s="40"/>
      <c r="BH678" s="5"/>
      <c r="BJ678" s="40"/>
      <c r="BK678" s="5"/>
      <c r="BM678" s="40"/>
      <c r="BN678" s="5"/>
      <c r="BP678" s="40"/>
      <c r="BQ678" s="5"/>
      <c r="BS678" s="40"/>
      <c r="BT678" s="5"/>
      <c r="BV678" s="40"/>
      <c r="BW678" s="5"/>
      <c r="BY678" s="40"/>
      <c r="BZ678" s="5"/>
      <c r="CB678" s="40"/>
      <c r="CC678" s="5"/>
      <c r="CE678" s="40"/>
      <c r="CF678" s="5"/>
      <c r="CH678" s="40"/>
      <c r="CI678" s="5"/>
      <c r="CK678" s="40"/>
      <c r="CL678" s="5"/>
      <c r="CN678" s="40"/>
      <c r="CO678" s="5"/>
      <c r="CQ678" s="40"/>
      <c r="CR678" s="5"/>
    </row>
    <row r="679">
      <c r="AL679" s="40"/>
      <c r="AM679" s="5"/>
      <c r="AO679" s="40"/>
      <c r="AP679" s="5"/>
      <c r="AR679" s="40"/>
      <c r="AS679" s="5"/>
      <c r="AU679" s="40"/>
      <c r="AV679" s="5"/>
      <c r="AX679" s="40"/>
      <c r="AY679" s="5"/>
      <c r="BA679" s="40"/>
      <c r="BB679" s="5"/>
      <c r="BD679" s="40"/>
      <c r="BE679" s="5"/>
      <c r="BG679" s="40"/>
      <c r="BH679" s="5"/>
      <c r="BJ679" s="40"/>
      <c r="BK679" s="5"/>
      <c r="BM679" s="40"/>
      <c r="BN679" s="5"/>
      <c r="BP679" s="40"/>
      <c r="BQ679" s="5"/>
      <c r="BS679" s="40"/>
      <c r="BT679" s="5"/>
      <c r="BV679" s="40"/>
      <c r="BW679" s="5"/>
      <c r="BY679" s="40"/>
      <c r="BZ679" s="5"/>
      <c r="CB679" s="40"/>
      <c r="CC679" s="5"/>
      <c r="CE679" s="40"/>
      <c r="CF679" s="5"/>
      <c r="CH679" s="40"/>
      <c r="CI679" s="5"/>
      <c r="CK679" s="40"/>
      <c r="CL679" s="5"/>
      <c r="CN679" s="40"/>
      <c r="CO679" s="5"/>
      <c r="CQ679" s="40"/>
      <c r="CR679" s="5"/>
    </row>
    <row r="680">
      <c r="AL680" s="40"/>
      <c r="AM680" s="5"/>
      <c r="AO680" s="40"/>
      <c r="AP680" s="5"/>
      <c r="AR680" s="40"/>
      <c r="AS680" s="5"/>
      <c r="AU680" s="40"/>
      <c r="AV680" s="5"/>
      <c r="AX680" s="40"/>
      <c r="AY680" s="5"/>
      <c r="BA680" s="40"/>
      <c r="BB680" s="5"/>
      <c r="BD680" s="40"/>
      <c r="BE680" s="5"/>
      <c r="BG680" s="40"/>
      <c r="BH680" s="5"/>
      <c r="BJ680" s="40"/>
      <c r="BK680" s="5"/>
      <c r="BM680" s="40"/>
      <c r="BN680" s="5"/>
      <c r="BP680" s="40"/>
      <c r="BQ680" s="5"/>
      <c r="BS680" s="40"/>
      <c r="BT680" s="5"/>
      <c r="BV680" s="40"/>
      <c r="BW680" s="5"/>
      <c r="BY680" s="40"/>
      <c r="BZ680" s="5"/>
      <c r="CB680" s="40"/>
      <c r="CC680" s="5"/>
      <c r="CE680" s="40"/>
      <c r="CF680" s="5"/>
      <c r="CH680" s="40"/>
      <c r="CI680" s="5"/>
      <c r="CK680" s="40"/>
      <c r="CL680" s="5"/>
      <c r="CN680" s="40"/>
      <c r="CO680" s="5"/>
      <c r="CQ680" s="40"/>
      <c r="CR680" s="5"/>
    </row>
    <row r="681">
      <c r="AL681" s="40"/>
      <c r="AM681" s="5"/>
      <c r="AO681" s="40"/>
      <c r="AP681" s="5"/>
      <c r="AR681" s="40"/>
      <c r="AS681" s="5"/>
      <c r="AU681" s="40"/>
      <c r="AV681" s="5"/>
      <c r="AX681" s="40"/>
      <c r="AY681" s="5"/>
      <c r="BA681" s="40"/>
      <c r="BB681" s="5"/>
      <c r="BD681" s="40"/>
      <c r="BE681" s="5"/>
      <c r="BG681" s="40"/>
      <c r="BH681" s="5"/>
      <c r="BJ681" s="40"/>
      <c r="BK681" s="5"/>
      <c r="BM681" s="40"/>
      <c r="BN681" s="5"/>
      <c r="BP681" s="40"/>
      <c r="BQ681" s="5"/>
      <c r="BS681" s="40"/>
      <c r="BT681" s="5"/>
      <c r="BV681" s="40"/>
      <c r="BW681" s="5"/>
      <c r="BY681" s="40"/>
      <c r="BZ681" s="5"/>
      <c r="CB681" s="40"/>
      <c r="CC681" s="5"/>
      <c r="CE681" s="40"/>
      <c r="CF681" s="5"/>
      <c r="CH681" s="40"/>
      <c r="CI681" s="5"/>
      <c r="CK681" s="40"/>
      <c r="CL681" s="5"/>
      <c r="CN681" s="40"/>
      <c r="CO681" s="5"/>
      <c r="CQ681" s="40"/>
      <c r="CR681" s="5"/>
    </row>
    <row r="682">
      <c r="AL682" s="40"/>
      <c r="AM682" s="5"/>
      <c r="AO682" s="40"/>
      <c r="AP682" s="5"/>
      <c r="AR682" s="40"/>
      <c r="AS682" s="5"/>
      <c r="AU682" s="40"/>
      <c r="AV682" s="5"/>
      <c r="AX682" s="40"/>
      <c r="AY682" s="5"/>
      <c r="BA682" s="40"/>
      <c r="BB682" s="5"/>
      <c r="BD682" s="40"/>
      <c r="BE682" s="5"/>
      <c r="BG682" s="40"/>
      <c r="BH682" s="5"/>
      <c r="BJ682" s="40"/>
      <c r="BK682" s="5"/>
      <c r="BM682" s="40"/>
      <c r="BN682" s="5"/>
      <c r="BP682" s="40"/>
      <c r="BQ682" s="5"/>
      <c r="BS682" s="40"/>
      <c r="BT682" s="5"/>
      <c r="BV682" s="40"/>
      <c r="BW682" s="5"/>
      <c r="BY682" s="40"/>
      <c r="BZ682" s="5"/>
      <c r="CB682" s="40"/>
      <c r="CC682" s="5"/>
      <c r="CE682" s="40"/>
      <c r="CF682" s="5"/>
      <c r="CH682" s="40"/>
      <c r="CI682" s="5"/>
      <c r="CK682" s="40"/>
      <c r="CL682" s="5"/>
      <c r="CN682" s="40"/>
      <c r="CO682" s="5"/>
      <c r="CQ682" s="40"/>
      <c r="CR682" s="5"/>
    </row>
    <row r="683">
      <c r="AL683" s="40"/>
      <c r="AM683" s="5"/>
      <c r="AO683" s="40"/>
      <c r="AP683" s="5"/>
      <c r="AR683" s="40"/>
      <c r="AS683" s="5"/>
      <c r="AU683" s="40"/>
      <c r="AV683" s="5"/>
      <c r="AX683" s="40"/>
      <c r="AY683" s="5"/>
      <c r="BA683" s="40"/>
      <c r="BB683" s="5"/>
      <c r="BD683" s="40"/>
      <c r="BE683" s="5"/>
      <c r="BG683" s="40"/>
      <c r="BH683" s="5"/>
      <c r="BJ683" s="40"/>
      <c r="BK683" s="5"/>
      <c r="BM683" s="40"/>
      <c r="BN683" s="5"/>
      <c r="BP683" s="40"/>
      <c r="BQ683" s="5"/>
      <c r="BS683" s="40"/>
      <c r="BT683" s="5"/>
      <c r="BV683" s="40"/>
      <c r="BW683" s="5"/>
      <c r="BY683" s="40"/>
      <c r="BZ683" s="5"/>
      <c r="CB683" s="40"/>
      <c r="CC683" s="5"/>
      <c r="CE683" s="40"/>
      <c r="CF683" s="5"/>
      <c r="CH683" s="40"/>
      <c r="CI683" s="5"/>
      <c r="CK683" s="40"/>
      <c r="CL683" s="5"/>
      <c r="CN683" s="40"/>
      <c r="CO683" s="5"/>
      <c r="CQ683" s="40"/>
      <c r="CR683" s="5"/>
    </row>
    <row r="684">
      <c r="AL684" s="40"/>
      <c r="AM684" s="5"/>
      <c r="AO684" s="40"/>
      <c r="AP684" s="5"/>
      <c r="AR684" s="40"/>
      <c r="AS684" s="5"/>
      <c r="AU684" s="40"/>
      <c r="AV684" s="5"/>
      <c r="AX684" s="40"/>
      <c r="AY684" s="5"/>
      <c r="BA684" s="40"/>
      <c r="BB684" s="5"/>
      <c r="BD684" s="40"/>
      <c r="BE684" s="5"/>
      <c r="BG684" s="40"/>
      <c r="BH684" s="5"/>
      <c r="BJ684" s="40"/>
      <c r="BK684" s="5"/>
      <c r="BM684" s="40"/>
      <c r="BN684" s="5"/>
      <c r="BP684" s="40"/>
      <c r="BQ684" s="5"/>
      <c r="BS684" s="40"/>
      <c r="BT684" s="5"/>
      <c r="BV684" s="40"/>
      <c r="BW684" s="5"/>
      <c r="BY684" s="40"/>
      <c r="BZ684" s="5"/>
      <c r="CB684" s="40"/>
      <c r="CC684" s="5"/>
      <c r="CE684" s="40"/>
      <c r="CF684" s="5"/>
      <c r="CH684" s="40"/>
      <c r="CI684" s="5"/>
      <c r="CK684" s="40"/>
      <c r="CL684" s="5"/>
      <c r="CN684" s="40"/>
      <c r="CO684" s="5"/>
      <c r="CQ684" s="40"/>
      <c r="CR684" s="5"/>
    </row>
    <row r="685">
      <c r="AL685" s="40"/>
      <c r="AM685" s="5"/>
      <c r="AO685" s="40"/>
      <c r="AP685" s="5"/>
      <c r="AR685" s="40"/>
      <c r="AS685" s="5"/>
      <c r="AU685" s="40"/>
      <c r="AV685" s="5"/>
      <c r="AX685" s="40"/>
      <c r="AY685" s="5"/>
      <c r="BA685" s="40"/>
      <c r="BB685" s="5"/>
      <c r="BD685" s="40"/>
      <c r="BE685" s="5"/>
      <c r="BG685" s="40"/>
      <c r="BH685" s="5"/>
      <c r="BJ685" s="40"/>
      <c r="BK685" s="5"/>
      <c r="BM685" s="40"/>
      <c r="BN685" s="5"/>
      <c r="BP685" s="40"/>
      <c r="BQ685" s="5"/>
      <c r="BS685" s="40"/>
      <c r="BT685" s="5"/>
      <c r="BV685" s="40"/>
      <c r="BW685" s="5"/>
      <c r="BY685" s="40"/>
      <c r="BZ685" s="5"/>
      <c r="CB685" s="40"/>
      <c r="CC685" s="5"/>
      <c r="CE685" s="40"/>
      <c r="CF685" s="5"/>
      <c r="CH685" s="40"/>
      <c r="CI685" s="5"/>
      <c r="CK685" s="40"/>
      <c r="CL685" s="5"/>
      <c r="CN685" s="40"/>
      <c r="CO685" s="5"/>
      <c r="CQ685" s="40"/>
      <c r="CR685" s="5"/>
    </row>
    <row r="686">
      <c r="AL686" s="40"/>
      <c r="AM686" s="5"/>
      <c r="AO686" s="40"/>
      <c r="AP686" s="5"/>
      <c r="AR686" s="40"/>
      <c r="AS686" s="5"/>
      <c r="AU686" s="40"/>
      <c r="AV686" s="5"/>
      <c r="AX686" s="40"/>
      <c r="AY686" s="5"/>
      <c r="BA686" s="40"/>
      <c r="BB686" s="5"/>
      <c r="BD686" s="40"/>
      <c r="BE686" s="5"/>
      <c r="BG686" s="40"/>
      <c r="BH686" s="5"/>
      <c r="BJ686" s="40"/>
      <c r="BK686" s="5"/>
      <c r="BM686" s="40"/>
      <c r="BN686" s="5"/>
      <c r="BP686" s="40"/>
      <c r="BQ686" s="5"/>
      <c r="BS686" s="40"/>
      <c r="BT686" s="5"/>
      <c r="BV686" s="40"/>
      <c r="BW686" s="5"/>
      <c r="BY686" s="40"/>
      <c r="BZ686" s="5"/>
      <c r="CB686" s="40"/>
      <c r="CC686" s="5"/>
      <c r="CE686" s="40"/>
      <c r="CF686" s="5"/>
      <c r="CH686" s="40"/>
      <c r="CI686" s="5"/>
      <c r="CK686" s="40"/>
      <c r="CL686" s="5"/>
      <c r="CN686" s="40"/>
      <c r="CO686" s="5"/>
      <c r="CQ686" s="40"/>
      <c r="CR686" s="5"/>
    </row>
    <row r="687">
      <c r="AL687" s="40"/>
      <c r="AM687" s="5"/>
      <c r="AO687" s="40"/>
      <c r="AP687" s="5"/>
      <c r="AR687" s="40"/>
      <c r="AS687" s="5"/>
      <c r="AU687" s="40"/>
      <c r="AV687" s="5"/>
      <c r="AX687" s="40"/>
      <c r="AY687" s="5"/>
      <c r="BA687" s="40"/>
      <c r="BB687" s="5"/>
      <c r="BD687" s="40"/>
      <c r="BE687" s="5"/>
      <c r="BG687" s="40"/>
      <c r="BH687" s="5"/>
      <c r="BJ687" s="40"/>
      <c r="BK687" s="5"/>
      <c r="BM687" s="40"/>
      <c r="BN687" s="5"/>
      <c r="BP687" s="40"/>
      <c r="BQ687" s="5"/>
      <c r="BS687" s="40"/>
      <c r="BT687" s="5"/>
      <c r="BV687" s="40"/>
      <c r="BW687" s="5"/>
      <c r="BY687" s="40"/>
      <c r="BZ687" s="5"/>
      <c r="CB687" s="40"/>
      <c r="CC687" s="5"/>
      <c r="CE687" s="40"/>
      <c r="CF687" s="5"/>
      <c r="CH687" s="40"/>
      <c r="CI687" s="5"/>
      <c r="CK687" s="40"/>
      <c r="CL687" s="5"/>
      <c r="CN687" s="40"/>
      <c r="CO687" s="5"/>
      <c r="CQ687" s="40"/>
      <c r="CR687" s="5"/>
    </row>
    <row r="688">
      <c r="AL688" s="40"/>
      <c r="AM688" s="5"/>
      <c r="AO688" s="40"/>
      <c r="AP688" s="5"/>
      <c r="AR688" s="40"/>
      <c r="AS688" s="5"/>
      <c r="AU688" s="40"/>
      <c r="AV688" s="5"/>
      <c r="AX688" s="40"/>
      <c r="AY688" s="5"/>
      <c r="BA688" s="40"/>
      <c r="BB688" s="5"/>
      <c r="BD688" s="40"/>
      <c r="BE688" s="5"/>
      <c r="BG688" s="40"/>
      <c r="BH688" s="5"/>
      <c r="BJ688" s="40"/>
      <c r="BK688" s="5"/>
      <c r="BM688" s="40"/>
      <c r="BN688" s="5"/>
      <c r="BP688" s="40"/>
      <c r="BQ688" s="5"/>
      <c r="BS688" s="40"/>
      <c r="BT688" s="5"/>
      <c r="BV688" s="40"/>
      <c r="BW688" s="5"/>
      <c r="BY688" s="40"/>
      <c r="BZ688" s="5"/>
      <c r="CB688" s="40"/>
      <c r="CC688" s="5"/>
      <c r="CE688" s="40"/>
      <c r="CF688" s="5"/>
      <c r="CH688" s="40"/>
      <c r="CI688" s="5"/>
      <c r="CK688" s="40"/>
      <c r="CL688" s="5"/>
      <c r="CN688" s="40"/>
      <c r="CO688" s="5"/>
      <c r="CQ688" s="40"/>
      <c r="CR688" s="5"/>
    </row>
    <row r="689">
      <c r="AL689" s="40"/>
      <c r="AM689" s="5"/>
      <c r="AO689" s="40"/>
      <c r="AP689" s="5"/>
      <c r="AR689" s="40"/>
      <c r="AS689" s="5"/>
      <c r="AU689" s="40"/>
      <c r="AV689" s="5"/>
      <c r="AX689" s="40"/>
      <c r="AY689" s="5"/>
      <c r="BA689" s="40"/>
      <c r="BB689" s="5"/>
      <c r="BD689" s="40"/>
      <c r="BE689" s="5"/>
      <c r="BG689" s="40"/>
      <c r="BH689" s="5"/>
      <c r="BJ689" s="40"/>
      <c r="BK689" s="5"/>
      <c r="BM689" s="40"/>
      <c r="BN689" s="5"/>
      <c r="BP689" s="40"/>
      <c r="BQ689" s="5"/>
      <c r="BS689" s="40"/>
      <c r="BT689" s="5"/>
      <c r="BV689" s="40"/>
      <c r="BW689" s="5"/>
      <c r="BY689" s="40"/>
      <c r="BZ689" s="5"/>
      <c r="CB689" s="40"/>
      <c r="CC689" s="5"/>
      <c r="CE689" s="40"/>
      <c r="CF689" s="5"/>
      <c r="CH689" s="40"/>
      <c r="CI689" s="5"/>
      <c r="CK689" s="40"/>
      <c r="CL689" s="5"/>
      <c r="CN689" s="40"/>
      <c r="CO689" s="5"/>
      <c r="CQ689" s="40"/>
      <c r="CR689" s="5"/>
    </row>
    <row r="690">
      <c r="AL690" s="40"/>
      <c r="AM690" s="5"/>
      <c r="AO690" s="40"/>
      <c r="AP690" s="5"/>
      <c r="AR690" s="40"/>
      <c r="AS690" s="5"/>
      <c r="AU690" s="40"/>
      <c r="AV690" s="5"/>
      <c r="AX690" s="40"/>
      <c r="AY690" s="5"/>
      <c r="BA690" s="40"/>
      <c r="BB690" s="5"/>
      <c r="BD690" s="40"/>
      <c r="BE690" s="5"/>
      <c r="BG690" s="40"/>
      <c r="BH690" s="5"/>
      <c r="BJ690" s="40"/>
      <c r="BK690" s="5"/>
      <c r="BM690" s="40"/>
      <c r="BN690" s="5"/>
      <c r="BP690" s="40"/>
      <c r="BQ690" s="5"/>
      <c r="BS690" s="40"/>
      <c r="BT690" s="5"/>
      <c r="BV690" s="40"/>
      <c r="BW690" s="5"/>
      <c r="BY690" s="40"/>
      <c r="BZ690" s="5"/>
      <c r="CB690" s="40"/>
      <c r="CC690" s="5"/>
      <c r="CE690" s="40"/>
      <c r="CF690" s="5"/>
      <c r="CH690" s="40"/>
      <c r="CI690" s="5"/>
      <c r="CK690" s="40"/>
      <c r="CL690" s="5"/>
      <c r="CN690" s="40"/>
      <c r="CO690" s="5"/>
      <c r="CQ690" s="40"/>
      <c r="CR690" s="5"/>
    </row>
    <row r="691">
      <c r="AL691" s="40"/>
      <c r="AM691" s="5"/>
      <c r="AO691" s="40"/>
      <c r="AP691" s="5"/>
      <c r="AR691" s="40"/>
      <c r="AS691" s="5"/>
      <c r="AU691" s="40"/>
      <c r="AV691" s="5"/>
      <c r="AX691" s="40"/>
      <c r="AY691" s="5"/>
      <c r="BA691" s="40"/>
      <c r="BB691" s="5"/>
      <c r="BD691" s="40"/>
      <c r="BE691" s="5"/>
      <c r="BG691" s="40"/>
      <c r="BH691" s="5"/>
      <c r="BJ691" s="40"/>
      <c r="BK691" s="5"/>
      <c r="BM691" s="40"/>
      <c r="BN691" s="5"/>
      <c r="BP691" s="40"/>
      <c r="BQ691" s="5"/>
      <c r="BS691" s="40"/>
      <c r="BT691" s="5"/>
      <c r="BV691" s="40"/>
      <c r="BW691" s="5"/>
      <c r="BY691" s="40"/>
      <c r="BZ691" s="5"/>
      <c r="CB691" s="40"/>
      <c r="CC691" s="5"/>
      <c r="CE691" s="40"/>
      <c r="CF691" s="5"/>
      <c r="CH691" s="40"/>
      <c r="CI691" s="5"/>
      <c r="CK691" s="40"/>
      <c r="CL691" s="5"/>
      <c r="CN691" s="40"/>
      <c r="CO691" s="5"/>
      <c r="CQ691" s="40"/>
      <c r="CR691" s="5"/>
    </row>
    <row r="692">
      <c r="AL692" s="40"/>
      <c r="AM692" s="5"/>
      <c r="AO692" s="40"/>
      <c r="AP692" s="5"/>
      <c r="AR692" s="40"/>
      <c r="AS692" s="5"/>
      <c r="AU692" s="40"/>
      <c r="AV692" s="5"/>
      <c r="AX692" s="40"/>
      <c r="AY692" s="5"/>
      <c r="BA692" s="40"/>
      <c r="BB692" s="5"/>
      <c r="BD692" s="40"/>
      <c r="BE692" s="5"/>
      <c r="BG692" s="40"/>
      <c r="BH692" s="5"/>
      <c r="BJ692" s="40"/>
      <c r="BK692" s="5"/>
      <c r="BM692" s="40"/>
      <c r="BN692" s="5"/>
      <c r="BP692" s="40"/>
      <c r="BQ692" s="5"/>
      <c r="BS692" s="40"/>
      <c r="BT692" s="5"/>
      <c r="BV692" s="40"/>
      <c r="BW692" s="5"/>
      <c r="BY692" s="40"/>
      <c r="BZ692" s="5"/>
      <c r="CB692" s="40"/>
      <c r="CC692" s="5"/>
      <c r="CE692" s="40"/>
      <c r="CF692" s="5"/>
      <c r="CH692" s="40"/>
      <c r="CI692" s="5"/>
      <c r="CK692" s="40"/>
      <c r="CL692" s="5"/>
      <c r="CN692" s="40"/>
      <c r="CO692" s="5"/>
      <c r="CQ692" s="40"/>
      <c r="CR692" s="5"/>
    </row>
    <row r="693">
      <c r="AL693" s="40"/>
      <c r="AM693" s="5"/>
      <c r="AO693" s="40"/>
      <c r="AP693" s="5"/>
      <c r="AR693" s="40"/>
      <c r="AS693" s="5"/>
      <c r="AU693" s="40"/>
      <c r="AV693" s="5"/>
      <c r="AX693" s="40"/>
      <c r="AY693" s="5"/>
      <c r="BA693" s="40"/>
      <c r="BB693" s="5"/>
      <c r="BD693" s="40"/>
      <c r="BE693" s="5"/>
      <c r="BG693" s="40"/>
      <c r="BH693" s="5"/>
      <c r="BJ693" s="40"/>
      <c r="BK693" s="5"/>
      <c r="BM693" s="40"/>
      <c r="BN693" s="5"/>
      <c r="BP693" s="40"/>
      <c r="BQ693" s="5"/>
      <c r="BS693" s="40"/>
      <c r="BT693" s="5"/>
      <c r="BV693" s="40"/>
      <c r="BW693" s="5"/>
      <c r="BY693" s="40"/>
      <c r="BZ693" s="5"/>
      <c r="CB693" s="40"/>
      <c r="CC693" s="5"/>
      <c r="CE693" s="40"/>
      <c r="CF693" s="5"/>
      <c r="CH693" s="40"/>
      <c r="CI693" s="5"/>
      <c r="CK693" s="40"/>
      <c r="CL693" s="5"/>
      <c r="CN693" s="40"/>
      <c r="CO693" s="5"/>
      <c r="CQ693" s="40"/>
      <c r="CR693" s="5"/>
    </row>
    <row r="694">
      <c r="AL694" s="40"/>
      <c r="AM694" s="5"/>
      <c r="AO694" s="40"/>
      <c r="AP694" s="5"/>
      <c r="AR694" s="40"/>
      <c r="AS694" s="5"/>
      <c r="AU694" s="40"/>
      <c r="AV694" s="5"/>
      <c r="AX694" s="40"/>
      <c r="AY694" s="5"/>
      <c r="BA694" s="40"/>
      <c r="BB694" s="5"/>
      <c r="BD694" s="40"/>
      <c r="BE694" s="5"/>
      <c r="BG694" s="40"/>
      <c r="BH694" s="5"/>
      <c r="BJ694" s="40"/>
      <c r="BK694" s="5"/>
      <c r="BM694" s="40"/>
      <c r="BN694" s="5"/>
      <c r="BP694" s="40"/>
      <c r="BQ694" s="5"/>
      <c r="BS694" s="40"/>
      <c r="BT694" s="5"/>
      <c r="BV694" s="40"/>
      <c r="BW694" s="5"/>
      <c r="BY694" s="40"/>
      <c r="BZ694" s="5"/>
      <c r="CB694" s="40"/>
      <c r="CC694" s="5"/>
      <c r="CE694" s="40"/>
      <c r="CF694" s="5"/>
      <c r="CH694" s="40"/>
      <c r="CI694" s="5"/>
      <c r="CK694" s="40"/>
      <c r="CL694" s="5"/>
      <c r="CN694" s="40"/>
      <c r="CO694" s="5"/>
      <c r="CQ694" s="40"/>
      <c r="CR694" s="5"/>
    </row>
    <row r="695">
      <c r="AL695" s="40"/>
      <c r="AM695" s="5"/>
      <c r="AO695" s="40"/>
      <c r="AP695" s="5"/>
      <c r="AR695" s="40"/>
      <c r="AS695" s="5"/>
      <c r="AU695" s="40"/>
      <c r="AV695" s="5"/>
      <c r="AX695" s="40"/>
      <c r="AY695" s="5"/>
      <c r="BA695" s="40"/>
      <c r="BB695" s="5"/>
      <c r="BD695" s="40"/>
      <c r="BE695" s="5"/>
      <c r="BG695" s="40"/>
      <c r="BH695" s="5"/>
      <c r="BJ695" s="40"/>
      <c r="BK695" s="5"/>
      <c r="BM695" s="40"/>
      <c r="BN695" s="5"/>
      <c r="BP695" s="40"/>
      <c r="BQ695" s="5"/>
      <c r="BS695" s="40"/>
      <c r="BT695" s="5"/>
      <c r="BV695" s="40"/>
      <c r="BW695" s="5"/>
      <c r="BY695" s="40"/>
      <c r="BZ695" s="5"/>
      <c r="CB695" s="40"/>
      <c r="CC695" s="5"/>
      <c r="CE695" s="40"/>
      <c r="CF695" s="5"/>
      <c r="CH695" s="40"/>
      <c r="CI695" s="5"/>
      <c r="CK695" s="40"/>
      <c r="CL695" s="5"/>
      <c r="CN695" s="40"/>
      <c r="CO695" s="5"/>
      <c r="CQ695" s="40"/>
      <c r="CR695" s="5"/>
    </row>
    <row r="696">
      <c r="AL696" s="40"/>
      <c r="AM696" s="5"/>
      <c r="AO696" s="40"/>
      <c r="AP696" s="5"/>
      <c r="AR696" s="40"/>
      <c r="AS696" s="5"/>
      <c r="AU696" s="40"/>
      <c r="AV696" s="5"/>
      <c r="AX696" s="40"/>
      <c r="AY696" s="5"/>
      <c r="BA696" s="40"/>
      <c r="BB696" s="5"/>
      <c r="BD696" s="40"/>
      <c r="BE696" s="5"/>
      <c r="BG696" s="40"/>
      <c r="BH696" s="5"/>
      <c r="BJ696" s="40"/>
      <c r="BK696" s="5"/>
      <c r="BM696" s="40"/>
      <c r="BN696" s="5"/>
      <c r="BP696" s="40"/>
      <c r="BQ696" s="5"/>
      <c r="BS696" s="40"/>
      <c r="BT696" s="5"/>
      <c r="BV696" s="40"/>
      <c r="BW696" s="5"/>
      <c r="BY696" s="40"/>
      <c r="BZ696" s="5"/>
      <c r="CB696" s="40"/>
      <c r="CC696" s="5"/>
      <c r="CE696" s="40"/>
      <c r="CF696" s="5"/>
      <c r="CH696" s="40"/>
      <c r="CI696" s="5"/>
      <c r="CK696" s="40"/>
      <c r="CL696" s="5"/>
      <c r="CN696" s="40"/>
      <c r="CO696" s="5"/>
      <c r="CQ696" s="40"/>
      <c r="CR696" s="5"/>
    </row>
    <row r="697">
      <c r="AL697" s="40"/>
      <c r="AM697" s="5"/>
      <c r="AO697" s="40"/>
      <c r="AP697" s="5"/>
      <c r="AR697" s="40"/>
      <c r="AS697" s="5"/>
      <c r="AU697" s="40"/>
      <c r="AV697" s="5"/>
      <c r="AX697" s="40"/>
      <c r="AY697" s="5"/>
      <c r="BA697" s="40"/>
      <c r="BB697" s="5"/>
      <c r="BD697" s="40"/>
      <c r="BE697" s="5"/>
      <c r="BG697" s="40"/>
      <c r="BH697" s="5"/>
      <c r="BJ697" s="40"/>
      <c r="BK697" s="5"/>
      <c r="BM697" s="40"/>
      <c r="BN697" s="5"/>
      <c r="BP697" s="40"/>
      <c r="BQ697" s="5"/>
      <c r="BS697" s="40"/>
      <c r="BT697" s="5"/>
      <c r="BV697" s="40"/>
      <c r="BW697" s="5"/>
      <c r="BY697" s="40"/>
      <c r="BZ697" s="5"/>
      <c r="CB697" s="40"/>
      <c r="CC697" s="5"/>
      <c r="CE697" s="40"/>
      <c r="CF697" s="5"/>
      <c r="CH697" s="40"/>
      <c r="CI697" s="5"/>
      <c r="CK697" s="40"/>
      <c r="CL697" s="5"/>
      <c r="CN697" s="40"/>
      <c r="CO697" s="5"/>
      <c r="CQ697" s="40"/>
      <c r="CR697" s="5"/>
    </row>
    <row r="698">
      <c r="AL698" s="40"/>
      <c r="AM698" s="5"/>
      <c r="AO698" s="40"/>
      <c r="AP698" s="5"/>
      <c r="AR698" s="40"/>
      <c r="AS698" s="5"/>
      <c r="AU698" s="40"/>
      <c r="AV698" s="5"/>
      <c r="AX698" s="40"/>
      <c r="AY698" s="5"/>
      <c r="BA698" s="40"/>
      <c r="BB698" s="5"/>
      <c r="BD698" s="40"/>
      <c r="BE698" s="5"/>
      <c r="BG698" s="40"/>
      <c r="BH698" s="5"/>
      <c r="BJ698" s="40"/>
      <c r="BK698" s="5"/>
      <c r="BM698" s="40"/>
      <c r="BN698" s="5"/>
      <c r="BP698" s="40"/>
      <c r="BQ698" s="5"/>
      <c r="BS698" s="40"/>
      <c r="BT698" s="5"/>
      <c r="BV698" s="40"/>
      <c r="BW698" s="5"/>
      <c r="BY698" s="40"/>
      <c r="BZ698" s="5"/>
      <c r="CB698" s="40"/>
      <c r="CC698" s="5"/>
      <c r="CE698" s="40"/>
      <c r="CF698" s="5"/>
      <c r="CH698" s="40"/>
      <c r="CI698" s="5"/>
      <c r="CK698" s="40"/>
      <c r="CL698" s="5"/>
      <c r="CN698" s="40"/>
      <c r="CO698" s="5"/>
      <c r="CQ698" s="40"/>
      <c r="CR698" s="5"/>
    </row>
    <row r="699">
      <c r="AL699" s="40"/>
      <c r="AM699" s="5"/>
      <c r="AO699" s="40"/>
      <c r="AP699" s="5"/>
      <c r="AR699" s="40"/>
      <c r="AS699" s="5"/>
      <c r="AU699" s="40"/>
      <c r="AV699" s="5"/>
      <c r="AX699" s="40"/>
      <c r="AY699" s="5"/>
      <c r="BA699" s="40"/>
      <c r="BB699" s="5"/>
      <c r="BD699" s="40"/>
      <c r="BE699" s="5"/>
      <c r="BG699" s="40"/>
      <c r="BH699" s="5"/>
      <c r="BJ699" s="40"/>
      <c r="BK699" s="5"/>
      <c r="BM699" s="40"/>
      <c r="BN699" s="5"/>
      <c r="BP699" s="40"/>
      <c r="BQ699" s="5"/>
      <c r="BS699" s="40"/>
      <c r="BT699" s="5"/>
      <c r="BV699" s="40"/>
      <c r="BW699" s="5"/>
      <c r="BY699" s="40"/>
      <c r="BZ699" s="5"/>
      <c r="CB699" s="40"/>
      <c r="CC699" s="5"/>
      <c r="CE699" s="40"/>
      <c r="CF699" s="5"/>
      <c r="CH699" s="40"/>
      <c r="CI699" s="5"/>
      <c r="CK699" s="40"/>
      <c r="CL699" s="5"/>
      <c r="CN699" s="40"/>
      <c r="CO699" s="5"/>
      <c r="CQ699" s="40"/>
      <c r="CR699" s="5"/>
    </row>
    <row r="700">
      <c r="AL700" s="40"/>
      <c r="AM700" s="5"/>
      <c r="AO700" s="40"/>
      <c r="AP700" s="5"/>
      <c r="AR700" s="40"/>
      <c r="AS700" s="5"/>
      <c r="AU700" s="40"/>
      <c r="AV700" s="5"/>
      <c r="AX700" s="40"/>
      <c r="AY700" s="5"/>
      <c r="BA700" s="40"/>
      <c r="BB700" s="5"/>
      <c r="BD700" s="40"/>
      <c r="BE700" s="5"/>
      <c r="BG700" s="40"/>
      <c r="BH700" s="5"/>
      <c r="BJ700" s="40"/>
      <c r="BK700" s="5"/>
      <c r="BM700" s="40"/>
      <c r="BN700" s="5"/>
      <c r="BP700" s="40"/>
      <c r="BQ700" s="5"/>
      <c r="BS700" s="40"/>
      <c r="BT700" s="5"/>
      <c r="BV700" s="40"/>
      <c r="BW700" s="5"/>
      <c r="BY700" s="40"/>
      <c r="BZ700" s="5"/>
      <c r="CB700" s="40"/>
      <c r="CC700" s="5"/>
      <c r="CE700" s="40"/>
      <c r="CF700" s="5"/>
      <c r="CH700" s="40"/>
      <c r="CI700" s="5"/>
      <c r="CK700" s="40"/>
      <c r="CL700" s="5"/>
      <c r="CN700" s="40"/>
      <c r="CO700" s="5"/>
      <c r="CQ700" s="40"/>
      <c r="CR700" s="5"/>
    </row>
    <row r="701">
      <c r="AL701" s="40"/>
      <c r="AM701" s="5"/>
      <c r="AO701" s="40"/>
      <c r="AP701" s="5"/>
      <c r="AR701" s="40"/>
      <c r="AS701" s="5"/>
      <c r="AU701" s="40"/>
      <c r="AV701" s="5"/>
      <c r="AX701" s="40"/>
      <c r="AY701" s="5"/>
      <c r="BA701" s="40"/>
      <c r="BB701" s="5"/>
      <c r="BD701" s="40"/>
      <c r="BE701" s="5"/>
      <c r="BG701" s="40"/>
      <c r="BH701" s="5"/>
      <c r="BJ701" s="40"/>
      <c r="BK701" s="5"/>
      <c r="BM701" s="40"/>
      <c r="BN701" s="5"/>
      <c r="BP701" s="40"/>
      <c r="BQ701" s="5"/>
      <c r="BS701" s="40"/>
      <c r="BT701" s="5"/>
      <c r="BV701" s="40"/>
      <c r="BW701" s="5"/>
      <c r="BY701" s="40"/>
      <c r="BZ701" s="5"/>
      <c r="CB701" s="40"/>
      <c r="CC701" s="5"/>
      <c r="CE701" s="40"/>
      <c r="CF701" s="5"/>
      <c r="CH701" s="40"/>
      <c r="CI701" s="5"/>
      <c r="CK701" s="40"/>
      <c r="CL701" s="5"/>
      <c r="CN701" s="40"/>
      <c r="CO701" s="5"/>
      <c r="CQ701" s="40"/>
      <c r="CR701" s="5"/>
    </row>
    <row r="702">
      <c r="AL702" s="40"/>
      <c r="AM702" s="5"/>
      <c r="AO702" s="40"/>
      <c r="AP702" s="5"/>
      <c r="AR702" s="40"/>
      <c r="AS702" s="5"/>
      <c r="AU702" s="40"/>
      <c r="AV702" s="5"/>
      <c r="AX702" s="40"/>
      <c r="AY702" s="5"/>
      <c r="BA702" s="40"/>
      <c r="BB702" s="5"/>
      <c r="BD702" s="40"/>
      <c r="BE702" s="5"/>
      <c r="BG702" s="40"/>
      <c r="BH702" s="5"/>
      <c r="BJ702" s="40"/>
      <c r="BK702" s="5"/>
      <c r="BM702" s="40"/>
      <c r="BN702" s="5"/>
      <c r="BP702" s="40"/>
      <c r="BQ702" s="5"/>
      <c r="BS702" s="40"/>
      <c r="BT702" s="5"/>
      <c r="BV702" s="40"/>
      <c r="BW702" s="5"/>
      <c r="BY702" s="40"/>
      <c r="BZ702" s="5"/>
      <c r="CB702" s="40"/>
      <c r="CC702" s="5"/>
      <c r="CE702" s="40"/>
      <c r="CF702" s="5"/>
      <c r="CH702" s="40"/>
      <c r="CI702" s="5"/>
      <c r="CK702" s="40"/>
      <c r="CL702" s="5"/>
      <c r="CN702" s="40"/>
      <c r="CO702" s="5"/>
      <c r="CQ702" s="40"/>
      <c r="CR702" s="5"/>
    </row>
    <row r="703">
      <c r="AL703" s="40"/>
      <c r="AM703" s="5"/>
      <c r="AO703" s="40"/>
      <c r="AP703" s="5"/>
      <c r="AR703" s="40"/>
      <c r="AS703" s="5"/>
      <c r="AU703" s="40"/>
      <c r="AV703" s="5"/>
      <c r="AX703" s="40"/>
      <c r="AY703" s="5"/>
      <c r="BA703" s="40"/>
      <c r="BB703" s="5"/>
      <c r="BD703" s="40"/>
      <c r="BE703" s="5"/>
      <c r="BG703" s="40"/>
      <c r="BH703" s="5"/>
      <c r="BJ703" s="40"/>
      <c r="BK703" s="5"/>
      <c r="BM703" s="40"/>
      <c r="BN703" s="5"/>
      <c r="BP703" s="40"/>
      <c r="BQ703" s="5"/>
      <c r="BS703" s="40"/>
      <c r="BT703" s="5"/>
      <c r="BV703" s="40"/>
      <c r="BW703" s="5"/>
      <c r="BY703" s="40"/>
      <c r="BZ703" s="5"/>
      <c r="CB703" s="40"/>
      <c r="CC703" s="5"/>
      <c r="CE703" s="40"/>
      <c r="CF703" s="5"/>
      <c r="CH703" s="40"/>
      <c r="CI703" s="5"/>
      <c r="CK703" s="40"/>
      <c r="CL703" s="5"/>
      <c r="CN703" s="40"/>
      <c r="CO703" s="5"/>
      <c r="CQ703" s="40"/>
      <c r="CR703" s="5"/>
    </row>
    <row r="704">
      <c r="AL704" s="40"/>
      <c r="AM704" s="5"/>
      <c r="AO704" s="40"/>
      <c r="AP704" s="5"/>
      <c r="AR704" s="40"/>
      <c r="AS704" s="5"/>
      <c r="AU704" s="40"/>
      <c r="AV704" s="5"/>
      <c r="AX704" s="40"/>
      <c r="AY704" s="5"/>
      <c r="BA704" s="40"/>
      <c r="BB704" s="5"/>
      <c r="BD704" s="40"/>
      <c r="BE704" s="5"/>
      <c r="BG704" s="40"/>
      <c r="BH704" s="5"/>
      <c r="BJ704" s="40"/>
      <c r="BK704" s="5"/>
      <c r="BM704" s="40"/>
      <c r="BN704" s="5"/>
      <c r="BP704" s="40"/>
      <c r="BQ704" s="5"/>
      <c r="BS704" s="40"/>
      <c r="BT704" s="5"/>
      <c r="BV704" s="40"/>
      <c r="BW704" s="5"/>
      <c r="BY704" s="40"/>
      <c r="BZ704" s="5"/>
      <c r="CB704" s="40"/>
      <c r="CC704" s="5"/>
      <c r="CE704" s="40"/>
      <c r="CF704" s="5"/>
      <c r="CH704" s="40"/>
      <c r="CI704" s="5"/>
      <c r="CK704" s="40"/>
      <c r="CL704" s="5"/>
      <c r="CN704" s="40"/>
      <c r="CO704" s="5"/>
      <c r="CQ704" s="40"/>
      <c r="CR704" s="5"/>
    </row>
    <row r="705">
      <c r="AL705" s="40"/>
      <c r="AM705" s="5"/>
      <c r="AO705" s="40"/>
      <c r="AP705" s="5"/>
      <c r="AR705" s="40"/>
      <c r="AS705" s="5"/>
      <c r="AU705" s="40"/>
      <c r="AV705" s="5"/>
      <c r="AX705" s="40"/>
      <c r="AY705" s="5"/>
      <c r="BA705" s="40"/>
      <c r="BB705" s="5"/>
      <c r="BD705" s="40"/>
      <c r="BE705" s="5"/>
      <c r="BG705" s="40"/>
      <c r="BH705" s="5"/>
      <c r="BJ705" s="40"/>
      <c r="BK705" s="5"/>
      <c r="BM705" s="40"/>
      <c r="BN705" s="5"/>
      <c r="BP705" s="40"/>
      <c r="BQ705" s="5"/>
      <c r="BS705" s="40"/>
      <c r="BT705" s="5"/>
      <c r="BV705" s="40"/>
      <c r="BW705" s="5"/>
      <c r="BY705" s="40"/>
      <c r="BZ705" s="5"/>
      <c r="CB705" s="40"/>
      <c r="CC705" s="5"/>
      <c r="CE705" s="40"/>
      <c r="CF705" s="5"/>
      <c r="CH705" s="40"/>
      <c r="CI705" s="5"/>
      <c r="CK705" s="40"/>
      <c r="CL705" s="5"/>
      <c r="CN705" s="40"/>
      <c r="CO705" s="5"/>
      <c r="CQ705" s="40"/>
      <c r="CR705" s="5"/>
    </row>
    <row r="706">
      <c r="AL706" s="40"/>
      <c r="AM706" s="5"/>
      <c r="AO706" s="40"/>
      <c r="AP706" s="5"/>
      <c r="AR706" s="40"/>
      <c r="AS706" s="5"/>
      <c r="AU706" s="40"/>
      <c r="AV706" s="5"/>
      <c r="AX706" s="40"/>
      <c r="AY706" s="5"/>
      <c r="BA706" s="40"/>
      <c r="BB706" s="5"/>
      <c r="BD706" s="40"/>
      <c r="BE706" s="5"/>
      <c r="BG706" s="40"/>
      <c r="BH706" s="5"/>
      <c r="BJ706" s="40"/>
      <c r="BK706" s="5"/>
      <c r="BM706" s="40"/>
      <c r="BN706" s="5"/>
      <c r="BP706" s="40"/>
      <c r="BQ706" s="5"/>
      <c r="BS706" s="40"/>
      <c r="BT706" s="5"/>
      <c r="BV706" s="40"/>
      <c r="BW706" s="5"/>
      <c r="BY706" s="40"/>
      <c r="BZ706" s="5"/>
      <c r="CB706" s="40"/>
      <c r="CC706" s="5"/>
      <c r="CE706" s="40"/>
      <c r="CF706" s="5"/>
      <c r="CH706" s="40"/>
      <c r="CI706" s="5"/>
      <c r="CK706" s="40"/>
      <c r="CL706" s="5"/>
      <c r="CN706" s="40"/>
      <c r="CO706" s="5"/>
      <c r="CQ706" s="40"/>
      <c r="CR706" s="5"/>
    </row>
    <row r="707">
      <c r="AL707" s="40"/>
      <c r="AM707" s="5"/>
      <c r="AO707" s="40"/>
      <c r="AP707" s="5"/>
      <c r="AR707" s="40"/>
      <c r="AS707" s="5"/>
      <c r="AU707" s="40"/>
      <c r="AV707" s="5"/>
      <c r="AX707" s="40"/>
      <c r="AY707" s="5"/>
      <c r="BA707" s="40"/>
      <c r="BB707" s="5"/>
      <c r="BD707" s="40"/>
      <c r="BE707" s="5"/>
      <c r="BG707" s="40"/>
      <c r="BH707" s="5"/>
      <c r="BJ707" s="40"/>
      <c r="BK707" s="5"/>
      <c r="BM707" s="40"/>
      <c r="BN707" s="5"/>
      <c r="BP707" s="40"/>
      <c r="BQ707" s="5"/>
      <c r="BS707" s="40"/>
      <c r="BT707" s="5"/>
      <c r="BV707" s="40"/>
      <c r="BW707" s="5"/>
      <c r="BY707" s="40"/>
      <c r="BZ707" s="5"/>
      <c r="CB707" s="40"/>
      <c r="CC707" s="5"/>
      <c r="CE707" s="40"/>
      <c r="CF707" s="5"/>
      <c r="CH707" s="40"/>
      <c r="CI707" s="5"/>
      <c r="CK707" s="40"/>
      <c r="CL707" s="5"/>
      <c r="CN707" s="40"/>
      <c r="CO707" s="5"/>
      <c r="CQ707" s="40"/>
      <c r="CR707" s="5"/>
    </row>
    <row r="708">
      <c r="AL708" s="40"/>
      <c r="AM708" s="5"/>
      <c r="AO708" s="40"/>
      <c r="AP708" s="5"/>
      <c r="AR708" s="40"/>
      <c r="AS708" s="5"/>
      <c r="AU708" s="40"/>
      <c r="AV708" s="5"/>
      <c r="AX708" s="40"/>
      <c r="AY708" s="5"/>
      <c r="BA708" s="40"/>
      <c r="BB708" s="5"/>
      <c r="BD708" s="40"/>
      <c r="BE708" s="5"/>
      <c r="BG708" s="40"/>
      <c r="BH708" s="5"/>
      <c r="BJ708" s="40"/>
      <c r="BK708" s="5"/>
      <c r="BM708" s="40"/>
      <c r="BN708" s="5"/>
      <c r="BP708" s="40"/>
      <c r="BQ708" s="5"/>
      <c r="BS708" s="40"/>
      <c r="BT708" s="5"/>
      <c r="BV708" s="40"/>
      <c r="BW708" s="5"/>
      <c r="BY708" s="40"/>
      <c r="BZ708" s="5"/>
      <c r="CB708" s="40"/>
      <c r="CC708" s="5"/>
      <c r="CE708" s="40"/>
      <c r="CF708" s="5"/>
      <c r="CH708" s="40"/>
      <c r="CI708" s="5"/>
      <c r="CK708" s="40"/>
      <c r="CL708" s="5"/>
      <c r="CN708" s="40"/>
      <c r="CO708" s="5"/>
      <c r="CQ708" s="40"/>
      <c r="CR708" s="5"/>
    </row>
    <row r="709">
      <c r="AL709" s="40"/>
      <c r="AM709" s="5"/>
      <c r="AO709" s="40"/>
      <c r="AP709" s="5"/>
      <c r="AR709" s="40"/>
      <c r="AS709" s="5"/>
      <c r="AU709" s="40"/>
      <c r="AV709" s="5"/>
      <c r="AX709" s="40"/>
      <c r="AY709" s="5"/>
      <c r="BA709" s="40"/>
      <c r="BB709" s="5"/>
      <c r="BD709" s="40"/>
      <c r="BE709" s="5"/>
      <c r="BG709" s="40"/>
      <c r="BH709" s="5"/>
      <c r="BJ709" s="40"/>
      <c r="BK709" s="5"/>
      <c r="BM709" s="40"/>
      <c r="BN709" s="5"/>
      <c r="BP709" s="40"/>
      <c r="BQ709" s="5"/>
      <c r="BS709" s="40"/>
      <c r="BT709" s="5"/>
      <c r="BV709" s="40"/>
      <c r="BW709" s="5"/>
      <c r="BY709" s="40"/>
      <c r="BZ709" s="5"/>
      <c r="CB709" s="40"/>
      <c r="CC709" s="5"/>
      <c r="CE709" s="40"/>
      <c r="CF709" s="5"/>
      <c r="CH709" s="40"/>
      <c r="CI709" s="5"/>
      <c r="CK709" s="40"/>
      <c r="CL709" s="5"/>
      <c r="CN709" s="40"/>
      <c r="CO709" s="5"/>
      <c r="CQ709" s="40"/>
      <c r="CR709" s="5"/>
    </row>
    <row r="710">
      <c r="AL710" s="40"/>
      <c r="AM710" s="5"/>
      <c r="AO710" s="40"/>
      <c r="AP710" s="5"/>
      <c r="AR710" s="40"/>
      <c r="AS710" s="5"/>
      <c r="AU710" s="40"/>
      <c r="AV710" s="5"/>
      <c r="AX710" s="40"/>
      <c r="AY710" s="5"/>
      <c r="BA710" s="40"/>
      <c r="BB710" s="5"/>
      <c r="BD710" s="40"/>
      <c r="BE710" s="5"/>
      <c r="BG710" s="40"/>
      <c r="BH710" s="5"/>
      <c r="BJ710" s="40"/>
      <c r="BK710" s="5"/>
      <c r="BM710" s="40"/>
      <c r="BN710" s="5"/>
      <c r="BP710" s="40"/>
      <c r="BQ710" s="5"/>
      <c r="BS710" s="40"/>
      <c r="BT710" s="5"/>
      <c r="BV710" s="40"/>
      <c r="BW710" s="5"/>
      <c r="BY710" s="40"/>
      <c r="BZ710" s="5"/>
      <c r="CB710" s="40"/>
      <c r="CC710" s="5"/>
      <c r="CE710" s="40"/>
      <c r="CF710" s="5"/>
      <c r="CH710" s="40"/>
      <c r="CI710" s="5"/>
      <c r="CK710" s="40"/>
      <c r="CL710" s="5"/>
      <c r="CN710" s="40"/>
      <c r="CO710" s="5"/>
      <c r="CQ710" s="40"/>
      <c r="CR710" s="5"/>
    </row>
    <row r="711">
      <c r="AL711" s="40"/>
      <c r="AM711" s="5"/>
      <c r="AO711" s="40"/>
      <c r="AP711" s="5"/>
      <c r="AR711" s="40"/>
      <c r="AS711" s="5"/>
      <c r="AU711" s="40"/>
      <c r="AV711" s="5"/>
      <c r="AX711" s="40"/>
      <c r="AY711" s="5"/>
      <c r="BA711" s="40"/>
      <c r="BB711" s="5"/>
      <c r="BD711" s="40"/>
      <c r="BE711" s="5"/>
      <c r="BG711" s="40"/>
      <c r="BH711" s="5"/>
      <c r="BJ711" s="40"/>
      <c r="BK711" s="5"/>
      <c r="BM711" s="40"/>
      <c r="BN711" s="5"/>
      <c r="BP711" s="40"/>
      <c r="BQ711" s="5"/>
      <c r="BS711" s="40"/>
      <c r="BT711" s="5"/>
      <c r="BV711" s="40"/>
      <c r="BW711" s="5"/>
      <c r="BY711" s="40"/>
      <c r="BZ711" s="5"/>
      <c r="CB711" s="40"/>
      <c r="CC711" s="5"/>
      <c r="CE711" s="40"/>
      <c r="CF711" s="5"/>
      <c r="CH711" s="40"/>
      <c r="CI711" s="5"/>
      <c r="CK711" s="40"/>
      <c r="CL711" s="5"/>
      <c r="CN711" s="40"/>
      <c r="CO711" s="5"/>
      <c r="CQ711" s="40"/>
      <c r="CR711" s="5"/>
    </row>
    <row r="712">
      <c r="AL712" s="40"/>
      <c r="AM712" s="5"/>
      <c r="AO712" s="40"/>
      <c r="AP712" s="5"/>
      <c r="AR712" s="40"/>
      <c r="AS712" s="5"/>
      <c r="AU712" s="40"/>
      <c r="AV712" s="5"/>
      <c r="AX712" s="40"/>
      <c r="AY712" s="5"/>
      <c r="BA712" s="40"/>
      <c r="BB712" s="5"/>
      <c r="BD712" s="40"/>
      <c r="BE712" s="5"/>
      <c r="BG712" s="40"/>
      <c r="BH712" s="5"/>
      <c r="BJ712" s="40"/>
      <c r="BK712" s="5"/>
      <c r="BM712" s="40"/>
      <c r="BN712" s="5"/>
      <c r="BP712" s="40"/>
      <c r="BQ712" s="5"/>
      <c r="BS712" s="40"/>
      <c r="BT712" s="5"/>
      <c r="BV712" s="40"/>
      <c r="BW712" s="5"/>
      <c r="BY712" s="40"/>
      <c r="BZ712" s="5"/>
      <c r="CB712" s="40"/>
      <c r="CC712" s="5"/>
      <c r="CE712" s="40"/>
      <c r="CF712" s="5"/>
      <c r="CH712" s="40"/>
      <c r="CI712" s="5"/>
      <c r="CK712" s="40"/>
      <c r="CL712" s="5"/>
      <c r="CN712" s="40"/>
      <c r="CO712" s="5"/>
      <c r="CQ712" s="40"/>
      <c r="CR712" s="5"/>
    </row>
    <row r="713">
      <c r="AL713" s="40"/>
      <c r="AM713" s="5"/>
      <c r="AO713" s="40"/>
      <c r="AP713" s="5"/>
      <c r="AR713" s="40"/>
      <c r="AS713" s="5"/>
      <c r="AU713" s="40"/>
      <c r="AV713" s="5"/>
      <c r="AX713" s="40"/>
      <c r="AY713" s="5"/>
      <c r="BA713" s="40"/>
      <c r="BB713" s="5"/>
      <c r="BD713" s="40"/>
      <c r="BE713" s="5"/>
      <c r="BG713" s="40"/>
      <c r="BH713" s="5"/>
      <c r="BJ713" s="40"/>
      <c r="BK713" s="5"/>
      <c r="BM713" s="40"/>
      <c r="BN713" s="5"/>
      <c r="BP713" s="40"/>
      <c r="BQ713" s="5"/>
      <c r="BS713" s="40"/>
      <c r="BT713" s="5"/>
      <c r="BV713" s="40"/>
      <c r="BW713" s="5"/>
      <c r="BY713" s="40"/>
      <c r="BZ713" s="5"/>
      <c r="CB713" s="40"/>
      <c r="CC713" s="5"/>
      <c r="CE713" s="40"/>
      <c r="CF713" s="5"/>
      <c r="CH713" s="40"/>
      <c r="CI713" s="5"/>
      <c r="CK713" s="40"/>
      <c r="CL713" s="5"/>
      <c r="CN713" s="40"/>
      <c r="CO713" s="5"/>
      <c r="CQ713" s="40"/>
      <c r="CR713" s="5"/>
    </row>
    <row r="714">
      <c r="AL714" s="40"/>
      <c r="AM714" s="5"/>
      <c r="AO714" s="40"/>
      <c r="AP714" s="5"/>
      <c r="AR714" s="40"/>
      <c r="AS714" s="5"/>
      <c r="AU714" s="40"/>
      <c r="AV714" s="5"/>
      <c r="AX714" s="40"/>
      <c r="AY714" s="5"/>
      <c r="BA714" s="40"/>
      <c r="BB714" s="5"/>
      <c r="BD714" s="40"/>
      <c r="BE714" s="5"/>
      <c r="BG714" s="40"/>
      <c r="BH714" s="5"/>
      <c r="BJ714" s="40"/>
      <c r="BK714" s="5"/>
      <c r="BM714" s="40"/>
      <c r="BN714" s="5"/>
      <c r="BP714" s="40"/>
      <c r="BQ714" s="5"/>
      <c r="BS714" s="40"/>
      <c r="BT714" s="5"/>
      <c r="BV714" s="40"/>
      <c r="BW714" s="5"/>
      <c r="BY714" s="40"/>
      <c r="BZ714" s="5"/>
      <c r="CB714" s="40"/>
      <c r="CC714" s="5"/>
      <c r="CE714" s="40"/>
      <c r="CF714" s="5"/>
      <c r="CH714" s="40"/>
      <c r="CI714" s="5"/>
      <c r="CK714" s="40"/>
      <c r="CL714" s="5"/>
      <c r="CN714" s="40"/>
      <c r="CO714" s="5"/>
      <c r="CQ714" s="40"/>
      <c r="CR714" s="5"/>
    </row>
    <row r="715">
      <c r="AL715" s="40"/>
      <c r="AM715" s="5"/>
      <c r="AO715" s="40"/>
      <c r="AP715" s="5"/>
      <c r="AR715" s="40"/>
      <c r="AS715" s="5"/>
      <c r="AU715" s="40"/>
      <c r="AV715" s="5"/>
      <c r="AX715" s="40"/>
      <c r="AY715" s="5"/>
      <c r="BA715" s="40"/>
      <c r="BB715" s="5"/>
      <c r="BD715" s="40"/>
      <c r="BE715" s="5"/>
      <c r="BG715" s="40"/>
      <c r="BH715" s="5"/>
      <c r="BJ715" s="40"/>
      <c r="BK715" s="5"/>
      <c r="BM715" s="40"/>
      <c r="BN715" s="5"/>
      <c r="BP715" s="40"/>
      <c r="BQ715" s="5"/>
      <c r="BS715" s="40"/>
      <c r="BT715" s="5"/>
      <c r="BV715" s="40"/>
      <c r="BW715" s="5"/>
      <c r="BY715" s="40"/>
      <c r="BZ715" s="5"/>
      <c r="CB715" s="40"/>
      <c r="CC715" s="5"/>
      <c r="CE715" s="40"/>
      <c r="CF715" s="5"/>
      <c r="CH715" s="40"/>
      <c r="CI715" s="5"/>
      <c r="CK715" s="40"/>
      <c r="CL715" s="5"/>
      <c r="CN715" s="40"/>
      <c r="CO715" s="5"/>
      <c r="CQ715" s="40"/>
      <c r="CR715" s="5"/>
    </row>
    <row r="716">
      <c r="AL716" s="40"/>
      <c r="AM716" s="5"/>
      <c r="AO716" s="40"/>
      <c r="AP716" s="5"/>
      <c r="AR716" s="40"/>
      <c r="AS716" s="5"/>
      <c r="AU716" s="40"/>
      <c r="AV716" s="5"/>
      <c r="AX716" s="40"/>
      <c r="AY716" s="5"/>
      <c r="BA716" s="40"/>
      <c r="BB716" s="5"/>
      <c r="BD716" s="40"/>
      <c r="BE716" s="5"/>
      <c r="BG716" s="40"/>
      <c r="BH716" s="5"/>
      <c r="BJ716" s="40"/>
      <c r="BK716" s="5"/>
      <c r="BM716" s="40"/>
      <c r="BN716" s="5"/>
      <c r="BP716" s="40"/>
      <c r="BQ716" s="5"/>
      <c r="BS716" s="40"/>
      <c r="BT716" s="5"/>
      <c r="BV716" s="40"/>
      <c r="BW716" s="5"/>
      <c r="BY716" s="40"/>
      <c r="BZ716" s="5"/>
      <c r="CB716" s="40"/>
      <c r="CC716" s="5"/>
      <c r="CE716" s="40"/>
      <c r="CF716" s="5"/>
      <c r="CH716" s="40"/>
      <c r="CI716" s="5"/>
      <c r="CK716" s="40"/>
      <c r="CL716" s="5"/>
      <c r="CN716" s="40"/>
      <c r="CO716" s="5"/>
      <c r="CQ716" s="40"/>
      <c r="CR716" s="5"/>
    </row>
    <row r="717">
      <c r="AL717" s="40"/>
      <c r="AM717" s="5"/>
      <c r="AO717" s="40"/>
      <c r="AP717" s="5"/>
      <c r="AR717" s="40"/>
      <c r="AS717" s="5"/>
      <c r="AU717" s="40"/>
      <c r="AV717" s="5"/>
      <c r="AX717" s="40"/>
      <c r="AY717" s="5"/>
      <c r="BA717" s="40"/>
      <c r="BB717" s="5"/>
      <c r="BD717" s="40"/>
      <c r="BE717" s="5"/>
      <c r="BG717" s="40"/>
      <c r="BH717" s="5"/>
      <c r="BJ717" s="40"/>
      <c r="BK717" s="5"/>
      <c r="BM717" s="40"/>
      <c r="BN717" s="5"/>
      <c r="BP717" s="40"/>
      <c r="BQ717" s="5"/>
      <c r="BS717" s="40"/>
      <c r="BT717" s="5"/>
      <c r="BV717" s="40"/>
      <c r="BW717" s="5"/>
      <c r="BY717" s="40"/>
      <c r="BZ717" s="5"/>
      <c r="CB717" s="40"/>
      <c r="CC717" s="5"/>
      <c r="CE717" s="40"/>
      <c r="CF717" s="5"/>
      <c r="CH717" s="40"/>
      <c r="CI717" s="5"/>
      <c r="CK717" s="40"/>
      <c r="CL717" s="5"/>
      <c r="CN717" s="40"/>
      <c r="CO717" s="5"/>
      <c r="CQ717" s="40"/>
      <c r="CR717" s="5"/>
    </row>
    <row r="718">
      <c r="AL718" s="40"/>
      <c r="AM718" s="5"/>
      <c r="AO718" s="40"/>
      <c r="AP718" s="5"/>
      <c r="AR718" s="40"/>
      <c r="AS718" s="5"/>
      <c r="AU718" s="40"/>
      <c r="AV718" s="5"/>
      <c r="AX718" s="40"/>
      <c r="AY718" s="5"/>
      <c r="BA718" s="40"/>
      <c r="BB718" s="5"/>
      <c r="BD718" s="40"/>
      <c r="BE718" s="5"/>
      <c r="BG718" s="40"/>
      <c r="BH718" s="5"/>
      <c r="BJ718" s="40"/>
      <c r="BK718" s="5"/>
      <c r="BM718" s="40"/>
      <c r="BN718" s="5"/>
      <c r="BP718" s="40"/>
      <c r="BQ718" s="5"/>
      <c r="BS718" s="40"/>
      <c r="BT718" s="5"/>
      <c r="BV718" s="40"/>
      <c r="BW718" s="5"/>
      <c r="BY718" s="40"/>
      <c r="BZ718" s="5"/>
      <c r="CB718" s="40"/>
      <c r="CC718" s="5"/>
      <c r="CE718" s="40"/>
      <c r="CF718" s="5"/>
      <c r="CH718" s="40"/>
      <c r="CI718" s="5"/>
      <c r="CK718" s="40"/>
      <c r="CL718" s="5"/>
      <c r="CN718" s="40"/>
      <c r="CO718" s="5"/>
      <c r="CQ718" s="40"/>
      <c r="CR718" s="5"/>
    </row>
    <row r="719">
      <c r="AL719" s="40"/>
      <c r="AM719" s="5"/>
      <c r="AO719" s="40"/>
      <c r="AP719" s="5"/>
      <c r="AR719" s="40"/>
      <c r="AS719" s="5"/>
      <c r="AU719" s="40"/>
      <c r="AV719" s="5"/>
      <c r="AX719" s="40"/>
      <c r="AY719" s="5"/>
      <c r="BA719" s="40"/>
      <c r="BB719" s="5"/>
      <c r="BD719" s="40"/>
      <c r="BE719" s="5"/>
      <c r="BG719" s="40"/>
      <c r="BH719" s="5"/>
      <c r="BJ719" s="40"/>
      <c r="BK719" s="5"/>
      <c r="BM719" s="40"/>
      <c r="BN719" s="5"/>
      <c r="BP719" s="40"/>
      <c r="BQ719" s="5"/>
      <c r="BS719" s="40"/>
      <c r="BT719" s="5"/>
      <c r="BV719" s="40"/>
      <c r="BW719" s="5"/>
      <c r="BY719" s="40"/>
      <c r="BZ719" s="5"/>
      <c r="CB719" s="40"/>
      <c r="CC719" s="5"/>
      <c r="CE719" s="40"/>
      <c r="CF719" s="5"/>
      <c r="CH719" s="40"/>
      <c r="CI719" s="5"/>
      <c r="CK719" s="40"/>
      <c r="CL719" s="5"/>
      <c r="CN719" s="40"/>
      <c r="CO719" s="5"/>
      <c r="CQ719" s="40"/>
      <c r="CR719" s="5"/>
    </row>
    <row r="720">
      <c r="AL720" s="40"/>
      <c r="AM720" s="5"/>
      <c r="AO720" s="40"/>
      <c r="AP720" s="5"/>
      <c r="AR720" s="40"/>
      <c r="AS720" s="5"/>
      <c r="AU720" s="40"/>
      <c r="AV720" s="5"/>
      <c r="AX720" s="40"/>
      <c r="AY720" s="5"/>
      <c r="BA720" s="40"/>
      <c r="BB720" s="5"/>
      <c r="BD720" s="40"/>
      <c r="BE720" s="5"/>
      <c r="BG720" s="40"/>
      <c r="BH720" s="5"/>
      <c r="BJ720" s="40"/>
      <c r="BK720" s="5"/>
      <c r="BM720" s="40"/>
      <c r="BN720" s="5"/>
      <c r="BP720" s="40"/>
      <c r="BQ720" s="5"/>
      <c r="BS720" s="40"/>
      <c r="BT720" s="5"/>
      <c r="BV720" s="40"/>
      <c r="BW720" s="5"/>
      <c r="BY720" s="40"/>
      <c r="BZ720" s="5"/>
      <c r="CB720" s="40"/>
      <c r="CC720" s="5"/>
      <c r="CE720" s="40"/>
      <c r="CF720" s="5"/>
      <c r="CH720" s="40"/>
      <c r="CI720" s="5"/>
      <c r="CK720" s="40"/>
      <c r="CL720" s="5"/>
      <c r="CN720" s="40"/>
      <c r="CO720" s="5"/>
      <c r="CQ720" s="40"/>
      <c r="CR720" s="5"/>
    </row>
    <row r="721">
      <c r="AL721" s="40"/>
      <c r="AM721" s="5"/>
      <c r="AO721" s="40"/>
      <c r="AP721" s="5"/>
      <c r="AR721" s="40"/>
      <c r="AS721" s="5"/>
      <c r="AU721" s="40"/>
      <c r="AV721" s="5"/>
      <c r="AX721" s="40"/>
      <c r="AY721" s="5"/>
      <c r="BA721" s="40"/>
      <c r="BB721" s="5"/>
      <c r="BD721" s="40"/>
      <c r="BE721" s="5"/>
      <c r="BG721" s="40"/>
      <c r="BH721" s="5"/>
      <c r="BJ721" s="40"/>
      <c r="BK721" s="5"/>
      <c r="BM721" s="40"/>
      <c r="BN721" s="5"/>
      <c r="BP721" s="40"/>
      <c r="BQ721" s="5"/>
      <c r="BS721" s="40"/>
      <c r="BT721" s="5"/>
      <c r="BV721" s="40"/>
      <c r="BW721" s="5"/>
      <c r="BY721" s="40"/>
      <c r="BZ721" s="5"/>
      <c r="CB721" s="40"/>
      <c r="CC721" s="5"/>
      <c r="CE721" s="40"/>
      <c r="CF721" s="5"/>
      <c r="CH721" s="40"/>
      <c r="CI721" s="5"/>
      <c r="CK721" s="40"/>
      <c r="CL721" s="5"/>
      <c r="CN721" s="40"/>
      <c r="CO721" s="5"/>
      <c r="CQ721" s="40"/>
      <c r="CR721" s="5"/>
    </row>
    <row r="722">
      <c r="AL722" s="40"/>
      <c r="AM722" s="5"/>
      <c r="AO722" s="40"/>
      <c r="AP722" s="5"/>
      <c r="AR722" s="40"/>
      <c r="AS722" s="5"/>
      <c r="AU722" s="40"/>
      <c r="AV722" s="5"/>
      <c r="AX722" s="40"/>
      <c r="AY722" s="5"/>
      <c r="BA722" s="40"/>
      <c r="BB722" s="5"/>
      <c r="BD722" s="40"/>
      <c r="BE722" s="5"/>
      <c r="BG722" s="40"/>
      <c r="BH722" s="5"/>
      <c r="BJ722" s="40"/>
      <c r="BK722" s="5"/>
      <c r="BM722" s="40"/>
      <c r="BN722" s="5"/>
      <c r="BP722" s="40"/>
      <c r="BQ722" s="5"/>
      <c r="BS722" s="40"/>
      <c r="BT722" s="5"/>
      <c r="BV722" s="40"/>
      <c r="BW722" s="5"/>
      <c r="BY722" s="40"/>
      <c r="BZ722" s="5"/>
      <c r="CB722" s="40"/>
      <c r="CC722" s="5"/>
      <c r="CE722" s="40"/>
      <c r="CF722" s="5"/>
      <c r="CH722" s="40"/>
      <c r="CI722" s="5"/>
      <c r="CK722" s="40"/>
      <c r="CL722" s="5"/>
      <c r="CN722" s="40"/>
      <c r="CO722" s="5"/>
      <c r="CQ722" s="40"/>
      <c r="CR722" s="5"/>
    </row>
    <row r="723">
      <c r="AL723" s="40"/>
      <c r="AM723" s="5"/>
      <c r="AO723" s="40"/>
      <c r="AP723" s="5"/>
      <c r="AR723" s="40"/>
      <c r="AS723" s="5"/>
      <c r="AU723" s="40"/>
      <c r="AV723" s="5"/>
      <c r="AX723" s="40"/>
      <c r="AY723" s="5"/>
      <c r="BA723" s="40"/>
      <c r="BB723" s="5"/>
      <c r="BD723" s="40"/>
      <c r="BE723" s="5"/>
      <c r="BG723" s="40"/>
      <c r="BH723" s="5"/>
      <c r="BJ723" s="40"/>
      <c r="BK723" s="5"/>
      <c r="BM723" s="40"/>
      <c r="BN723" s="5"/>
      <c r="BP723" s="40"/>
      <c r="BQ723" s="5"/>
      <c r="BS723" s="40"/>
      <c r="BT723" s="5"/>
      <c r="BV723" s="40"/>
      <c r="BW723" s="5"/>
      <c r="BY723" s="40"/>
      <c r="BZ723" s="5"/>
      <c r="CB723" s="40"/>
      <c r="CC723" s="5"/>
      <c r="CE723" s="40"/>
      <c r="CF723" s="5"/>
      <c r="CH723" s="40"/>
      <c r="CI723" s="5"/>
      <c r="CK723" s="40"/>
      <c r="CL723" s="5"/>
      <c r="CN723" s="40"/>
      <c r="CO723" s="5"/>
      <c r="CQ723" s="40"/>
      <c r="CR723" s="5"/>
    </row>
    <row r="724">
      <c r="AL724" s="40"/>
      <c r="AM724" s="5"/>
      <c r="AO724" s="40"/>
      <c r="AP724" s="5"/>
      <c r="AR724" s="40"/>
      <c r="AS724" s="5"/>
      <c r="AU724" s="40"/>
      <c r="AV724" s="5"/>
      <c r="AX724" s="40"/>
      <c r="AY724" s="5"/>
      <c r="BA724" s="40"/>
      <c r="BB724" s="5"/>
      <c r="BD724" s="40"/>
      <c r="BE724" s="5"/>
      <c r="BG724" s="40"/>
      <c r="BH724" s="5"/>
      <c r="BJ724" s="40"/>
      <c r="BK724" s="5"/>
      <c r="BM724" s="40"/>
      <c r="BN724" s="5"/>
      <c r="BP724" s="40"/>
      <c r="BQ724" s="5"/>
      <c r="BS724" s="40"/>
      <c r="BT724" s="5"/>
      <c r="BV724" s="40"/>
      <c r="BW724" s="5"/>
      <c r="BY724" s="40"/>
      <c r="BZ724" s="5"/>
      <c r="CB724" s="40"/>
      <c r="CC724" s="5"/>
      <c r="CE724" s="40"/>
      <c r="CF724" s="5"/>
      <c r="CH724" s="40"/>
      <c r="CI724" s="5"/>
      <c r="CK724" s="40"/>
      <c r="CL724" s="5"/>
      <c r="CN724" s="40"/>
      <c r="CO724" s="5"/>
      <c r="CQ724" s="40"/>
      <c r="CR724" s="5"/>
    </row>
    <row r="725">
      <c r="AL725" s="40"/>
      <c r="AM725" s="5"/>
      <c r="AO725" s="40"/>
      <c r="AP725" s="5"/>
      <c r="AR725" s="40"/>
      <c r="AS725" s="5"/>
      <c r="AU725" s="40"/>
      <c r="AV725" s="5"/>
      <c r="AX725" s="40"/>
      <c r="AY725" s="5"/>
      <c r="BA725" s="40"/>
      <c r="BB725" s="5"/>
      <c r="BD725" s="40"/>
      <c r="BE725" s="5"/>
      <c r="BG725" s="40"/>
      <c r="BH725" s="5"/>
      <c r="BJ725" s="40"/>
      <c r="BK725" s="5"/>
      <c r="BM725" s="40"/>
      <c r="BN725" s="5"/>
      <c r="BP725" s="40"/>
      <c r="BQ725" s="5"/>
      <c r="BS725" s="40"/>
      <c r="BT725" s="5"/>
      <c r="BV725" s="40"/>
      <c r="BW725" s="5"/>
      <c r="BY725" s="40"/>
      <c r="BZ725" s="5"/>
      <c r="CB725" s="40"/>
      <c r="CC725" s="5"/>
      <c r="CE725" s="40"/>
      <c r="CF725" s="5"/>
      <c r="CH725" s="40"/>
      <c r="CI725" s="5"/>
      <c r="CK725" s="40"/>
      <c r="CL725" s="5"/>
      <c r="CN725" s="40"/>
      <c r="CO725" s="5"/>
      <c r="CQ725" s="40"/>
      <c r="CR725" s="5"/>
    </row>
    <row r="726">
      <c r="AL726" s="40"/>
      <c r="AM726" s="5"/>
      <c r="AO726" s="40"/>
      <c r="AP726" s="5"/>
      <c r="AR726" s="40"/>
      <c r="AS726" s="5"/>
      <c r="AU726" s="40"/>
      <c r="AV726" s="5"/>
      <c r="AX726" s="40"/>
      <c r="AY726" s="5"/>
      <c r="BA726" s="40"/>
      <c r="BB726" s="5"/>
      <c r="BD726" s="40"/>
      <c r="BE726" s="5"/>
      <c r="BG726" s="40"/>
      <c r="BH726" s="5"/>
      <c r="BJ726" s="40"/>
      <c r="BK726" s="5"/>
      <c r="BM726" s="40"/>
      <c r="BN726" s="5"/>
      <c r="BP726" s="40"/>
      <c r="BQ726" s="5"/>
      <c r="BS726" s="40"/>
      <c r="BT726" s="5"/>
      <c r="BV726" s="40"/>
      <c r="BW726" s="5"/>
      <c r="BY726" s="40"/>
      <c r="BZ726" s="5"/>
      <c r="CB726" s="40"/>
      <c r="CC726" s="5"/>
      <c r="CE726" s="40"/>
      <c r="CF726" s="5"/>
      <c r="CH726" s="40"/>
      <c r="CI726" s="5"/>
      <c r="CK726" s="40"/>
      <c r="CL726" s="5"/>
      <c r="CN726" s="40"/>
      <c r="CO726" s="5"/>
      <c r="CQ726" s="40"/>
      <c r="CR726" s="5"/>
    </row>
    <row r="727">
      <c r="AL727" s="40"/>
      <c r="AM727" s="5"/>
      <c r="AO727" s="40"/>
      <c r="AP727" s="5"/>
      <c r="AR727" s="40"/>
      <c r="AS727" s="5"/>
      <c r="AU727" s="40"/>
      <c r="AV727" s="5"/>
      <c r="AX727" s="40"/>
      <c r="AY727" s="5"/>
      <c r="BA727" s="40"/>
      <c r="BB727" s="5"/>
      <c r="BD727" s="40"/>
      <c r="BE727" s="5"/>
      <c r="BG727" s="40"/>
      <c r="BH727" s="5"/>
      <c r="BJ727" s="40"/>
      <c r="BK727" s="5"/>
      <c r="BM727" s="40"/>
      <c r="BN727" s="5"/>
      <c r="BP727" s="40"/>
      <c r="BQ727" s="5"/>
      <c r="BS727" s="40"/>
      <c r="BT727" s="5"/>
      <c r="BV727" s="40"/>
      <c r="BW727" s="5"/>
      <c r="BY727" s="40"/>
      <c r="BZ727" s="5"/>
      <c r="CB727" s="40"/>
      <c r="CC727" s="5"/>
      <c r="CE727" s="40"/>
      <c r="CF727" s="5"/>
      <c r="CH727" s="40"/>
      <c r="CI727" s="5"/>
      <c r="CK727" s="40"/>
      <c r="CL727" s="5"/>
      <c r="CN727" s="40"/>
      <c r="CO727" s="5"/>
      <c r="CQ727" s="40"/>
      <c r="CR727" s="5"/>
    </row>
    <row r="728">
      <c r="AL728" s="40"/>
      <c r="AM728" s="5"/>
      <c r="AO728" s="40"/>
      <c r="AP728" s="5"/>
      <c r="AR728" s="40"/>
      <c r="AS728" s="5"/>
      <c r="AU728" s="40"/>
      <c r="AV728" s="5"/>
      <c r="AX728" s="40"/>
      <c r="AY728" s="5"/>
      <c r="BA728" s="40"/>
      <c r="BB728" s="5"/>
      <c r="BD728" s="40"/>
      <c r="BE728" s="5"/>
      <c r="BG728" s="40"/>
      <c r="BH728" s="5"/>
      <c r="BJ728" s="40"/>
      <c r="BK728" s="5"/>
      <c r="BM728" s="40"/>
      <c r="BN728" s="5"/>
      <c r="BP728" s="40"/>
      <c r="BQ728" s="5"/>
      <c r="BS728" s="40"/>
      <c r="BT728" s="5"/>
      <c r="BV728" s="40"/>
      <c r="BW728" s="5"/>
      <c r="BY728" s="40"/>
      <c r="BZ728" s="5"/>
      <c r="CB728" s="40"/>
      <c r="CC728" s="5"/>
      <c r="CE728" s="40"/>
      <c r="CF728" s="5"/>
      <c r="CH728" s="40"/>
      <c r="CI728" s="5"/>
      <c r="CK728" s="40"/>
      <c r="CL728" s="5"/>
      <c r="CN728" s="40"/>
      <c r="CO728" s="5"/>
      <c r="CQ728" s="40"/>
      <c r="CR728" s="5"/>
    </row>
    <row r="729">
      <c r="AL729" s="40"/>
      <c r="AM729" s="5"/>
      <c r="AO729" s="40"/>
      <c r="AP729" s="5"/>
      <c r="AR729" s="40"/>
      <c r="AS729" s="5"/>
      <c r="AU729" s="40"/>
      <c r="AV729" s="5"/>
      <c r="AX729" s="40"/>
      <c r="AY729" s="5"/>
      <c r="BA729" s="40"/>
      <c r="BB729" s="5"/>
      <c r="BD729" s="40"/>
      <c r="BE729" s="5"/>
      <c r="BG729" s="40"/>
      <c r="BH729" s="5"/>
      <c r="BJ729" s="40"/>
      <c r="BK729" s="5"/>
      <c r="BM729" s="40"/>
      <c r="BN729" s="5"/>
      <c r="BP729" s="40"/>
      <c r="BQ729" s="5"/>
      <c r="BS729" s="40"/>
      <c r="BT729" s="5"/>
      <c r="BV729" s="40"/>
      <c r="BW729" s="5"/>
      <c r="BY729" s="40"/>
      <c r="BZ729" s="5"/>
      <c r="CB729" s="40"/>
      <c r="CC729" s="5"/>
      <c r="CE729" s="40"/>
      <c r="CF729" s="5"/>
      <c r="CH729" s="40"/>
      <c r="CI729" s="5"/>
      <c r="CK729" s="40"/>
      <c r="CL729" s="5"/>
      <c r="CN729" s="40"/>
      <c r="CO729" s="5"/>
      <c r="CQ729" s="40"/>
      <c r="CR729" s="5"/>
    </row>
    <row r="730">
      <c r="AL730" s="40"/>
      <c r="AM730" s="5"/>
      <c r="AO730" s="40"/>
      <c r="AP730" s="5"/>
      <c r="AR730" s="40"/>
      <c r="AS730" s="5"/>
      <c r="AU730" s="40"/>
      <c r="AV730" s="5"/>
      <c r="AX730" s="40"/>
      <c r="AY730" s="5"/>
      <c r="BA730" s="40"/>
      <c r="BB730" s="5"/>
      <c r="BD730" s="40"/>
      <c r="BE730" s="5"/>
      <c r="BG730" s="40"/>
      <c r="BH730" s="5"/>
      <c r="BJ730" s="40"/>
      <c r="BK730" s="5"/>
      <c r="BM730" s="40"/>
      <c r="BN730" s="5"/>
      <c r="BP730" s="40"/>
      <c r="BQ730" s="5"/>
      <c r="BS730" s="40"/>
      <c r="BT730" s="5"/>
      <c r="BV730" s="40"/>
      <c r="BW730" s="5"/>
      <c r="BY730" s="40"/>
      <c r="BZ730" s="5"/>
      <c r="CB730" s="40"/>
      <c r="CC730" s="5"/>
      <c r="CE730" s="40"/>
      <c r="CF730" s="5"/>
      <c r="CH730" s="40"/>
      <c r="CI730" s="5"/>
      <c r="CK730" s="40"/>
      <c r="CL730" s="5"/>
      <c r="CN730" s="40"/>
      <c r="CO730" s="5"/>
      <c r="CQ730" s="40"/>
      <c r="CR730" s="5"/>
    </row>
    <row r="731">
      <c r="AL731" s="40"/>
      <c r="AM731" s="5"/>
      <c r="AO731" s="40"/>
      <c r="AP731" s="5"/>
      <c r="AR731" s="40"/>
      <c r="AS731" s="5"/>
      <c r="AU731" s="40"/>
      <c r="AV731" s="5"/>
      <c r="AX731" s="40"/>
      <c r="AY731" s="5"/>
      <c r="BA731" s="40"/>
      <c r="BB731" s="5"/>
      <c r="BD731" s="40"/>
      <c r="BE731" s="5"/>
      <c r="BG731" s="40"/>
      <c r="BH731" s="5"/>
      <c r="BJ731" s="40"/>
      <c r="BK731" s="5"/>
      <c r="BM731" s="40"/>
      <c r="BN731" s="5"/>
      <c r="BP731" s="40"/>
      <c r="BQ731" s="5"/>
      <c r="BS731" s="40"/>
      <c r="BT731" s="5"/>
      <c r="BV731" s="40"/>
      <c r="BW731" s="5"/>
      <c r="BY731" s="40"/>
      <c r="BZ731" s="5"/>
      <c r="CB731" s="40"/>
      <c r="CC731" s="5"/>
      <c r="CE731" s="40"/>
      <c r="CF731" s="5"/>
      <c r="CH731" s="40"/>
      <c r="CI731" s="5"/>
      <c r="CK731" s="40"/>
      <c r="CL731" s="5"/>
      <c r="CN731" s="40"/>
      <c r="CO731" s="5"/>
      <c r="CQ731" s="40"/>
      <c r="CR731" s="5"/>
    </row>
    <row r="732">
      <c r="AL732" s="40"/>
      <c r="AM732" s="5"/>
      <c r="AO732" s="40"/>
      <c r="AP732" s="5"/>
      <c r="AR732" s="40"/>
      <c r="AS732" s="5"/>
      <c r="AU732" s="40"/>
      <c r="AV732" s="5"/>
      <c r="AX732" s="40"/>
      <c r="AY732" s="5"/>
      <c r="BA732" s="40"/>
      <c r="BB732" s="5"/>
      <c r="BD732" s="40"/>
      <c r="BE732" s="5"/>
      <c r="BG732" s="40"/>
      <c r="BH732" s="5"/>
      <c r="BJ732" s="40"/>
      <c r="BK732" s="5"/>
      <c r="BM732" s="40"/>
      <c r="BN732" s="5"/>
      <c r="BP732" s="40"/>
      <c r="BQ732" s="5"/>
      <c r="BS732" s="40"/>
      <c r="BT732" s="5"/>
      <c r="BV732" s="40"/>
      <c r="BW732" s="5"/>
      <c r="BY732" s="40"/>
      <c r="BZ732" s="5"/>
      <c r="CB732" s="40"/>
      <c r="CC732" s="5"/>
      <c r="CE732" s="40"/>
      <c r="CF732" s="5"/>
      <c r="CH732" s="40"/>
      <c r="CI732" s="5"/>
      <c r="CK732" s="40"/>
      <c r="CL732" s="5"/>
      <c r="CN732" s="40"/>
      <c r="CO732" s="5"/>
      <c r="CQ732" s="40"/>
      <c r="CR732" s="5"/>
    </row>
    <row r="733">
      <c r="AL733" s="40"/>
      <c r="AM733" s="5"/>
      <c r="AO733" s="40"/>
      <c r="AP733" s="5"/>
      <c r="AR733" s="40"/>
      <c r="AS733" s="5"/>
      <c r="AU733" s="40"/>
      <c r="AV733" s="5"/>
      <c r="AX733" s="40"/>
      <c r="AY733" s="5"/>
      <c r="BA733" s="40"/>
      <c r="BB733" s="5"/>
      <c r="BD733" s="40"/>
      <c r="BE733" s="5"/>
      <c r="BG733" s="40"/>
      <c r="BH733" s="5"/>
      <c r="BJ733" s="40"/>
      <c r="BK733" s="5"/>
      <c r="BM733" s="40"/>
      <c r="BN733" s="5"/>
      <c r="BP733" s="40"/>
      <c r="BQ733" s="5"/>
      <c r="BS733" s="40"/>
      <c r="BT733" s="5"/>
      <c r="BV733" s="40"/>
      <c r="BW733" s="5"/>
      <c r="BY733" s="40"/>
      <c r="BZ733" s="5"/>
      <c r="CB733" s="40"/>
      <c r="CC733" s="5"/>
      <c r="CE733" s="40"/>
      <c r="CF733" s="5"/>
      <c r="CH733" s="40"/>
      <c r="CI733" s="5"/>
      <c r="CK733" s="40"/>
      <c r="CL733" s="5"/>
      <c r="CN733" s="40"/>
      <c r="CO733" s="5"/>
      <c r="CQ733" s="40"/>
      <c r="CR733" s="5"/>
    </row>
    <row r="734">
      <c r="AL734" s="40"/>
      <c r="AM734" s="5"/>
      <c r="AO734" s="40"/>
      <c r="AP734" s="5"/>
      <c r="AR734" s="40"/>
      <c r="AS734" s="5"/>
      <c r="AU734" s="40"/>
      <c r="AV734" s="5"/>
      <c r="AX734" s="40"/>
      <c r="AY734" s="5"/>
      <c r="BA734" s="40"/>
      <c r="BB734" s="5"/>
      <c r="BD734" s="40"/>
      <c r="BE734" s="5"/>
      <c r="BG734" s="40"/>
      <c r="BH734" s="5"/>
      <c r="BJ734" s="40"/>
      <c r="BK734" s="5"/>
      <c r="BM734" s="40"/>
      <c r="BN734" s="5"/>
      <c r="BP734" s="40"/>
      <c r="BQ734" s="5"/>
      <c r="BS734" s="40"/>
      <c r="BT734" s="5"/>
      <c r="BV734" s="40"/>
      <c r="BW734" s="5"/>
      <c r="BY734" s="40"/>
      <c r="BZ734" s="5"/>
      <c r="CB734" s="40"/>
      <c r="CC734" s="5"/>
      <c r="CE734" s="40"/>
      <c r="CF734" s="5"/>
      <c r="CH734" s="40"/>
      <c r="CI734" s="5"/>
      <c r="CK734" s="40"/>
      <c r="CL734" s="5"/>
      <c r="CN734" s="40"/>
      <c r="CO734" s="5"/>
      <c r="CQ734" s="40"/>
      <c r="CR734" s="5"/>
    </row>
    <row r="735">
      <c r="AL735" s="40"/>
      <c r="AM735" s="5"/>
      <c r="AO735" s="40"/>
      <c r="AP735" s="5"/>
      <c r="AR735" s="40"/>
      <c r="AS735" s="5"/>
      <c r="AU735" s="40"/>
      <c r="AV735" s="5"/>
      <c r="AX735" s="40"/>
      <c r="AY735" s="5"/>
      <c r="BA735" s="40"/>
      <c r="BB735" s="5"/>
      <c r="BD735" s="40"/>
      <c r="BE735" s="5"/>
      <c r="BG735" s="40"/>
      <c r="BH735" s="5"/>
      <c r="BJ735" s="40"/>
      <c r="BK735" s="5"/>
      <c r="BM735" s="40"/>
      <c r="BN735" s="5"/>
      <c r="BP735" s="40"/>
      <c r="BQ735" s="5"/>
      <c r="BS735" s="40"/>
      <c r="BT735" s="5"/>
      <c r="BV735" s="40"/>
      <c r="BW735" s="5"/>
      <c r="BY735" s="40"/>
      <c r="BZ735" s="5"/>
      <c r="CB735" s="40"/>
      <c r="CC735" s="5"/>
      <c r="CE735" s="40"/>
      <c r="CF735" s="5"/>
      <c r="CH735" s="40"/>
      <c r="CI735" s="5"/>
      <c r="CK735" s="40"/>
      <c r="CL735" s="5"/>
      <c r="CN735" s="40"/>
      <c r="CO735" s="5"/>
      <c r="CQ735" s="40"/>
      <c r="CR735" s="5"/>
    </row>
    <row r="736">
      <c r="AL736" s="40"/>
      <c r="AM736" s="5"/>
      <c r="AO736" s="40"/>
      <c r="AP736" s="5"/>
      <c r="AR736" s="40"/>
      <c r="AS736" s="5"/>
      <c r="AU736" s="40"/>
      <c r="AV736" s="5"/>
      <c r="AX736" s="40"/>
      <c r="AY736" s="5"/>
      <c r="BA736" s="40"/>
      <c r="BB736" s="5"/>
      <c r="BD736" s="40"/>
      <c r="BE736" s="5"/>
      <c r="BG736" s="40"/>
      <c r="BH736" s="5"/>
      <c r="BJ736" s="40"/>
      <c r="BK736" s="5"/>
      <c r="BM736" s="40"/>
      <c r="BN736" s="5"/>
      <c r="BP736" s="40"/>
      <c r="BQ736" s="5"/>
      <c r="BS736" s="40"/>
      <c r="BT736" s="5"/>
      <c r="BV736" s="40"/>
      <c r="BW736" s="5"/>
      <c r="BY736" s="40"/>
      <c r="BZ736" s="5"/>
      <c r="CB736" s="40"/>
      <c r="CC736" s="5"/>
      <c r="CE736" s="40"/>
      <c r="CF736" s="5"/>
      <c r="CH736" s="40"/>
      <c r="CI736" s="5"/>
      <c r="CK736" s="40"/>
      <c r="CL736" s="5"/>
      <c r="CN736" s="40"/>
      <c r="CO736" s="5"/>
      <c r="CQ736" s="40"/>
      <c r="CR736" s="5"/>
    </row>
    <row r="737">
      <c r="AL737" s="40"/>
      <c r="AM737" s="5"/>
      <c r="AO737" s="40"/>
      <c r="AP737" s="5"/>
      <c r="AR737" s="40"/>
      <c r="AS737" s="5"/>
      <c r="AU737" s="40"/>
      <c r="AV737" s="5"/>
      <c r="AX737" s="40"/>
      <c r="AY737" s="5"/>
      <c r="BA737" s="40"/>
      <c r="BB737" s="5"/>
      <c r="BD737" s="40"/>
      <c r="BE737" s="5"/>
      <c r="BG737" s="40"/>
      <c r="BH737" s="5"/>
      <c r="BJ737" s="40"/>
      <c r="BK737" s="5"/>
      <c r="BM737" s="40"/>
      <c r="BN737" s="5"/>
      <c r="BP737" s="40"/>
      <c r="BQ737" s="5"/>
      <c r="BS737" s="40"/>
      <c r="BT737" s="5"/>
      <c r="BV737" s="40"/>
      <c r="BW737" s="5"/>
      <c r="BY737" s="40"/>
      <c r="BZ737" s="5"/>
      <c r="CB737" s="40"/>
      <c r="CC737" s="5"/>
      <c r="CE737" s="40"/>
      <c r="CF737" s="5"/>
      <c r="CH737" s="40"/>
      <c r="CI737" s="5"/>
      <c r="CK737" s="40"/>
      <c r="CL737" s="5"/>
      <c r="CN737" s="40"/>
      <c r="CO737" s="5"/>
      <c r="CQ737" s="40"/>
      <c r="CR737" s="5"/>
    </row>
    <row r="738">
      <c r="AL738" s="40"/>
      <c r="AM738" s="5"/>
      <c r="AO738" s="40"/>
      <c r="AP738" s="5"/>
      <c r="AR738" s="40"/>
      <c r="AS738" s="5"/>
      <c r="AU738" s="40"/>
      <c r="AV738" s="5"/>
      <c r="AX738" s="40"/>
      <c r="AY738" s="5"/>
      <c r="BA738" s="40"/>
      <c r="BB738" s="5"/>
      <c r="BD738" s="40"/>
      <c r="BE738" s="5"/>
      <c r="BG738" s="40"/>
      <c r="BH738" s="5"/>
      <c r="BJ738" s="40"/>
      <c r="BK738" s="5"/>
      <c r="BM738" s="40"/>
      <c r="BN738" s="5"/>
      <c r="BP738" s="40"/>
      <c r="BQ738" s="5"/>
      <c r="BS738" s="40"/>
      <c r="BT738" s="5"/>
      <c r="BV738" s="40"/>
      <c r="BW738" s="5"/>
      <c r="BY738" s="40"/>
      <c r="BZ738" s="5"/>
      <c r="CB738" s="40"/>
      <c r="CC738" s="5"/>
      <c r="CE738" s="40"/>
      <c r="CF738" s="5"/>
      <c r="CH738" s="40"/>
      <c r="CI738" s="5"/>
      <c r="CK738" s="40"/>
      <c r="CL738" s="5"/>
      <c r="CN738" s="40"/>
      <c r="CO738" s="5"/>
      <c r="CQ738" s="40"/>
      <c r="CR738" s="5"/>
    </row>
    <row r="739">
      <c r="AL739" s="40"/>
      <c r="AM739" s="5"/>
      <c r="AO739" s="40"/>
      <c r="AP739" s="5"/>
      <c r="AR739" s="40"/>
      <c r="AS739" s="5"/>
      <c r="AU739" s="40"/>
      <c r="AV739" s="5"/>
      <c r="AX739" s="40"/>
      <c r="AY739" s="5"/>
      <c r="BA739" s="40"/>
      <c r="BB739" s="5"/>
      <c r="BD739" s="40"/>
      <c r="BE739" s="5"/>
      <c r="BG739" s="40"/>
      <c r="BH739" s="5"/>
      <c r="BJ739" s="40"/>
      <c r="BK739" s="5"/>
      <c r="BM739" s="40"/>
      <c r="BN739" s="5"/>
      <c r="BP739" s="40"/>
      <c r="BQ739" s="5"/>
      <c r="BS739" s="40"/>
      <c r="BT739" s="5"/>
      <c r="BV739" s="40"/>
      <c r="BW739" s="5"/>
      <c r="BY739" s="40"/>
      <c r="BZ739" s="5"/>
      <c r="CB739" s="40"/>
      <c r="CC739" s="5"/>
      <c r="CE739" s="40"/>
      <c r="CF739" s="5"/>
      <c r="CH739" s="40"/>
      <c r="CI739" s="5"/>
      <c r="CK739" s="40"/>
      <c r="CL739" s="5"/>
      <c r="CN739" s="40"/>
      <c r="CO739" s="5"/>
      <c r="CQ739" s="40"/>
      <c r="CR739" s="5"/>
    </row>
    <row r="740">
      <c r="AL740" s="40"/>
      <c r="AM740" s="5"/>
      <c r="AO740" s="40"/>
      <c r="AP740" s="5"/>
      <c r="AR740" s="40"/>
      <c r="AS740" s="5"/>
      <c r="AU740" s="40"/>
      <c r="AV740" s="5"/>
      <c r="AX740" s="40"/>
      <c r="AY740" s="5"/>
      <c r="BA740" s="40"/>
      <c r="BB740" s="5"/>
      <c r="BD740" s="40"/>
      <c r="BE740" s="5"/>
      <c r="BG740" s="40"/>
      <c r="BH740" s="5"/>
      <c r="BJ740" s="40"/>
      <c r="BK740" s="5"/>
      <c r="BM740" s="40"/>
      <c r="BN740" s="5"/>
      <c r="BP740" s="40"/>
      <c r="BQ740" s="5"/>
      <c r="BS740" s="40"/>
      <c r="BT740" s="5"/>
      <c r="BV740" s="40"/>
      <c r="BW740" s="5"/>
      <c r="BY740" s="40"/>
      <c r="BZ740" s="5"/>
      <c r="CB740" s="40"/>
      <c r="CC740" s="5"/>
      <c r="CE740" s="40"/>
      <c r="CF740" s="5"/>
      <c r="CH740" s="40"/>
      <c r="CI740" s="5"/>
      <c r="CK740" s="40"/>
      <c r="CL740" s="5"/>
      <c r="CN740" s="40"/>
      <c r="CO740" s="5"/>
      <c r="CQ740" s="40"/>
      <c r="CR740" s="5"/>
    </row>
    <row r="741">
      <c r="AL741" s="40"/>
      <c r="AM741" s="5"/>
      <c r="AO741" s="40"/>
      <c r="AP741" s="5"/>
      <c r="AR741" s="40"/>
      <c r="AS741" s="5"/>
      <c r="AU741" s="40"/>
      <c r="AV741" s="5"/>
      <c r="AX741" s="40"/>
      <c r="AY741" s="5"/>
      <c r="BA741" s="40"/>
      <c r="BB741" s="5"/>
      <c r="BD741" s="40"/>
      <c r="BE741" s="5"/>
      <c r="BG741" s="40"/>
      <c r="BH741" s="5"/>
      <c r="BJ741" s="40"/>
      <c r="BK741" s="5"/>
      <c r="BM741" s="40"/>
      <c r="BN741" s="5"/>
      <c r="BP741" s="40"/>
      <c r="BQ741" s="5"/>
      <c r="BS741" s="40"/>
      <c r="BT741" s="5"/>
      <c r="BV741" s="40"/>
      <c r="BW741" s="5"/>
      <c r="BY741" s="40"/>
      <c r="BZ741" s="5"/>
      <c r="CB741" s="40"/>
      <c r="CC741" s="5"/>
      <c r="CE741" s="40"/>
      <c r="CF741" s="5"/>
      <c r="CH741" s="40"/>
      <c r="CI741" s="5"/>
      <c r="CK741" s="40"/>
      <c r="CL741" s="5"/>
      <c r="CN741" s="40"/>
      <c r="CO741" s="5"/>
      <c r="CQ741" s="40"/>
      <c r="CR741" s="5"/>
    </row>
    <row r="742">
      <c r="AL742" s="40"/>
      <c r="AM742" s="5"/>
      <c r="AO742" s="40"/>
      <c r="AP742" s="5"/>
      <c r="AR742" s="40"/>
      <c r="AS742" s="5"/>
      <c r="AU742" s="40"/>
      <c r="AV742" s="5"/>
      <c r="AX742" s="40"/>
      <c r="AY742" s="5"/>
      <c r="BA742" s="40"/>
      <c r="BB742" s="5"/>
      <c r="BD742" s="40"/>
      <c r="BE742" s="5"/>
      <c r="BG742" s="40"/>
      <c r="BH742" s="5"/>
      <c r="BJ742" s="40"/>
      <c r="BK742" s="5"/>
      <c r="BM742" s="40"/>
      <c r="BN742" s="5"/>
      <c r="BP742" s="40"/>
      <c r="BQ742" s="5"/>
      <c r="BS742" s="40"/>
      <c r="BT742" s="5"/>
      <c r="BV742" s="40"/>
      <c r="BW742" s="5"/>
      <c r="BY742" s="40"/>
      <c r="BZ742" s="5"/>
      <c r="CB742" s="40"/>
      <c r="CC742" s="5"/>
      <c r="CE742" s="40"/>
      <c r="CF742" s="5"/>
      <c r="CH742" s="40"/>
      <c r="CI742" s="5"/>
      <c r="CK742" s="40"/>
      <c r="CL742" s="5"/>
      <c r="CN742" s="40"/>
      <c r="CO742" s="5"/>
      <c r="CQ742" s="40"/>
      <c r="CR742" s="5"/>
    </row>
    <row r="743">
      <c r="AL743" s="40"/>
      <c r="AM743" s="5"/>
      <c r="AO743" s="40"/>
      <c r="AP743" s="5"/>
      <c r="AR743" s="40"/>
      <c r="AS743" s="5"/>
      <c r="AU743" s="40"/>
      <c r="AV743" s="5"/>
      <c r="AX743" s="40"/>
      <c r="AY743" s="5"/>
      <c r="BA743" s="40"/>
      <c r="BB743" s="5"/>
      <c r="BD743" s="40"/>
      <c r="BE743" s="5"/>
      <c r="BG743" s="40"/>
      <c r="BH743" s="5"/>
      <c r="BJ743" s="40"/>
      <c r="BK743" s="5"/>
      <c r="BM743" s="40"/>
      <c r="BN743" s="5"/>
      <c r="BP743" s="40"/>
      <c r="BQ743" s="5"/>
      <c r="BS743" s="40"/>
      <c r="BT743" s="5"/>
      <c r="BV743" s="40"/>
      <c r="BW743" s="5"/>
      <c r="BY743" s="40"/>
      <c r="BZ743" s="5"/>
      <c r="CB743" s="40"/>
      <c r="CC743" s="5"/>
      <c r="CE743" s="40"/>
      <c r="CF743" s="5"/>
      <c r="CH743" s="40"/>
      <c r="CI743" s="5"/>
      <c r="CK743" s="40"/>
      <c r="CL743" s="5"/>
      <c r="CN743" s="40"/>
      <c r="CO743" s="5"/>
      <c r="CQ743" s="40"/>
      <c r="CR743" s="5"/>
    </row>
    <row r="744">
      <c r="AL744" s="40"/>
      <c r="AM744" s="5"/>
      <c r="AO744" s="40"/>
      <c r="AP744" s="5"/>
      <c r="AR744" s="40"/>
      <c r="AS744" s="5"/>
      <c r="AU744" s="40"/>
      <c r="AV744" s="5"/>
      <c r="AX744" s="40"/>
      <c r="AY744" s="5"/>
      <c r="BA744" s="40"/>
      <c r="BB744" s="5"/>
      <c r="BD744" s="40"/>
      <c r="BE744" s="5"/>
      <c r="BG744" s="40"/>
      <c r="BH744" s="5"/>
      <c r="BJ744" s="40"/>
      <c r="BK744" s="5"/>
      <c r="BM744" s="40"/>
      <c r="BN744" s="5"/>
      <c r="BP744" s="40"/>
      <c r="BQ744" s="5"/>
      <c r="BS744" s="40"/>
      <c r="BT744" s="5"/>
      <c r="BV744" s="40"/>
      <c r="BW744" s="5"/>
      <c r="BY744" s="40"/>
      <c r="BZ744" s="5"/>
      <c r="CB744" s="40"/>
      <c r="CC744" s="5"/>
      <c r="CE744" s="40"/>
      <c r="CF744" s="5"/>
      <c r="CH744" s="40"/>
      <c r="CI744" s="5"/>
      <c r="CK744" s="40"/>
      <c r="CL744" s="5"/>
      <c r="CN744" s="40"/>
      <c r="CO744" s="5"/>
      <c r="CQ744" s="40"/>
      <c r="CR744" s="5"/>
    </row>
    <row r="745">
      <c r="AL745" s="40"/>
      <c r="AM745" s="5"/>
      <c r="AO745" s="40"/>
      <c r="AP745" s="5"/>
      <c r="AR745" s="40"/>
      <c r="AS745" s="5"/>
      <c r="AU745" s="40"/>
      <c r="AV745" s="5"/>
      <c r="AX745" s="40"/>
      <c r="AY745" s="5"/>
      <c r="BA745" s="40"/>
      <c r="BB745" s="5"/>
      <c r="BD745" s="40"/>
      <c r="BE745" s="5"/>
      <c r="BG745" s="40"/>
      <c r="BH745" s="5"/>
      <c r="BJ745" s="40"/>
      <c r="BK745" s="5"/>
      <c r="BM745" s="40"/>
      <c r="BN745" s="5"/>
      <c r="BP745" s="40"/>
      <c r="BQ745" s="5"/>
      <c r="BS745" s="40"/>
      <c r="BT745" s="5"/>
      <c r="BV745" s="40"/>
      <c r="BW745" s="5"/>
      <c r="BY745" s="40"/>
      <c r="BZ745" s="5"/>
      <c r="CB745" s="40"/>
      <c r="CC745" s="5"/>
      <c r="CE745" s="40"/>
      <c r="CF745" s="5"/>
      <c r="CH745" s="40"/>
      <c r="CI745" s="5"/>
      <c r="CK745" s="40"/>
      <c r="CL745" s="5"/>
      <c r="CN745" s="40"/>
      <c r="CO745" s="5"/>
      <c r="CQ745" s="40"/>
      <c r="CR745" s="5"/>
    </row>
    <row r="746">
      <c r="AL746" s="40"/>
      <c r="AM746" s="5"/>
      <c r="AO746" s="40"/>
      <c r="AP746" s="5"/>
      <c r="AR746" s="40"/>
      <c r="AS746" s="5"/>
      <c r="AU746" s="40"/>
      <c r="AV746" s="5"/>
      <c r="AX746" s="40"/>
      <c r="AY746" s="5"/>
      <c r="BA746" s="40"/>
      <c r="BB746" s="5"/>
      <c r="BD746" s="40"/>
      <c r="BE746" s="5"/>
      <c r="BG746" s="40"/>
      <c r="BH746" s="5"/>
      <c r="BJ746" s="40"/>
      <c r="BK746" s="5"/>
      <c r="BM746" s="40"/>
      <c r="BN746" s="5"/>
      <c r="BP746" s="40"/>
      <c r="BQ746" s="5"/>
      <c r="BS746" s="40"/>
      <c r="BT746" s="5"/>
      <c r="BV746" s="40"/>
      <c r="BW746" s="5"/>
      <c r="BY746" s="40"/>
      <c r="BZ746" s="5"/>
      <c r="CB746" s="40"/>
      <c r="CC746" s="5"/>
      <c r="CE746" s="40"/>
      <c r="CF746" s="5"/>
      <c r="CH746" s="40"/>
      <c r="CI746" s="5"/>
      <c r="CK746" s="40"/>
      <c r="CL746" s="5"/>
      <c r="CN746" s="40"/>
      <c r="CO746" s="5"/>
      <c r="CQ746" s="40"/>
      <c r="CR746" s="5"/>
    </row>
    <row r="747">
      <c r="AL747" s="40"/>
      <c r="AM747" s="5"/>
      <c r="AO747" s="40"/>
      <c r="AP747" s="5"/>
      <c r="AR747" s="40"/>
      <c r="AS747" s="5"/>
      <c r="AU747" s="40"/>
      <c r="AV747" s="5"/>
      <c r="AX747" s="40"/>
      <c r="AY747" s="5"/>
      <c r="BA747" s="40"/>
      <c r="BB747" s="5"/>
      <c r="BD747" s="40"/>
      <c r="BE747" s="5"/>
      <c r="BG747" s="40"/>
      <c r="BH747" s="5"/>
      <c r="BJ747" s="40"/>
      <c r="BK747" s="5"/>
      <c r="BM747" s="40"/>
      <c r="BN747" s="5"/>
      <c r="BP747" s="40"/>
      <c r="BQ747" s="5"/>
      <c r="BS747" s="40"/>
      <c r="BT747" s="5"/>
      <c r="BV747" s="40"/>
      <c r="BW747" s="5"/>
      <c r="BY747" s="40"/>
      <c r="BZ747" s="5"/>
      <c r="CB747" s="40"/>
      <c r="CC747" s="5"/>
      <c r="CE747" s="40"/>
      <c r="CF747" s="5"/>
      <c r="CH747" s="40"/>
      <c r="CI747" s="5"/>
      <c r="CK747" s="40"/>
      <c r="CL747" s="5"/>
      <c r="CN747" s="40"/>
      <c r="CO747" s="5"/>
      <c r="CQ747" s="40"/>
      <c r="CR747" s="5"/>
    </row>
    <row r="748">
      <c r="AL748" s="40"/>
      <c r="AM748" s="5"/>
      <c r="AO748" s="40"/>
      <c r="AP748" s="5"/>
      <c r="AR748" s="40"/>
      <c r="AS748" s="5"/>
      <c r="AU748" s="40"/>
      <c r="AV748" s="5"/>
      <c r="AX748" s="40"/>
      <c r="AY748" s="5"/>
      <c r="BA748" s="40"/>
      <c r="BB748" s="5"/>
      <c r="BD748" s="40"/>
      <c r="BE748" s="5"/>
      <c r="BG748" s="40"/>
      <c r="BH748" s="5"/>
      <c r="BJ748" s="40"/>
      <c r="BK748" s="5"/>
      <c r="BM748" s="40"/>
      <c r="BN748" s="5"/>
      <c r="BP748" s="40"/>
      <c r="BQ748" s="5"/>
      <c r="BS748" s="40"/>
      <c r="BT748" s="5"/>
      <c r="BV748" s="40"/>
      <c r="BW748" s="5"/>
      <c r="BY748" s="40"/>
      <c r="BZ748" s="5"/>
      <c r="CB748" s="40"/>
      <c r="CC748" s="5"/>
      <c r="CE748" s="40"/>
      <c r="CF748" s="5"/>
      <c r="CH748" s="40"/>
      <c r="CI748" s="5"/>
      <c r="CK748" s="40"/>
      <c r="CL748" s="5"/>
      <c r="CN748" s="40"/>
      <c r="CO748" s="5"/>
      <c r="CQ748" s="40"/>
      <c r="CR748" s="5"/>
    </row>
    <row r="749">
      <c r="AL749" s="40"/>
      <c r="AM749" s="5"/>
      <c r="AO749" s="40"/>
      <c r="AP749" s="5"/>
      <c r="AR749" s="40"/>
      <c r="AS749" s="5"/>
      <c r="AU749" s="40"/>
      <c r="AV749" s="5"/>
      <c r="AX749" s="40"/>
      <c r="AY749" s="5"/>
      <c r="BA749" s="40"/>
      <c r="BB749" s="5"/>
      <c r="BD749" s="40"/>
      <c r="BE749" s="5"/>
      <c r="BG749" s="40"/>
      <c r="BH749" s="5"/>
      <c r="BJ749" s="40"/>
      <c r="BK749" s="5"/>
      <c r="BM749" s="40"/>
      <c r="BN749" s="5"/>
      <c r="BP749" s="40"/>
      <c r="BQ749" s="5"/>
      <c r="BS749" s="40"/>
      <c r="BT749" s="5"/>
      <c r="BV749" s="40"/>
      <c r="BW749" s="5"/>
      <c r="BY749" s="40"/>
      <c r="BZ749" s="5"/>
      <c r="CB749" s="40"/>
      <c r="CC749" s="5"/>
      <c r="CE749" s="40"/>
      <c r="CF749" s="5"/>
      <c r="CH749" s="40"/>
      <c r="CI749" s="5"/>
      <c r="CK749" s="40"/>
      <c r="CL749" s="5"/>
      <c r="CN749" s="40"/>
      <c r="CO749" s="5"/>
      <c r="CQ749" s="40"/>
      <c r="CR749" s="5"/>
    </row>
    <row r="750">
      <c r="AL750" s="40"/>
      <c r="AM750" s="5"/>
      <c r="AO750" s="40"/>
      <c r="AP750" s="5"/>
      <c r="AR750" s="40"/>
      <c r="AS750" s="5"/>
      <c r="AU750" s="40"/>
      <c r="AV750" s="5"/>
      <c r="AX750" s="40"/>
      <c r="AY750" s="5"/>
      <c r="BA750" s="40"/>
      <c r="BB750" s="5"/>
      <c r="BD750" s="40"/>
      <c r="BE750" s="5"/>
      <c r="BG750" s="40"/>
      <c r="BH750" s="5"/>
      <c r="BJ750" s="40"/>
      <c r="BK750" s="5"/>
      <c r="BM750" s="40"/>
      <c r="BN750" s="5"/>
      <c r="BP750" s="40"/>
      <c r="BQ750" s="5"/>
      <c r="BS750" s="40"/>
      <c r="BT750" s="5"/>
      <c r="BV750" s="40"/>
      <c r="BW750" s="5"/>
      <c r="BY750" s="40"/>
      <c r="BZ750" s="5"/>
      <c r="CB750" s="40"/>
      <c r="CC750" s="5"/>
      <c r="CE750" s="40"/>
      <c r="CF750" s="5"/>
      <c r="CH750" s="40"/>
      <c r="CI750" s="5"/>
      <c r="CK750" s="40"/>
      <c r="CL750" s="5"/>
      <c r="CN750" s="40"/>
      <c r="CO750" s="5"/>
      <c r="CQ750" s="40"/>
      <c r="CR750" s="5"/>
    </row>
    <row r="751">
      <c r="AL751" s="40"/>
      <c r="AM751" s="5"/>
      <c r="AO751" s="40"/>
      <c r="AP751" s="5"/>
      <c r="AR751" s="40"/>
      <c r="AS751" s="5"/>
      <c r="AU751" s="40"/>
      <c r="AV751" s="5"/>
      <c r="AX751" s="40"/>
      <c r="AY751" s="5"/>
      <c r="BA751" s="40"/>
      <c r="BB751" s="5"/>
      <c r="BD751" s="40"/>
      <c r="BE751" s="5"/>
      <c r="BG751" s="40"/>
      <c r="BH751" s="5"/>
      <c r="BJ751" s="40"/>
      <c r="BK751" s="5"/>
      <c r="BM751" s="40"/>
      <c r="BN751" s="5"/>
      <c r="BP751" s="40"/>
      <c r="BQ751" s="5"/>
      <c r="BS751" s="40"/>
      <c r="BT751" s="5"/>
      <c r="BV751" s="40"/>
      <c r="BW751" s="5"/>
      <c r="BY751" s="40"/>
      <c r="BZ751" s="5"/>
      <c r="CB751" s="40"/>
      <c r="CC751" s="5"/>
      <c r="CE751" s="40"/>
      <c r="CF751" s="5"/>
      <c r="CH751" s="40"/>
      <c r="CI751" s="5"/>
      <c r="CK751" s="40"/>
      <c r="CL751" s="5"/>
      <c r="CN751" s="40"/>
      <c r="CO751" s="5"/>
      <c r="CQ751" s="40"/>
      <c r="CR751" s="5"/>
    </row>
    <row r="752">
      <c r="AL752" s="40"/>
      <c r="AM752" s="5"/>
      <c r="AO752" s="40"/>
      <c r="AP752" s="5"/>
      <c r="AR752" s="40"/>
      <c r="AS752" s="5"/>
      <c r="AU752" s="40"/>
      <c r="AV752" s="5"/>
      <c r="AX752" s="40"/>
      <c r="AY752" s="5"/>
      <c r="BA752" s="40"/>
      <c r="BB752" s="5"/>
      <c r="BD752" s="40"/>
      <c r="BE752" s="5"/>
      <c r="BG752" s="40"/>
      <c r="BH752" s="5"/>
      <c r="BJ752" s="40"/>
      <c r="BK752" s="5"/>
      <c r="BM752" s="40"/>
      <c r="BN752" s="5"/>
      <c r="BP752" s="40"/>
      <c r="BQ752" s="5"/>
      <c r="BS752" s="40"/>
      <c r="BT752" s="5"/>
      <c r="BV752" s="40"/>
      <c r="BW752" s="5"/>
      <c r="BY752" s="40"/>
      <c r="BZ752" s="5"/>
      <c r="CB752" s="40"/>
      <c r="CC752" s="5"/>
      <c r="CE752" s="40"/>
      <c r="CF752" s="5"/>
      <c r="CH752" s="40"/>
      <c r="CI752" s="5"/>
      <c r="CK752" s="40"/>
      <c r="CL752" s="5"/>
      <c r="CN752" s="40"/>
      <c r="CO752" s="5"/>
      <c r="CQ752" s="40"/>
      <c r="CR752" s="5"/>
    </row>
    <row r="753">
      <c r="AL753" s="40"/>
      <c r="AM753" s="5"/>
      <c r="AO753" s="40"/>
      <c r="AP753" s="5"/>
      <c r="AR753" s="40"/>
      <c r="AS753" s="5"/>
      <c r="AU753" s="40"/>
      <c r="AV753" s="5"/>
      <c r="AX753" s="40"/>
      <c r="AY753" s="5"/>
      <c r="BA753" s="40"/>
      <c r="BB753" s="5"/>
      <c r="BD753" s="40"/>
      <c r="BE753" s="5"/>
      <c r="BG753" s="40"/>
      <c r="BH753" s="5"/>
      <c r="BJ753" s="40"/>
      <c r="BK753" s="5"/>
      <c r="BM753" s="40"/>
      <c r="BN753" s="5"/>
      <c r="BP753" s="40"/>
      <c r="BQ753" s="5"/>
      <c r="BS753" s="40"/>
      <c r="BT753" s="5"/>
      <c r="BV753" s="40"/>
      <c r="BW753" s="5"/>
      <c r="BY753" s="40"/>
      <c r="BZ753" s="5"/>
      <c r="CB753" s="40"/>
      <c r="CC753" s="5"/>
      <c r="CE753" s="40"/>
      <c r="CF753" s="5"/>
      <c r="CH753" s="40"/>
      <c r="CI753" s="5"/>
      <c r="CK753" s="40"/>
      <c r="CL753" s="5"/>
      <c r="CN753" s="40"/>
      <c r="CO753" s="5"/>
      <c r="CQ753" s="40"/>
      <c r="CR753" s="5"/>
    </row>
    <row r="754">
      <c r="AL754" s="40"/>
      <c r="AM754" s="5"/>
      <c r="AO754" s="40"/>
      <c r="AP754" s="5"/>
      <c r="AR754" s="40"/>
      <c r="AS754" s="5"/>
      <c r="AU754" s="40"/>
      <c r="AV754" s="5"/>
      <c r="AX754" s="40"/>
      <c r="AY754" s="5"/>
      <c r="BA754" s="40"/>
      <c r="BB754" s="5"/>
      <c r="BD754" s="40"/>
      <c r="BE754" s="5"/>
      <c r="BG754" s="40"/>
      <c r="BH754" s="5"/>
      <c r="BJ754" s="40"/>
      <c r="BK754" s="5"/>
      <c r="BM754" s="40"/>
      <c r="BN754" s="5"/>
      <c r="BP754" s="40"/>
      <c r="BQ754" s="5"/>
      <c r="BS754" s="40"/>
      <c r="BT754" s="5"/>
      <c r="BV754" s="40"/>
      <c r="BW754" s="5"/>
      <c r="BY754" s="40"/>
      <c r="BZ754" s="5"/>
      <c r="CB754" s="40"/>
      <c r="CC754" s="5"/>
      <c r="CE754" s="40"/>
      <c r="CF754" s="5"/>
      <c r="CH754" s="40"/>
      <c r="CI754" s="5"/>
      <c r="CK754" s="40"/>
      <c r="CL754" s="5"/>
      <c r="CN754" s="40"/>
      <c r="CO754" s="5"/>
      <c r="CQ754" s="40"/>
      <c r="CR754" s="5"/>
    </row>
    <row r="755">
      <c r="AL755" s="40"/>
      <c r="AM755" s="5"/>
      <c r="AO755" s="40"/>
      <c r="AP755" s="5"/>
      <c r="AR755" s="40"/>
      <c r="AS755" s="5"/>
      <c r="AU755" s="40"/>
      <c r="AV755" s="5"/>
      <c r="AX755" s="40"/>
      <c r="AY755" s="5"/>
      <c r="BA755" s="40"/>
      <c r="BB755" s="5"/>
      <c r="BD755" s="40"/>
      <c r="BE755" s="5"/>
      <c r="BG755" s="40"/>
      <c r="BH755" s="5"/>
      <c r="BJ755" s="40"/>
      <c r="BK755" s="5"/>
      <c r="BM755" s="40"/>
      <c r="BN755" s="5"/>
      <c r="BP755" s="40"/>
      <c r="BQ755" s="5"/>
      <c r="BS755" s="40"/>
      <c r="BT755" s="5"/>
      <c r="BV755" s="40"/>
      <c r="BW755" s="5"/>
      <c r="BY755" s="40"/>
      <c r="BZ755" s="5"/>
      <c r="CB755" s="40"/>
      <c r="CC755" s="5"/>
      <c r="CE755" s="40"/>
      <c r="CF755" s="5"/>
      <c r="CH755" s="40"/>
      <c r="CI755" s="5"/>
      <c r="CK755" s="40"/>
      <c r="CL755" s="5"/>
      <c r="CN755" s="40"/>
      <c r="CO755" s="5"/>
      <c r="CQ755" s="40"/>
      <c r="CR755" s="5"/>
    </row>
    <row r="756">
      <c r="AL756" s="40"/>
      <c r="AM756" s="5"/>
      <c r="AO756" s="40"/>
      <c r="AP756" s="5"/>
      <c r="AR756" s="40"/>
      <c r="AS756" s="5"/>
      <c r="AU756" s="40"/>
      <c r="AV756" s="5"/>
      <c r="AX756" s="40"/>
      <c r="AY756" s="5"/>
      <c r="BA756" s="40"/>
      <c r="BB756" s="5"/>
      <c r="BD756" s="40"/>
      <c r="BE756" s="5"/>
      <c r="BG756" s="40"/>
      <c r="BH756" s="5"/>
      <c r="BJ756" s="40"/>
      <c r="BK756" s="5"/>
      <c r="BM756" s="40"/>
      <c r="BN756" s="5"/>
      <c r="BP756" s="40"/>
      <c r="BQ756" s="5"/>
      <c r="BS756" s="40"/>
      <c r="BT756" s="5"/>
      <c r="BV756" s="40"/>
      <c r="BW756" s="5"/>
      <c r="BY756" s="40"/>
      <c r="BZ756" s="5"/>
      <c r="CB756" s="40"/>
      <c r="CC756" s="5"/>
      <c r="CE756" s="40"/>
      <c r="CF756" s="5"/>
      <c r="CH756" s="40"/>
      <c r="CI756" s="5"/>
      <c r="CK756" s="40"/>
      <c r="CL756" s="5"/>
      <c r="CN756" s="40"/>
      <c r="CO756" s="5"/>
      <c r="CQ756" s="40"/>
      <c r="CR756" s="5"/>
    </row>
    <row r="757">
      <c r="AL757" s="40"/>
      <c r="AM757" s="5"/>
      <c r="AO757" s="40"/>
      <c r="AP757" s="5"/>
      <c r="AR757" s="40"/>
      <c r="AS757" s="5"/>
      <c r="AU757" s="40"/>
      <c r="AV757" s="5"/>
      <c r="AX757" s="40"/>
      <c r="AY757" s="5"/>
      <c r="BA757" s="40"/>
      <c r="BB757" s="5"/>
      <c r="BD757" s="40"/>
      <c r="BE757" s="5"/>
      <c r="BG757" s="40"/>
      <c r="BH757" s="5"/>
      <c r="BJ757" s="40"/>
      <c r="BK757" s="5"/>
      <c r="BM757" s="40"/>
      <c r="BN757" s="5"/>
      <c r="BP757" s="40"/>
      <c r="BQ757" s="5"/>
      <c r="BS757" s="40"/>
      <c r="BT757" s="5"/>
      <c r="BV757" s="40"/>
      <c r="BW757" s="5"/>
      <c r="BY757" s="40"/>
      <c r="BZ757" s="5"/>
      <c r="CB757" s="40"/>
      <c r="CC757" s="5"/>
      <c r="CE757" s="40"/>
      <c r="CF757" s="5"/>
      <c r="CH757" s="40"/>
      <c r="CI757" s="5"/>
      <c r="CK757" s="40"/>
      <c r="CL757" s="5"/>
      <c r="CN757" s="40"/>
      <c r="CO757" s="5"/>
      <c r="CQ757" s="40"/>
      <c r="CR757" s="5"/>
    </row>
    <row r="758">
      <c r="AL758" s="40"/>
      <c r="AM758" s="5"/>
      <c r="AO758" s="40"/>
      <c r="AP758" s="5"/>
      <c r="AR758" s="40"/>
      <c r="AS758" s="5"/>
      <c r="AU758" s="40"/>
      <c r="AV758" s="5"/>
      <c r="AX758" s="40"/>
      <c r="AY758" s="5"/>
      <c r="BA758" s="40"/>
      <c r="BB758" s="5"/>
      <c r="BD758" s="40"/>
      <c r="BE758" s="5"/>
      <c r="BG758" s="40"/>
      <c r="BH758" s="5"/>
      <c r="BJ758" s="40"/>
      <c r="BK758" s="5"/>
      <c r="BM758" s="40"/>
      <c r="BN758" s="5"/>
      <c r="BP758" s="40"/>
      <c r="BQ758" s="5"/>
      <c r="BS758" s="40"/>
      <c r="BT758" s="5"/>
      <c r="BV758" s="40"/>
      <c r="BW758" s="5"/>
      <c r="BY758" s="40"/>
      <c r="BZ758" s="5"/>
      <c r="CB758" s="40"/>
      <c r="CC758" s="5"/>
      <c r="CE758" s="40"/>
      <c r="CF758" s="5"/>
      <c r="CH758" s="40"/>
      <c r="CI758" s="5"/>
      <c r="CK758" s="40"/>
      <c r="CL758" s="5"/>
      <c r="CN758" s="40"/>
      <c r="CO758" s="5"/>
      <c r="CQ758" s="40"/>
      <c r="CR758" s="5"/>
    </row>
    <row r="759">
      <c r="AL759" s="40"/>
      <c r="AM759" s="5"/>
      <c r="AO759" s="40"/>
      <c r="AP759" s="5"/>
      <c r="AR759" s="40"/>
      <c r="AS759" s="5"/>
      <c r="AU759" s="40"/>
      <c r="AV759" s="5"/>
      <c r="AX759" s="40"/>
      <c r="AY759" s="5"/>
      <c r="BA759" s="40"/>
      <c r="BB759" s="5"/>
      <c r="BD759" s="40"/>
      <c r="BE759" s="5"/>
      <c r="BG759" s="40"/>
      <c r="BH759" s="5"/>
      <c r="BJ759" s="40"/>
      <c r="BK759" s="5"/>
      <c r="BM759" s="40"/>
      <c r="BN759" s="5"/>
      <c r="BP759" s="40"/>
      <c r="BQ759" s="5"/>
      <c r="BS759" s="40"/>
      <c r="BT759" s="5"/>
      <c r="BV759" s="40"/>
      <c r="BW759" s="5"/>
      <c r="BY759" s="40"/>
      <c r="BZ759" s="5"/>
      <c r="CB759" s="40"/>
      <c r="CC759" s="5"/>
      <c r="CE759" s="40"/>
      <c r="CF759" s="5"/>
      <c r="CH759" s="40"/>
      <c r="CI759" s="5"/>
      <c r="CK759" s="40"/>
      <c r="CL759" s="5"/>
      <c r="CN759" s="40"/>
      <c r="CO759" s="5"/>
      <c r="CQ759" s="40"/>
      <c r="CR759" s="5"/>
    </row>
    <row r="760">
      <c r="AL760" s="40"/>
      <c r="AM760" s="5"/>
      <c r="AO760" s="40"/>
      <c r="AP760" s="5"/>
      <c r="AR760" s="40"/>
      <c r="AS760" s="5"/>
      <c r="AU760" s="40"/>
      <c r="AV760" s="5"/>
      <c r="AX760" s="40"/>
      <c r="AY760" s="5"/>
      <c r="BA760" s="40"/>
      <c r="BB760" s="5"/>
      <c r="BD760" s="40"/>
      <c r="BE760" s="5"/>
      <c r="BG760" s="40"/>
      <c r="BH760" s="5"/>
      <c r="BJ760" s="40"/>
      <c r="BK760" s="5"/>
      <c r="BM760" s="40"/>
      <c r="BN760" s="5"/>
      <c r="BP760" s="40"/>
      <c r="BQ760" s="5"/>
      <c r="BS760" s="40"/>
      <c r="BT760" s="5"/>
      <c r="BV760" s="40"/>
      <c r="BW760" s="5"/>
      <c r="BY760" s="40"/>
      <c r="BZ760" s="5"/>
      <c r="CB760" s="40"/>
      <c r="CC760" s="5"/>
      <c r="CE760" s="40"/>
      <c r="CF760" s="5"/>
      <c r="CH760" s="40"/>
      <c r="CI760" s="5"/>
      <c r="CK760" s="40"/>
      <c r="CL760" s="5"/>
      <c r="CN760" s="40"/>
      <c r="CO760" s="5"/>
      <c r="CQ760" s="40"/>
      <c r="CR760" s="5"/>
    </row>
    <row r="761">
      <c r="AL761" s="40"/>
      <c r="AM761" s="5"/>
      <c r="AO761" s="40"/>
      <c r="AP761" s="5"/>
      <c r="AR761" s="40"/>
      <c r="AS761" s="5"/>
      <c r="AU761" s="40"/>
      <c r="AV761" s="5"/>
      <c r="AX761" s="40"/>
      <c r="AY761" s="5"/>
      <c r="BA761" s="40"/>
      <c r="BB761" s="5"/>
      <c r="BD761" s="40"/>
      <c r="BE761" s="5"/>
      <c r="BG761" s="40"/>
      <c r="BH761" s="5"/>
      <c r="BJ761" s="40"/>
      <c r="BK761" s="5"/>
      <c r="BM761" s="40"/>
      <c r="BN761" s="5"/>
      <c r="BP761" s="40"/>
      <c r="BQ761" s="5"/>
      <c r="BS761" s="40"/>
      <c r="BT761" s="5"/>
      <c r="BV761" s="40"/>
      <c r="BW761" s="5"/>
      <c r="BY761" s="40"/>
      <c r="BZ761" s="5"/>
      <c r="CB761" s="40"/>
      <c r="CC761" s="5"/>
      <c r="CE761" s="40"/>
      <c r="CF761" s="5"/>
      <c r="CH761" s="40"/>
      <c r="CI761" s="5"/>
      <c r="CK761" s="40"/>
      <c r="CL761" s="5"/>
      <c r="CN761" s="40"/>
      <c r="CO761" s="5"/>
      <c r="CQ761" s="40"/>
      <c r="CR761" s="5"/>
    </row>
    <row r="762">
      <c r="AL762" s="40"/>
      <c r="AM762" s="5"/>
      <c r="AO762" s="40"/>
      <c r="AP762" s="5"/>
      <c r="AR762" s="40"/>
      <c r="AS762" s="5"/>
      <c r="AU762" s="40"/>
      <c r="AV762" s="5"/>
      <c r="AX762" s="40"/>
      <c r="AY762" s="5"/>
      <c r="BA762" s="40"/>
      <c r="BB762" s="5"/>
      <c r="BD762" s="40"/>
      <c r="BE762" s="5"/>
      <c r="BG762" s="40"/>
      <c r="BH762" s="5"/>
      <c r="BJ762" s="40"/>
      <c r="BK762" s="5"/>
      <c r="BM762" s="40"/>
      <c r="BN762" s="5"/>
      <c r="BP762" s="40"/>
      <c r="BQ762" s="5"/>
      <c r="BS762" s="40"/>
      <c r="BT762" s="5"/>
      <c r="BV762" s="40"/>
      <c r="BW762" s="5"/>
      <c r="BY762" s="40"/>
      <c r="BZ762" s="5"/>
      <c r="CB762" s="40"/>
      <c r="CC762" s="5"/>
      <c r="CE762" s="40"/>
      <c r="CF762" s="5"/>
      <c r="CH762" s="40"/>
      <c r="CI762" s="5"/>
      <c r="CK762" s="40"/>
      <c r="CL762" s="5"/>
      <c r="CN762" s="40"/>
      <c r="CO762" s="5"/>
      <c r="CQ762" s="40"/>
      <c r="CR762" s="5"/>
    </row>
    <row r="763">
      <c r="AL763" s="40"/>
      <c r="AM763" s="5"/>
      <c r="AO763" s="40"/>
      <c r="AP763" s="5"/>
      <c r="AR763" s="40"/>
      <c r="AS763" s="5"/>
      <c r="AU763" s="40"/>
      <c r="AV763" s="5"/>
      <c r="AX763" s="40"/>
      <c r="AY763" s="5"/>
      <c r="BA763" s="40"/>
      <c r="BB763" s="5"/>
      <c r="BD763" s="40"/>
      <c r="BE763" s="5"/>
      <c r="BG763" s="40"/>
      <c r="BH763" s="5"/>
      <c r="BJ763" s="40"/>
      <c r="BK763" s="5"/>
      <c r="BM763" s="40"/>
      <c r="BN763" s="5"/>
      <c r="BP763" s="40"/>
      <c r="BQ763" s="5"/>
      <c r="BS763" s="40"/>
      <c r="BT763" s="5"/>
      <c r="BV763" s="40"/>
      <c r="BW763" s="5"/>
      <c r="BY763" s="40"/>
      <c r="BZ763" s="5"/>
      <c r="CB763" s="40"/>
      <c r="CC763" s="5"/>
      <c r="CE763" s="40"/>
      <c r="CF763" s="5"/>
      <c r="CH763" s="40"/>
      <c r="CI763" s="5"/>
      <c r="CK763" s="40"/>
      <c r="CL763" s="5"/>
      <c r="CN763" s="40"/>
      <c r="CO763" s="5"/>
      <c r="CQ763" s="40"/>
      <c r="CR763" s="5"/>
    </row>
    <row r="764">
      <c r="AL764" s="40"/>
      <c r="AM764" s="5"/>
      <c r="AO764" s="40"/>
      <c r="AP764" s="5"/>
      <c r="AR764" s="40"/>
      <c r="AS764" s="5"/>
      <c r="AU764" s="40"/>
      <c r="AV764" s="5"/>
      <c r="AX764" s="40"/>
      <c r="AY764" s="5"/>
      <c r="BA764" s="40"/>
      <c r="BB764" s="5"/>
      <c r="BD764" s="40"/>
      <c r="BE764" s="5"/>
      <c r="BG764" s="40"/>
      <c r="BH764" s="5"/>
      <c r="BJ764" s="40"/>
      <c r="BK764" s="5"/>
      <c r="BM764" s="40"/>
      <c r="BN764" s="5"/>
      <c r="BP764" s="40"/>
      <c r="BQ764" s="5"/>
      <c r="BS764" s="40"/>
      <c r="BT764" s="5"/>
      <c r="BV764" s="40"/>
      <c r="BW764" s="5"/>
      <c r="BY764" s="40"/>
      <c r="BZ764" s="5"/>
      <c r="CB764" s="40"/>
      <c r="CC764" s="5"/>
      <c r="CE764" s="40"/>
      <c r="CF764" s="5"/>
      <c r="CH764" s="40"/>
      <c r="CI764" s="5"/>
      <c r="CK764" s="40"/>
      <c r="CL764" s="5"/>
      <c r="CN764" s="40"/>
      <c r="CO764" s="5"/>
      <c r="CQ764" s="40"/>
      <c r="CR764" s="5"/>
    </row>
    <row r="765">
      <c r="AL765" s="40"/>
      <c r="AM765" s="5"/>
      <c r="AO765" s="40"/>
      <c r="AP765" s="5"/>
      <c r="AR765" s="40"/>
      <c r="AS765" s="5"/>
      <c r="AU765" s="40"/>
      <c r="AV765" s="5"/>
      <c r="AX765" s="40"/>
      <c r="AY765" s="5"/>
      <c r="BA765" s="40"/>
      <c r="BB765" s="5"/>
      <c r="BD765" s="40"/>
      <c r="BE765" s="5"/>
      <c r="BG765" s="40"/>
      <c r="BH765" s="5"/>
      <c r="BJ765" s="40"/>
      <c r="BK765" s="5"/>
      <c r="BM765" s="40"/>
      <c r="BN765" s="5"/>
      <c r="BP765" s="40"/>
      <c r="BQ765" s="5"/>
      <c r="BS765" s="40"/>
      <c r="BT765" s="5"/>
      <c r="BV765" s="40"/>
      <c r="BW765" s="5"/>
      <c r="BY765" s="40"/>
      <c r="BZ765" s="5"/>
      <c r="CB765" s="40"/>
      <c r="CC765" s="5"/>
      <c r="CE765" s="40"/>
      <c r="CF765" s="5"/>
      <c r="CH765" s="40"/>
      <c r="CI765" s="5"/>
      <c r="CK765" s="40"/>
      <c r="CL765" s="5"/>
      <c r="CN765" s="40"/>
      <c r="CO765" s="5"/>
      <c r="CQ765" s="40"/>
      <c r="CR765" s="5"/>
    </row>
    <row r="766">
      <c r="AL766" s="40"/>
      <c r="AM766" s="5"/>
      <c r="AO766" s="40"/>
      <c r="AP766" s="5"/>
      <c r="AR766" s="40"/>
      <c r="AS766" s="5"/>
      <c r="AU766" s="40"/>
      <c r="AV766" s="5"/>
      <c r="AX766" s="40"/>
      <c r="AY766" s="5"/>
      <c r="BA766" s="40"/>
      <c r="BB766" s="5"/>
      <c r="BD766" s="40"/>
      <c r="BE766" s="5"/>
      <c r="BG766" s="40"/>
      <c r="BH766" s="5"/>
      <c r="BJ766" s="40"/>
      <c r="BK766" s="5"/>
      <c r="BM766" s="40"/>
      <c r="BN766" s="5"/>
      <c r="BP766" s="40"/>
      <c r="BQ766" s="5"/>
      <c r="BS766" s="40"/>
      <c r="BT766" s="5"/>
      <c r="BV766" s="40"/>
      <c r="BW766" s="5"/>
      <c r="BY766" s="40"/>
      <c r="BZ766" s="5"/>
      <c r="CB766" s="40"/>
      <c r="CC766" s="5"/>
      <c r="CE766" s="40"/>
      <c r="CF766" s="5"/>
      <c r="CH766" s="40"/>
      <c r="CI766" s="5"/>
      <c r="CK766" s="40"/>
      <c r="CL766" s="5"/>
      <c r="CN766" s="40"/>
      <c r="CO766" s="5"/>
      <c r="CQ766" s="40"/>
      <c r="CR766" s="5"/>
    </row>
    <row r="767">
      <c r="AL767" s="40"/>
      <c r="AM767" s="5"/>
      <c r="AO767" s="40"/>
      <c r="AP767" s="5"/>
      <c r="AR767" s="40"/>
      <c r="AS767" s="5"/>
      <c r="AU767" s="40"/>
      <c r="AV767" s="5"/>
      <c r="AX767" s="40"/>
      <c r="AY767" s="5"/>
      <c r="BA767" s="40"/>
      <c r="BB767" s="5"/>
      <c r="BD767" s="40"/>
      <c r="BE767" s="5"/>
      <c r="BG767" s="40"/>
      <c r="BH767" s="5"/>
      <c r="BJ767" s="40"/>
      <c r="BK767" s="5"/>
      <c r="BM767" s="40"/>
      <c r="BN767" s="5"/>
      <c r="BP767" s="40"/>
      <c r="BQ767" s="5"/>
      <c r="BS767" s="40"/>
      <c r="BT767" s="5"/>
      <c r="BV767" s="40"/>
      <c r="BW767" s="5"/>
      <c r="BY767" s="40"/>
      <c r="BZ767" s="5"/>
      <c r="CB767" s="40"/>
      <c r="CC767" s="5"/>
      <c r="CE767" s="40"/>
      <c r="CF767" s="5"/>
      <c r="CH767" s="40"/>
      <c r="CI767" s="5"/>
      <c r="CK767" s="40"/>
      <c r="CL767" s="5"/>
      <c r="CN767" s="40"/>
      <c r="CO767" s="5"/>
      <c r="CQ767" s="40"/>
      <c r="CR767" s="5"/>
    </row>
    <row r="768">
      <c r="AL768" s="40"/>
      <c r="AM768" s="5"/>
      <c r="AO768" s="40"/>
      <c r="AP768" s="5"/>
      <c r="AR768" s="40"/>
      <c r="AS768" s="5"/>
      <c r="AU768" s="40"/>
      <c r="AV768" s="5"/>
      <c r="AX768" s="40"/>
      <c r="AY768" s="5"/>
      <c r="BA768" s="40"/>
      <c r="BB768" s="5"/>
      <c r="BD768" s="40"/>
      <c r="BE768" s="5"/>
      <c r="BG768" s="40"/>
      <c r="BH768" s="5"/>
      <c r="BJ768" s="40"/>
      <c r="BK768" s="5"/>
      <c r="BM768" s="40"/>
      <c r="BN768" s="5"/>
      <c r="BP768" s="40"/>
      <c r="BQ768" s="5"/>
      <c r="BS768" s="40"/>
      <c r="BT768" s="5"/>
      <c r="BV768" s="40"/>
      <c r="BW768" s="5"/>
      <c r="BY768" s="40"/>
      <c r="BZ768" s="5"/>
      <c r="CB768" s="40"/>
      <c r="CC768" s="5"/>
      <c r="CE768" s="40"/>
      <c r="CF768" s="5"/>
      <c r="CH768" s="40"/>
      <c r="CI768" s="5"/>
      <c r="CK768" s="40"/>
      <c r="CL768" s="5"/>
      <c r="CN768" s="40"/>
      <c r="CO768" s="5"/>
      <c r="CQ768" s="40"/>
      <c r="CR768" s="5"/>
    </row>
    <row r="769">
      <c r="AL769" s="40"/>
      <c r="AM769" s="5"/>
      <c r="AO769" s="40"/>
      <c r="AP769" s="5"/>
      <c r="AR769" s="40"/>
      <c r="AS769" s="5"/>
      <c r="AU769" s="40"/>
      <c r="AV769" s="5"/>
      <c r="AX769" s="40"/>
      <c r="AY769" s="5"/>
      <c r="BA769" s="40"/>
      <c r="BB769" s="5"/>
      <c r="BD769" s="40"/>
      <c r="BE769" s="5"/>
      <c r="BG769" s="40"/>
      <c r="BH769" s="5"/>
      <c r="BJ769" s="40"/>
      <c r="BK769" s="5"/>
      <c r="BM769" s="40"/>
      <c r="BN769" s="5"/>
      <c r="BP769" s="40"/>
      <c r="BQ769" s="5"/>
      <c r="BS769" s="40"/>
      <c r="BT769" s="5"/>
      <c r="BV769" s="40"/>
      <c r="BW769" s="5"/>
      <c r="BY769" s="40"/>
      <c r="BZ769" s="5"/>
      <c r="CB769" s="40"/>
      <c r="CC769" s="5"/>
      <c r="CE769" s="40"/>
      <c r="CF769" s="5"/>
      <c r="CH769" s="40"/>
      <c r="CI769" s="5"/>
      <c r="CK769" s="40"/>
      <c r="CL769" s="5"/>
      <c r="CN769" s="40"/>
      <c r="CO769" s="5"/>
      <c r="CQ769" s="40"/>
      <c r="CR769" s="5"/>
    </row>
    <row r="770">
      <c r="AL770" s="40"/>
      <c r="AM770" s="5"/>
      <c r="AO770" s="40"/>
      <c r="AP770" s="5"/>
      <c r="AR770" s="40"/>
      <c r="AS770" s="5"/>
      <c r="AU770" s="40"/>
      <c r="AV770" s="5"/>
      <c r="AX770" s="40"/>
      <c r="AY770" s="5"/>
      <c r="BA770" s="40"/>
      <c r="BB770" s="5"/>
      <c r="BD770" s="40"/>
      <c r="BE770" s="5"/>
      <c r="BG770" s="40"/>
      <c r="BH770" s="5"/>
      <c r="BJ770" s="40"/>
      <c r="BK770" s="5"/>
      <c r="BM770" s="40"/>
      <c r="BN770" s="5"/>
      <c r="BP770" s="40"/>
      <c r="BQ770" s="5"/>
      <c r="BS770" s="40"/>
      <c r="BT770" s="5"/>
      <c r="BV770" s="40"/>
      <c r="BW770" s="5"/>
      <c r="BY770" s="40"/>
      <c r="BZ770" s="5"/>
      <c r="CB770" s="40"/>
      <c r="CC770" s="5"/>
      <c r="CE770" s="40"/>
      <c r="CF770" s="5"/>
      <c r="CH770" s="40"/>
      <c r="CI770" s="5"/>
      <c r="CK770" s="40"/>
      <c r="CL770" s="5"/>
      <c r="CN770" s="40"/>
      <c r="CO770" s="5"/>
      <c r="CQ770" s="40"/>
      <c r="CR770" s="5"/>
    </row>
    <row r="771">
      <c r="AL771" s="40"/>
      <c r="AM771" s="5"/>
      <c r="AO771" s="40"/>
      <c r="AP771" s="5"/>
      <c r="AR771" s="40"/>
      <c r="AS771" s="5"/>
      <c r="AU771" s="40"/>
      <c r="AV771" s="5"/>
      <c r="AX771" s="40"/>
      <c r="AY771" s="5"/>
      <c r="BA771" s="40"/>
      <c r="BB771" s="5"/>
      <c r="BD771" s="40"/>
      <c r="BE771" s="5"/>
      <c r="BG771" s="40"/>
      <c r="BH771" s="5"/>
      <c r="BJ771" s="40"/>
      <c r="BK771" s="5"/>
      <c r="BM771" s="40"/>
      <c r="BN771" s="5"/>
      <c r="BP771" s="40"/>
      <c r="BQ771" s="5"/>
      <c r="BS771" s="40"/>
      <c r="BT771" s="5"/>
      <c r="BV771" s="40"/>
      <c r="BW771" s="5"/>
      <c r="BY771" s="40"/>
      <c r="BZ771" s="5"/>
      <c r="CB771" s="40"/>
      <c r="CC771" s="5"/>
      <c r="CE771" s="40"/>
      <c r="CF771" s="5"/>
      <c r="CH771" s="40"/>
      <c r="CI771" s="5"/>
      <c r="CK771" s="40"/>
      <c r="CL771" s="5"/>
      <c r="CN771" s="40"/>
      <c r="CO771" s="5"/>
      <c r="CQ771" s="40"/>
      <c r="CR771" s="5"/>
    </row>
    <row r="772">
      <c r="AL772" s="40"/>
      <c r="AM772" s="5"/>
      <c r="AO772" s="40"/>
      <c r="AP772" s="5"/>
      <c r="AR772" s="40"/>
      <c r="AS772" s="5"/>
      <c r="AU772" s="40"/>
      <c r="AV772" s="5"/>
      <c r="AX772" s="40"/>
      <c r="AY772" s="5"/>
      <c r="BA772" s="40"/>
      <c r="BB772" s="5"/>
      <c r="BD772" s="40"/>
      <c r="BE772" s="5"/>
      <c r="BG772" s="40"/>
      <c r="BH772" s="5"/>
      <c r="BJ772" s="40"/>
      <c r="BK772" s="5"/>
      <c r="BM772" s="40"/>
      <c r="BN772" s="5"/>
      <c r="BP772" s="40"/>
      <c r="BQ772" s="5"/>
      <c r="BS772" s="40"/>
      <c r="BT772" s="5"/>
      <c r="BV772" s="40"/>
      <c r="BW772" s="5"/>
      <c r="BY772" s="40"/>
      <c r="BZ772" s="5"/>
      <c r="CB772" s="40"/>
      <c r="CC772" s="5"/>
      <c r="CE772" s="40"/>
      <c r="CF772" s="5"/>
      <c r="CH772" s="40"/>
      <c r="CI772" s="5"/>
      <c r="CK772" s="40"/>
      <c r="CL772" s="5"/>
      <c r="CN772" s="40"/>
      <c r="CO772" s="5"/>
      <c r="CQ772" s="40"/>
      <c r="CR772" s="5"/>
    </row>
    <row r="773">
      <c r="AL773" s="40"/>
      <c r="AM773" s="5"/>
      <c r="AO773" s="40"/>
      <c r="AP773" s="5"/>
      <c r="AR773" s="40"/>
      <c r="AS773" s="5"/>
      <c r="AU773" s="40"/>
      <c r="AV773" s="5"/>
      <c r="AX773" s="40"/>
      <c r="AY773" s="5"/>
      <c r="BA773" s="40"/>
      <c r="BB773" s="5"/>
      <c r="BD773" s="40"/>
      <c r="BE773" s="5"/>
      <c r="BG773" s="40"/>
      <c r="BH773" s="5"/>
      <c r="BJ773" s="40"/>
      <c r="BK773" s="5"/>
      <c r="BM773" s="40"/>
      <c r="BN773" s="5"/>
      <c r="BP773" s="40"/>
      <c r="BQ773" s="5"/>
      <c r="BS773" s="40"/>
      <c r="BT773" s="5"/>
      <c r="BV773" s="40"/>
      <c r="BW773" s="5"/>
      <c r="BY773" s="40"/>
      <c r="BZ773" s="5"/>
      <c r="CB773" s="40"/>
      <c r="CC773" s="5"/>
      <c r="CE773" s="40"/>
      <c r="CF773" s="5"/>
      <c r="CH773" s="40"/>
      <c r="CI773" s="5"/>
      <c r="CK773" s="40"/>
      <c r="CL773" s="5"/>
      <c r="CN773" s="40"/>
      <c r="CO773" s="5"/>
      <c r="CQ773" s="40"/>
      <c r="CR773" s="5"/>
    </row>
    <row r="774">
      <c r="AL774" s="40"/>
      <c r="AM774" s="5"/>
      <c r="AO774" s="40"/>
      <c r="AP774" s="5"/>
      <c r="AR774" s="40"/>
      <c r="AS774" s="5"/>
      <c r="AU774" s="40"/>
      <c r="AV774" s="5"/>
      <c r="AX774" s="40"/>
      <c r="AY774" s="5"/>
      <c r="BA774" s="40"/>
      <c r="BB774" s="5"/>
      <c r="BD774" s="40"/>
      <c r="BE774" s="5"/>
      <c r="BG774" s="40"/>
      <c r="BH774" s="5"/>
      <c r="BJ774" s="40"/>
      <c r="BK774" s="5"/>
      <c r="BM774" s="40"/>
      <c r="BN774" s="5"/>
      <c r="BP774" s="40"/>
      <c r="BQ774" s="5"/>
      <c r="BS774" s="40"/>
      <c r="BT774" s="5"/>
      <c r="BV774" s="40"/>
      <c r="BW774" s="5"/>
      <c r="BY774" s="40"/>
      <c r="BZ774" s="5"/>
      <c r="CB774" s="40"/>
      <c r="CC774" s="5"/>
      <c r="CE774" s="40"/>
      <c r="CF774" s="5"/>
      <c r="CH774" s="40"/>
      <c r="CI774" s="5"/>
      <c r="CK774" s="40"/>
      <c r="CL774" s="5"/>
      <c r="CN774" s="40"/>
      <c r="CO774" s="5"/>
      <c r="CQ774" s="40"/>
      <c r="CR774" s="5"/>
    </row>
    <row r="775">
      <c r="AL775" s="40"/>
      <c r="AM775" s="5"/>
      <c r="AO775" s="40"/>
      <c r="AP775" s="5"/>
      <c r="AR775" s="40"/>
      <c r="AS775" s="5"/>
      <c r="AU775" s="40"/>
      <c r="AV775" s="5"/>
      <c r="AX775" s="40"/>
      <c r="AY775" s="5"/>
      <c r="BA775" s="40"/>
      <c r="BB775" s="5"/>
      <c r="BD775" s="40"/>
      <c r="BE775" s="5"/>
      <c r="BG775" s="40"/>
      <c r="BH775" s="5"/>
      <c r="BJ775" s="40"/>
      <c r="BK775" s="5"/>
      <c r="BM775" s="40"/>
      <c r="BN775" s="5"/>
      <c r="BP775" s="40"/>
      <c r="BQ775" s="5"/>
      <c r="BS775" s="40"/>
      <c r="BT775" s="5"/>
      <c r="BV775" s="40"/>
      <c r="BW775" s="5"/>
      <c r="BY775" s="40"/>
      <c r="BZ775" s="5"/>
      <c r="CB775" s="40"/>
      <c r="CC775" s="5"/>
      <c r="CE775" s="40"/>
      <c r="CF775" s="5"/>
      <c r="CH775" s="40"/>
      <c r="CI775" s="5"/>
      <c r="CK775" s="40"/>
      <c r="CL775" s="5"/>
      <c r="CN775" s="40"/>
      <c r="CO775" s="5"/>
      <c r="CQ775" s="40"/>
      <c r="CR775" s="5"/>
    </row>
    <row r="776">
      <c r="AL776" s="40"/>
      <c r="AM776" s="5"/>
      <c r="AO776" s="40"/>
      <c r="AP776" s="5"/>
      <c r="AR776" s="40"/>
      <c r="AS776" s="5"/>
      <c r="AU776" s="40"/>
      <c r="AV776" s="5"/>
      <c r="AX776" s="40"/>
      <c r="AY776" s="5"/>
      <c r="BA776" s="40"/>
      <c r="BB776" s="5"/>
      <c r="BD776" s="40"/>
      <c r="BE776" s="5"/>
      <c r="BG776" s="40"/>
      <c r="BH776" s="5"/>
      <c r="BJ776" s="40"/>
      <c r="BK776" s="5"/>
      <c r="BM776" s="40"/>
      <c r="BN776" s="5"/>
      <c r="BP776" s="40"/>
      <c r="BQ776" s="5"/>
      <c r="BS776" s="40"/>
      <c r="BT776" s="5"/>
      <c r="BV776" s="40"/>
      <c r="BW776" s="5"/>
      <c r="BY776" s="40"/>
      <c r="BZ776" s="5"/>
      <c r="CB776" s="40"/>
      <c r="CC776" s="5"/>
      <c r="CE776" s="40"/>
      <c r="CF776" s="5"/>
      <c r="CH776" s="40"/>
      <c r="CI776" s="5"/>
      <c r="CK776" s="40"/>
      <c r="CL776" s="5"/>
      <c r="CN776" s="40"/>
      <c r="CO776" s="5"/>
      <c r="CQ776" s="40"/>
      <c r="CR776" s="5"/>
    </row>
    <row r="777">
      <c r="AL777" s="40"/>
      <c r="AM777" s="5"/>
      <c r="AO777" s="40"/>
      <c r="AP777" s="5"/>
      <c r="AR777" s="40"/>
      <c r="AS777" s="5"/>
      <c r="AU777" s="40"/>
      <c r="AV777" s="5"/>
      <c r="AX777" s="40"/>
      <c r="AY777" s="5"/>
      <c r="BA777" s="40"/>
      <c r="BB777" s="5"/>
      <c r="BD777" s="40"/>
      <c r="BE777" s="5"/>
      <c r="BG777" s="40"/>
      <c r="BH777" s="5"/>
      <c r="BJ777" s="40"/>
      <c r="BK777" s="5"/>
      <c r="BM777" s="40"/>
      <c r="BN777" s="5"/>
      <c r="BP777" s="40"/>
      <c r="BQ777" s="5"/>
      <c r="BS777" s="40"/>
      <c r="BT777" s="5"/>
      <c r="BV777" s="40"/>
      <c r="BW777" s="5"/>
      <c r="BY777" s="40"/>
      <c r="BZ777" s="5"/>
      <c r="CB777" s="40"/>
      <c r="CC777" s="5"/>
      <c r="CE777" s="40"/>
      <c r="CF777" s="5"/>
      <c r="CH777" s="40"/>
      <c r="CI777" s="5"/>
      <c r="CK777" s="40"/>
      <c r="CL777" s="5"/>
      <c r="CN777" s="40"/>
      <c r="CO777" s="5"/>
      <c r="CQ777" s="40"/>
      <c r="CR777" s="5"/>
    </row>
    <row r="778">
      <c r="AL778" s="40"/>
      <c r="AM778" s="5"/>
      <c r="AO778" s="40"/>
      <c r="AP778" s="5"/>
      <c r="AR778" s="40"/>
      <c r="AS778" s="5"/>
      <c r="AU778" s="40"/>
      <c r="AV778" s="5"/>
      <c r="AX778" s="40"/>
      <c r="AY778" s="5"/>
      <c r="BA778" s="40"/>
      <c r="BB778" s="5"/>
      <c r="BD778" s="40"/>
      <c r="BE778" s="5"/>
      <c r="BG778" s="40"/>
      <c r="BH778" s="5"/>
      <c r="BJ778" s="40"/>
      <c r="BK778" s="5"/>
      <c r="BM778" s="40"/>
      <c r="BN778" s="5"/>
      <c r="BP778" s="40"/>
      <c r="BQ778" s="5"/>
      <c r="BS778" s="40"/>
      <c r="BT778" s="5"/>
      <c r="BV778" s="40"/>
      <c r="BW778" s="5"/>
      <c r="BY778" s="40"/>
      <c r="BZ778" s="5"/>
      <c r="CB778" s="40"/>
      <c r="CC778" s="5"/>
      <c r="CE778" s="40"/>
      <c r="CF778" s="5"/>
      <c r="CH778" s="40"/>
      <c r="CI778" s="5"/>
      <c r="CK778" s="40"/>
      <c r="CL778" s="5"/>
      <c r="CN778" s="40"/>
      <c r="CO778" s="5"/>
      <c r="CQ778" s="40"/>
      <c r="CR778" s="5"/>
    </row>
    <row r="779">
      <c r="AL779" s="40"/>
      <c r="AM779" s="5"/>
      <c r="AO779" s="40"/>
      <c r="AP779" s="5"/>
      <c r="AR779" s="40"/>
      <c r="AS779" s="5"/>
      <c r="AU779" s="40"/>
      <c r="AV779" s="5"/>
      <c r="AX779" s="40"/>
      <c r="AY779" s="5"/>
      <c r="BA779" s="40"/>
      <c r="BB779" s="5"/>
      <c r="BD779" s="40"/>
      <c r="BE779" s="5"/>
      <c r="BG779" s="40"/>
      <c r="BH779" s="5"/>
      <c r="BJ779" s="40"/>
      <c r="BK779" s="5"/>
      <c r="BM779" s="40"/>
      <c r="BN779" s="5"/>
      <c r="BP779" s="40"/>
      <c r="BQ779" s="5"/>
      <c r="BS779" s="40"/>
      <c r="BT779" s="5"/>
      <c r="BV779" s="40"/>
      <c r="BW779" s="5"/>
      <c r="BY779" s="40"/>
      <c r="BZ779" s="5"/>
      <c r="CB779" s="40"/>
      <c r="CC779" s="5"/>
      <c r="CE779" s="40"/>
      <c r="CF779" s="5"/>
      <c r="CH779" s="40"/>
      <c r="CI779" s="5"/>
      <c r="CK779" s="40"/>
      <c r="CL779" s="5"/>
      <c r="CN779" s="40"/>
      <c r="CO779" s="5"/>
      <c r="CQ779" s="40"/>
      <c r="CR779" s="5"/>
    </row>
    <row r="780">
      <c r="AL780" s="40"/>
      <c r="AM780" s="5"/>
      <c r="AO780" s="40"/>
      <c r="AP780" s="5"/>
      <c r="AR780" s="40"/>
      <c r="AS780" s="5"/>
      <c r="AU780" s="40"/>
      <c r="AV780" s="5"/>
      <c r="AX780" s="40"/>
      <c r="AY780" s="5"/>
      <c r="BA780" s="40"/>
      <c r="BB780" s="5"/>
      <c r="BD780" s="40"/>
      <c r="BE780" s="5"/>
      <c r="BG780" s="40"/>
      <c r="BH780" s="5"/>
      <c r="BJ780" s="40"/>
      <c r="BK780" s="5"/>
      <c r="BM780" s="40"/>
      <c r="BN780" s="5"/>
      <c r="BP780" s="40"/>
      <c r="BQ780" s="5"/>
      <c r="BS780" s="40"/>
      <c r="BT780" s="5"/>
      <c r="BV780" s="40"/>
      <c r="BW780" s="5"/>
      <c r="BY780" s="40"/>
      <c r="BZ780" s="5"/>
      <c r="CB780" s="40"/>
      <c r="CC780" s="5"/>
      <c r="CE780" s="40"/>
      <c r="CF780" s="5"/>
      <c r="CH780" s="40"/>
      <c r="CI780" s="5"/>
      <c r="CK780" s="40"/>
      <c r="CL780" s="5"/>
      <c r="CN780" s="40"/>
      <c r="CO780" s="5"/>
      <c r="CQ780" s="40"/>
      <c r="CR780" s="5"/>
    </row>
    <row r="781">
      <c r="AL781" s="40"/>
      <c r="AM781" s="5"/>
      <c r="AO781" s="40"/>
      <c r="AP781" s="5"/>
      <c r="AR781" s="40"/>
      <c r="AS781" s="5"/>
      <c r="AU781" s="40"/>
      <c r="AV781" s="5"/>
      <c r="AX781" s="40"/>
      <c r="AY781" s="5"/>
      <c r="BA781" s="40"/>
      <c r="BB781" s="5"/>
      <c r="BD781" s="40"/>
      <c r="BE781" s="5"/>
      <c r="BG781" s="40"/>
      <c r="BH781" s="5"/>
      <c r="BJ781" s="40"/>
      <c r="BK781" s="5"/>
      <c r="BM781" s="40"/>
      <c r="BN781" s="5"/>
      <c r="BP781" s="40"/>
      <c r="BQ781" s="5"/>
      <c r="BS781" s="40"/>
      <c r="BT781" s="5"/>
      <c r="BV781" s="40"/>
      <c r="BW781" s="5"/>
      <c r="BY781" s="40"/>
      <c r="BZ781" s="5"/>
      <c r="CB781" s="40"/>
      <c r="CC781" s="5"/>
      <c r="CE781" s="40"/>
      <c r="CF781" s="5"/>
      <c r="CH781" s="40"/>
      <c r="CI781" s="5"/>
      <c r="CK781" s="40"/>
      <c r="CL781" s="5"/>
      <c r="CN781" s="40"/>
      <c r="CO781" s="5"/>
      <c r="CQ781" s="40"/>
      <c r="CR781" s="5"/>
    </row>
    <row r="782">
      <c r="AL782" s="40"/>
      <c r="AM782" s="5"/>
      <c r="AO782" s="40"/>
      <c r="AP782" s="5"/>
      <c r="AR782" s="40"/>
      <c r="AS782" s="5"/>
      <c r="AU782" s="40"/>
      <c r="AV782" s="5"/>
      <c r="AX782" s="40"/>
      <c r="AY782" s="5"/>
      <c r="BA782" s="40"/>
      <c r="BB782" s="5"/>
      <c r="BD782" s="40"/>
      <c r="BE782" s="5"/>
      <c r="BG782" s="40"/>
      <c r="BH782" s="5"/>
      <c r="BJ782" s="40"/>
      <c r="BK782" s="5"/>
      <c r="BM782" s="40"/>
      <c r="BN782" s="5"/>
      <c r="BP782" s="40"/>
      <c r="BQ782" s="5"/>
      <c r="BS782" s="40"/>
      <c r="BT782" s="5"/>
      <c r="BV782" s="40"/>
      <c r="BW782" s="5"/>
      <c r="BY782" s="40"/>
      <c r="BZ782" s="5"/>
      <c r="CB782" s="40"/>
      <c r="CC782" s="5"/>
      <c r="CE782" s="40"/>
      <c r="CF782" s="5"/>
      <c r="CH782" s="40"/>
      <c r="CI782" s="5"/>
      <c r="CK782" s="40"/>
      <c r="CL782" s="5"/>
      <c r="CN782" s="40"/>
      <c r="CO782" s="5"/>
      <c r="CQ782" s="40"/>
      <c r="CR782" s="5"/>
    </row>
    <row r="783">
      <c r="AL783" s="40"/>
      <c r="AM783" s="5"/>
      <c r="AO783" s="40"/>
      <c r="AP783" s="5"/>
      <c r="AR783" s="40"/>
      <c r="AS783" s="5"/>
      <c r="AU783" s="40"/>
      <c r="AV783" s="5"/>
      <c r="AX783" s="40"/>
      <c r="AY783" s="5"/>
      <c r="BA783" s="40"/>
      <c r="BB783" s="5"/>
      <c r="BD783" s="40"/>
      <c r="BE783" s="5"/>
      <c r="BG783" s="40"/>
      <c r="BH783" s="5"/>
      <c r="BJ783" s="40"/>
      <c r="BK783" s="5"/>
      <c r="BM783" s="40"/>
      <c r="BN783" s="5"/>
      <c r="BP783" s="40"/>
      <c r="BQ783" s="5"/>
      <c r="BS783" s="40"/>
      <c r="BT783" s="5"/>
      <c r="BV783" s="40"/>
      <c r="BW783" s="5"/>
      <c r="BY783" s="40"/>
      <c r="BZ783" s="5"/>
      <c r="CB783" s="40"/>
      <c r="CC783" s="5"/>
      <c r="CE783" s="40"/>
      <c r="CF783" s="5"/>
      <c r="CH783" s="40"/>
      <c r="CI783" s="5"/>
      <c r="CK783" s="40"/>
      <c r="CL783" s="5"/>
      <c r="CN783" s="40"/>
      <c r="CO783" s="5"/>
      <c r="CQ783" s="40"/>
      <c r="CR783" s="5"/>
    </row>
    <row r="784">
      <c r="AL784" s="40"/>
      <c r="AM784" s="5"/>
      <c r="AO784" s="40"/>
      <c r="AP784" s="5"/>
      <c r="AR784" s="40"/>
      <c r="AS784" s="5"/>
      <c r="AU784" s="40"/>
      <c r="AV784" s="5"/>
      <c r="AX784" s="40"/>
      <c r="AY784" s="5"/>
      <c r="BA784" s="40"/>
      <c r="BB784" s="5"/>
      <c r="BD784" s="40"/>
      <c r="BE784" s="5"/>
      <c r="BG784" s="40"/>
      <c r="BH784" s="5"/>
      <c r="BJ784" s="40"/>
      <c r="BK784" s="5"/>
      <c r="BM784" s="40"/>
      <c r="BN784" s="5"/>
      <c r="BP784" s="40"/>
      <c r="BQ784" s="5"/>
      <c r="BS784" s="40"/>
      <c r="BT784" s="5"/>
      <c r="BV784" s="40"/>
      <c r="BW784" s="5"/>
      <c r="BY784" s="40"/>
      <c r="BZ784" s="5"/>
      <c r="CB784" s="40"/>
      <c r="CC784" s="5"/>
      <c r="CE784" s="40"/>
      <c r="CF784" s="5"/>
      <c r="CH784" s="40"/>
      <c r="CI784" s="5"/>
      <c r="CK784" s="40"/>
      <c r="CL784" s="5"/>
      <c r="CN784" s="40"/>
      <c r="CO784" s="5"/>
      <c r="CQ784" s="40"/>
      <c r="CR784" s="5"/>
    </row>
    <row r="785">
      <c r="AL785" s="40"/>
      <c r="AM785" s="5"/>
      <c r="AO785" s="40"/>
      <c r="AP785" s="5"/>
      <c r="AR785" s="40"/>
      <c r="AS785" s="5"/>
      <c r="AU785" s="40"/>
      <c r="AV785" s="5"/>
      <c r="AX785" s="40"/>
      <c r="AY785" s="5"/>
      <c r="BA785" s="40"/>
      <c r="BB785" s="5"/>
      <c r="BD785" s="40"/>
      <c r="BE785" s="5"/>
      <c r="BG785" s="40"/>
      <c r="BH785" s="5"/>
      <c r="BJ785" s="40"/>
      <c r="BK785" s="5"/>
      <c r="BM785" s="40"/>
      <c r="BN785" s="5"/>
      <c r="BP785" s="40"/>
      <c r="BQ785" s="5"/>
      <c r="BS785" s="40"/>
      <c r="BT785" s="5"/>
      <c r="BV785" s="40"/>
      <c r="BW785" s="5"/>
      <c r="BY785" s="40"/>
      <c r="BZ785" s="5"/>
      <c r="CB785" s="40"/>
      <c r="CC785" s="5"/>
      <c r="CE785" s="40"/>
      <c r="CF785" s="5"/>
      <c r="CH785" s="40"/>
      <c r="CI785" s="5"/>
      <c r="CK785" s="40"/>
      <c r="CL785" s="5"/>
      <c r="CN785" s="40"/>
      <c r="CO785" s="5"/>
      <c r="CQ785" s="40"/>
      <c r="CR785" s="5"/>
    </row>
    <row r="786">
      <c r="AL786" s="40"/>
      <c r="AM786" s="5"/>
      <c r="AO786" s="40"/>
      <c r="AP786" s="5"/>
      <c r="AR786" s="40"/>
      <c r="AS786" s="5"/>
      <c r="AU786" s="40"/>
      <c r="AV786" s="5"/>
      <c r="AX786" s="40"/>
      <c r="AY786" s="5"/>
      <c r="BA786" s="40"/>
      <c r="BB786" s="5"/>
      <c r="BD786" s="40"/>
      <c r="BE786" s="5"/>
      <c r="BG786" s="40"/>
      <c r="BH786" s="5"/>
      <c r="BJ786" s="40"/>
      <c r="BK786" s="5"/>
      <c r="BM786" s="40"/>
      <c r="BN786" s="5"/>
      <c r="BP786" s="40"/>
      <c r="BQ786" s="5"/>
      <c r="BS786" s="40"/>
      <c r="BT786" s="5"/>
      <c r="BV786" s="40"/>
      <c r="BW786" s="5"/>
      <c r="BY786" s="40"/>
      <c r="BZ786" s="5"/>
      <c r="CB786" s="40"/>
      <c r="CC786" s="5"/>
      <c r="CE786" s="40"/>
      <c r="CF786" s="5"/>
      <c r="CH786" s="40"/>
      <c r="CI786" s="5"/>
      <c r="CK786" s="40"/>
      <c r="CL786" s="5"/>
      <c r="CN786" s="40"/>
      <c r="CO786" s="5"/>
      <c r="CQ786" s="40"/>
      <c r="CR786" s="5"/>
    </row>
    <row r="787">
      <c r="AL787" s="40"/>
      <c r="AM787" s="5"/>
      <c r="AO787" s="40"/>
      <c r="AP787" s="5"/>
      <c r="AR787" s="40"/>
      <c r="AS787" s="5"/>
      <c r="AU787" s="40"/>
      <c r="AV787" s="5"/>
      <c r="AX787" s="40"/>
      <c r="AY787" s="5"/>
      <c r="BA787" s="40"/>
      <c r="BB787" s="5"/>
      <c r="BD787" s="40"/>
      <c r="BE787" s="5"/>
      <c r="BG787" s="40"/>
      <c r="BH787" s="5"/>
      <c r="BJ787" s="40"/>
      <c r="BK787" s="5"/>
      <c r="BM787" s="40"/>
      <c r="BN787" s="5"/>
      <c r="BP787" s="40"/>
      <c r="BQ787" s="5"/>
      <c r="BS787" s="40"/>
      <c r="BT787" s="5"/>
      <c r="BV787" s="40"/>
      <c r="BW787" s="5"/>
      <c r="BY787" s="40"/>
      <c r="BZ787" s="5"/>
      <c r="CB787" s="40"/>
      <c r="CC787" s="5"/>
      <c r="CE787" s="40"/>
      <c r="CF787" s="5"/>
      <c r="CH787" s="40"/>
      <c r="CI787" s="5"/>
      <c r="CK787" s="40"/>
      <c r="CL787" s="5"/>
      <c r="CN787" s="40"/>
      <c r="CO787" s="5"/>
      <c r="CQ787" s="40"/>
      <c r="CR787" s="5"/>
    </row>
    <row r="788">
      <c r="AL788" s="40"/>
      <c r="AM788" s="5"/>
      <c r="AO788" s="40"/>
      <c r="AP788" s="5"/>
      <c r="AR788" s="40"/>
      <c r="AS788" s="5"/>
      <c r="AU788" s="40"/>
      <c r="AV788" s="5"/>
      <c r="AX788" s="40"/>
      <c r="AY788" s="5"/>
      <c r="BA788" s="40"/>
      <c r="BB788" s="5"/>
      <c r="BD788" s="40"/>
      <c r="BE788" s="5"/>
      <c r="BG788" s="40"/>
      <c r="BH788" s="5"/>
      <c r="BJ788" s="40"/>
      <c r="BK788" s="5"/>
      <c r="BM788" s="40"/>
      <c r="BN788" s="5"/>
      <c r="BP788" s="40"/>
      <c r="BQ788" s="5"/>
      <c r="BS788" s="40"/>
      <c r="BT788" s="5"/>
      <c r="BV788" s="40"/>
      <c r="BW788" s="5"/>
      <c r="BY788" s="40"/>
      <c r="BZ788" s="5"/>
      <c r="CB788" s="40"/>
      <c r="CC788" s="5"/>
      <c r="CE788" s="40"/>
      <c r="CF788" s="5"/>
      <c r="CH788" s="40"/>
      <c r="CI788" s="5"/>
      <c r="CK788" s="40"/>
      <c r="CL788" s="5"/>
      <c r="CN788" s="40"/>
      <c r="CO788" s="5"/>
      <c r="CQ788" s="40"/>
      <c r="CR788" s="5"/>
    </row>
    <row r="789">
      <c r="AL789" s="40"/>
      <c r="AM789" s="5"/>
      <c r="AO789" s="40"/>
      <c r="AP789" s="5"/>
      <c r="AR789" s="40"/>
      <c r="AS789" s="5"/>
      <c r="AU789" s="40"/>
      <c r="AV789" s="5"/>
      <c r="AX789" s="40"/>
      <c r="AY789" s="5"/>
      <c r="BA789" s="40"/>
      <c r="BB789" s="5"/>
      <c r="BD789" s="40"/>
      <c r="BE789" s="5"/>
      <c r="BG789" s="40"/>
      <c r="BH789" s="5"/>
      <c r="BJ789" s="40"/>
      <c r="BK789" s="5"/>
      <c r="BM789" s="40"/>
      <c r="BN789" s="5"/>
      <c r="BP789" s="40"/>
      <c r="BQ789" s="5"/>
      <c r="BS789" s="40"/>
      <c r="BT789" s="5"/>
      <c r="BV789" s="40"/>
      <c r="BW789" s="5"/>
      <c r="BY789" s="40"/>
      <c r="BZ789" s="5"/>
      <c r="CB789" s="40"/>
      <c r="CC789" s="5"/>
      <c r="CE789" s="40"/>
      <c r="CF789" s="5"/>
      <c r="CH789" s="40"/>
      <c r="CI789" s="5"/>
      <c r="CK789" s="40"/>
      <c r="CL789" s="5"/>
      <c r="CN789" s="40"/>
      <c r="CO789" s="5"/>
      <c r="CQ789" s="40"/>
      <c r="CR789" s="5"/>
    </row>
    <row r="790">
      <c r="AL790" s="40"/>
      <c r="AM790" s="5"/>
      <c r="AO790" s="40"/>
      <c r="AP790" s="5"/>
      <c r="AR790" s="40"/>
      <c r="AS790" s="5"/>
      <c r="AU790" s="40"/>
      <c r="AV790" s="5"/>
      <c r="AX790" s="40"/>
      <c r="AY790" s="5"/>
      <c r="BA790" s="40"/>
      <c r="BB790" s="5"/>
      <c r="BD790" s="40"/>
      <c r="BE790" s="5"/>
      <c r="BG790" s="40"/>
      <c r="BH790" s="5"/>
      <c r="BJ790" s="40"/>
      <c r="BK790" s="5"/>
      <c r="BM790" s="40"/>
      <c r="BN790" s="5"/>
      <c r="BP790" s="40"/>
      <c r="BQ790" s="5"/>
      <c r="BS790" s="40"/>
      <c r="BT790" s="5"/>
      <c r="BV790" s="40"/>
      <c r="BW790" s="5"/>
      <c r="BY790" s="40"/>
      <c r="BZ790" s="5"/>
      <c r="CB790" s="40"/>
      <c r="CC790" s="5"/>
      <c r="CE790" s="40"/>
      <c r="CF790" s="5"/>
      <c r="CH790" s="40"/>
      <c r="CI790" s="5"/>
      <c r="CK790" s="40"/>
      <c r="CL790" s="5"/>
      <c r="CN790" s="40"/>
      <c r="CO790" s="5"/>
      <c r="CQ790" s="40"/>
      <c r="CR790" s="5"/>
    </row>
    <row r="791">
      <c r="AL791" s="40"/>
      <c r="AM791" s="5"/>
      <c r="AO791" s="40"/>
      <c r="AP791" s="5"/>
      <c r="AR791" s="40"/>
      <c r="AS791" s="5"/>
      <c r="AU791" s="40"/>
      <c r="AV791" s="5"/>
      <c r="AX791" s="40"/>
      <c r="AY791" s="5"/>
      <c r="BA791" s="40"/>
      <c r="BB791" s="5"/>
      <c r="BD791" s="40"/>
      <c r="BE791" s="5"/>
      <c r="BG791" s="40"/>
      <c r="BH791" s="5"/>
      <c r="BJ791" s="40"/>
      <c r="BK791" s="5"/>
      <c r="BM791" s="40"/>
      <c r="BN791" s="5"/>
      <c r="BP791" s="40"/>
      <c r="BQ791" s="5"/>
      <c r="BS791" s="40"/>
      <c r="BT791" s="5"/>
      <c r="BV791" s="40"/>
      <c r="BW791" s="5"/>
      <c r="BY791" s="40"/>
      <c r="BZ791" s="5"/>
      <c r="CB791" s="40"/>
      <c r="CC791" s="5"/>
      <c r="CE791" s="40"/>
      <c r="CF791" s="5"/>
      <c r="CH791" s="40"/>
      <c r="CI791" s="5"/>
      <c r="CK791" s="40"/>
      <c r="CL791" s="5"/>
      <c r="CN791" s="40"/>
      <c r="CO791" s="5"/>
      <c r="CQ791" s="40"/>
      <c r="CR791" s="5"/>
    </row>
    <row r="792">
      <c r="AL792" s="40"/>
      <c r="AM792" s="5"/>
      <c r="AO792" s="40"/>
      <c r="AP792" s="5"/>
      <c r="AR792" s="40"/>
      <c r="AS792" s="5"/>
      <c r="AU792" s="40"/>
      <c r="AV792" s="5"/>
      <c r="AX792" s="40"/>
      <c r="AY792" s="5"/>
      <c r="BA792" s="40"/>
      <c r="BB792" s="5"/>
      <c r="BD792" s="40"/>
      <c r="BE792" s="5"/>
      <c r="BG792" s="40"/>
      <c r="BH792" s="5"/>
      <c r="BJ792" s="40"/>
      <c r="BK792" s="5"/>
      <c r="BM792" s="40"/>
      <c r="BN792" s="5"/>
      <c r="BP792" s="40"/>
      <c r="BQ792" s="5"/>
      <c r="BS792" s="40"/>
      <c r="BT792" s="5"/>
      <c r="BV792" s="40"/>
      <c r="BW792" s="5"/>
      <c r="BY792" s="40"/>
      <c r="BZ792" s="5"/>
      <c r="CB792" s="40"/>
      <c r="CC792" s="5"/>
      <c r="CE792" s="40"/>
      <c r="CF792" s="5"/>
      <c r="CH792" s="40"/>
      <c r="CI792" s="5"/>
      <c r="CK792" s="40"/>
      <c r="CL792" s="5"/>
      <c r="CN792" s="40"/>
      <c r="CO792" s="5"/>
      <c r="CQ792" s="40"/>
      <c r="CR792" s="5"/>
    </row>
    <row r="793">
      <c r="AL793" s="40"/>
      <c r="AM793" s="5"/>
      <c r="AO793" s="40"/>
      <c r="AP793" s="5"/>
      <c r="AR793" s="40"/>
      <c r="AS793" s="5"/>
      <c r="AU793" s="40"/>
      <c r="AV793" s="5"/>
      <c r="AX793" s="40"/>
      <c r="AY793" s="5"/>
      <c r="BA793" s="40"/>
      <c r="BB793" s="5"/>
      <c r="BD793" s="40"/>
      <c r="BE793" s="5"/>
      <c r="BG793" s="40"/>
      <c r="BH793" s="5"/>
      <c r="BJ793" s="40"/>
      <c r="BK793" s="5"/>
      <c r="BM793" s="40"/>
      <c r="BN793" s="5"/>
      <c r="BP793" s="40"/>
      <c r="BQ793" s="5"/>
      <c r="BS793" s="40"/>
      <c r="BT793" s="5"/>
      <c r="BV793" s="40"/>
      <c r="BW793" s="5"/>
      <c r="BY793" s="40"/>
      <c r="BZ793" s="5"/>
      <c r="CB793" s="40"/>
      <c r="CC793" s="5"/>
      <c r="CE793" s="40"/>
      <c r="CF793" s="5"/>
      <c r="CH793" s="40"/>
      <c r="CI793" s="5"/>
      <c r="CK793" s="40"/>
      <c r="CL793" s="5"/>
      <c r="CN793" s="40"/>
      <c r="CO793" s="5"/>
      <c r="CQ793" s="40"/>
      <c r="CR793" s="5"/>
    </row>
    <row r="794">
      <c r="AL794" s="40"/>
      <c r="AM794" s="5"/>
      <c r="AO794" s="40"/>
      <c r="AP794" s="5"/>
      <c r="AR794" s="40"/>
      <c r="AS794" s="5"/>
      <c r="AU794" s="40"/>
      <c r="AV794" s="5"/>
      <c r="AX794" s="40"/>
      <c r="AY794" s="5"/>
      <c r="BA794" s="40"/>
      <c r="BB794" s="5"/>
      <c r="BD794" s="40"/>
      <c r="BE794" s="5"/>
      <c r="BG794" s="40"/>
      <c r="BH794" s="5"/>
      <c r="BJ794" s="40"/>
      <c r="BK794" s="5"/>
      <c r="BM794" s="40"/>
      <c r="BN794" s="5"/>
      <c r="BP794" s="40"/>
      <c r="BQ794" s="5"/>
      <c r="BS794" s="40"/>
      <c r="BT794" s="5"/>
      <c r="BV794" s="40"/>
      <c r="BW794" s="5"/>
      <c r="BY794" s="40"/>
      <c r="BZ794" s="5"/>
      <c r="CB794" s="40"/>
      <c r="CC794" s="5"/>
      <c r="CE794" s="40"/>
      <c r="CF794" s="5"/>
      <c r="CH794" s="40"/>
      <c r="CI794" s="5"/>
      <c r="CK794" s="40"/>
      <c r="CL794" s="5"/>
      <c r="CN794" s="40"/>
      <c r="CO794" s="5"/>
      <c r="CQ794" s="40"/>
      <c r="CR794" s="5"/>
    </row>
    <row r="795">
      <c r="AL795" s="40"/>
      <c r="AM795" s="5"/>
      <c r="AO795" s="40"/>
      <c r="AP795" s="5"/>
      <c r="AR795" s="40"/>
      <c r="AS795" s="5"/>
      <c r="AU795" s="40"/>
      <c r="AV795" s="5"/>
      <c r="AX795" s="40"/>
      <c r="AY795" s="5"/>
      <c r="BA795" s="40"/>
      <c r="BB795" s="5"/>
      <c r="BD795" s="40"/>
      <c r="BE795" s="5"/>
      <c r="BG795" s="40"/>
      <c r="BH795" s="5"/>
      <c r="BJ795" s="40"/>
      <c r="BK795" s="5"/>
      <c r="BM795" s="40"/>
      <c r="BN795" s="5"/>
      <c r="BP795" s="40"/>
      <c r="BQ795" s="5"/>
      <c r="BS795" s="40"/>
      <c r="BT795" s="5"/>
      <c r="BV795" s="40"/>
      <c r="BW795" s="5"/>
      <c r="BY795" s="40"/>
      <c r="BZ795" s="5"/>
      <c r="CB795" s="40"/>
      <c r="CC795" s="5"/>
      <c r="CE795" s="40"/>
      <c r="CF795" s="5"/>
      <c r="CH795" s="40"/>
      <c r="CI795" s="5"/>
      <c r="CK795" s="40"/>
      <c r="CL795" s="5"/>
      <c r="CN795" s="40"/>
      <c r="CO795" s="5"/>
      <c r="CQ795" s="40"/>
      <c r="CR795" s="5"/>
    </row>
    <row r="796">
      <c r="AL796" s="40"/>
      <c r="AM796" s="5"/>
      <c r="AO796" s="40"/>
      <c r="AP796" s="5"/>
      <c r="AR796" s="40"/>
      <c r="AS796" s="5"/>
      <c r="AU796" s="40"/>
      <c r="AV796" s="5"/>
      <c r="AX796" s="40"/>
      <c r="AY796" s="5"/>
      <c r="BA796" s="40"/>
      <c r="BB796" s="5"/>
      <c r="BD796" s="40"/>
      <c r="BE796" s="5"/>
      <c r="BG796" s="40"/>
      <c r="BH796" s="5"/>
      <c r="BJ796" s="40"/>
      <c r="BK796" s="5"/>
      <c r="BM796" s="40"/>
      <c r="BN796" s="5"/>
      <c r="BP796" s="40"/>
      <c r="BQ796" s="5"/>
      <c r="BS796" s="40"/>
      <c r="BT796" s="5"/>
      <c r="BV796" s="40"/>
      <c r="BW796" s="5"/>
      <c r="BY796" s="40"/>
      <c r="BZ796" s="5"/>
      <c r="CB796" s="40"/>
      <c r="CC796" s="5"/>
      <c r="CE796" s="40"/>
      <c r="CF796" s="5"/>
      <c r="CH796" s="40"/>
      <c r="CI796" s="5"/>
      <c r="CK796" s="40"/>
      <c r="CL796" s="5"/>
      <c r="CN796" s="40"/>
      <c r="CO796" s="5"/>
      <c r="CQ796" s="40"/>
      <c r="CR796" s="5"/>
    </row>
    <row r="797">
      <c r="AL797" s="40"/>
      <c r="AM797" s="5"/>
      <c r="AO797" s="40"/>
      <c r="AP797" s="5"/>
      <c r="AR797" s="40"/>
      <c r="AS797" s="5"/>
      <c r="AU797" s="40"/>
      <c r="AV797" s="5"/>
      <c r="AX797" s="40"/>
      <c r="AY797" s="5"/>
      <c r="BA797" s="40"/>
      <c r="BB797" s="5"/>
      <c r="BD797" s="40"/>
      <c r="BE797" s="5"/>
      <c r="BG797" s="40"/>
      <c r="BH797" s="5"/>
      <c r="BJ797" s="40"/>
      <c r="BK797" s="5"/>
      <c r="BM797" s="40"/>
      <c r="BN797" s="5"/>
      <c r="BP797" s="40"/>
      <c r="BQ797" s="5"/>
      <c r="BS797" s="40"/>
      <c r="BT797" s="5"/>
      <c r="BV797" s="40"/>
      <c r="BW797" s="5"/>
      <c r="BY797" s="40"/>
      <c r="BZ797" s="5"/>
      <c r="CB797" s="40"/>
      <c r="CC797" s="5"/>
      <c r="CE797" s="40"/>
      <c r="CF797" s="5"/>
      <c r="CH797" s="40"/>
      <c r="CI797" s="5"/>
      <c r="CK797" s="40"/>
      <c r="CL797" s="5"/>
      <c r="CN797" s="40"/>
      <c r="CO797" s="5"/>
      <c r="CQ797" s="40"/>
      <c r="CR797" s="5"/>
    </row>
    <row r="798">
      <c r="AL798" s="40"/>
      <c r="AM798" s="5"/>
      <c r="AO798" s="40"/>
      <c r="AP798" s="5"/>
      <c r="AR798" s="40"/>
      <c r="AS798" s="5"/>
      <c r="AU798" s="40"/>
      <c r="AV798" s="5"/>
      <c r="AX798" s="40"/>
      <c r="AY798" s="5"/>
      <c r="BA798" s="40"/>
      <c r="BB798" s="5"/>
      <c r="BD798" s="40"/>
      <c r="BE798" s="5"/>
      <c r="BG798" s="40"/>
      <c r="BH798" s="5"/>
      <c r="BJ798" s="40"/>
      <c r="BK798" s="5"/>
      <c r="BM798" s="40"/>
      <c r="BN798" s="5"/>
      <c r="BP798" s="40"/>
      <c r="BQ798" s="5"/>
      <c r="BS798" s="40"/>
      <c r="BT798" s="5"/>
      <c r="BV798" s="40"/>
      <c r="BW798" s="5"/>
      <c r="BY798" s="40"/>
      <c r="BZ798" s="5"/>
      <c r="CB798" s="40"/>
      <c r="CC798" s="5"/>
      <c r="CE798" s="40"/>
      <c r="CF798" s="5"/>
      <c r="CH798" s="40"/>
      <c r="CI798" s="5"/>
      <c r="CK798" s="40"/>
      <c r="CL798" s="5"/>
      <c r="CN798" s="40"/>
      <c r="CO798" s="5"/>
      <c r="CQ798" s="40"/>
      <c r="CR798" s="5"/>
    </row>
    <row r="799">
      <c r="AL799" s="40"/>
      <c r="AM799" s="5"/>
      <c r="AO799" s="40"/>
      <c r="AP799" s="5"/>
      <c r="AR799" s="40"/>
      <c r="AS799" s="5"/>
      <c r="AU799" s="40"/>
      <c r="AV799" s="5"/>
      <c r="AX799" s="40"/>
      <c r="AY799" s="5"/>
      <c r="BA799" s="40"/>
      <c r="BB799" s="5"/>
      <c r="BD799" s="40"/>
      <c r="BE799" s="5"/>
      <c r="BG799" s="40"/>
      <c r="BH799" s="5"/>
      <c r="BJ799" s="40"/>
      <c r="BK799" s="5"/>
      <c r="BM799" s="40"/>
      <c r="BN799" s="5"/>
      <c r="BP799" s="40"/>
      <c r="BQ799" s="5"/>
      <c r="BS799" s="40"/>
      <c r="BT799" s="5"/>
      <c r="BV799" s="40"/>
      <c r="BW799" s="5"/>
      <c r="BY799" s="40"/>
      <c r="BZ799" s="5"/>
      <c r="CB799" s="40"/>
      <c r="CC799" s="5"/>
      <c r="CE799" s="40"/>
      <c r="CF799" s="5"/>
      <c r="CH799" s="40"/>
      <c r="CI799" s="5"/>
      <c r="CK799" s="40"/>
      <c r="CL799" s="5"/>
      <c r="CN799" s="40"/>
      <c r="CO799" s="5"/>
      <c r="CQ799" s="40"/>
      <c r="CR799" s="5"/>
    </row>
    <row r="800">
      <c r="AL800" s="40"/>
      <c r="AM800" s="5"/>
      <c r="AO800" s="40"/>
      <c r="AP800" s="5"/>
      <c r="AR800" s="40"/>
      <c r="AS800" s="5"/>
      <c r="AU800" s="40"/>
      <c r="AV800" s="5"/>
      <c r="AX800" s="40"/>
      <c r="AY800" s="5"/>
      <c r="BA800" s="40"/>
      <c r="BB800" s="5"/>
      <c r="BD800" s="40"/>
      <c r="BE800" s="5"/>
      <c r="BG800" s="40"/>
      <c r="BH800" s="5"/>
      <c r="BJ800" s="40"/>
      <c r="BK800" s="5"/>
      <c r="BM800" s="40"/>
      <c r="BN800" s="5"/>
      <c r="BP800" s="40"/>
      <c r="BQ800" s="5"/>
      <c r="BS800" s="40"/>
      <c r="BT800" s="5"/>
      <c r="BV800" s="40"/>
      <c r="BW800" s="5"/>
      <c r="BY800" s="40"/>
      <c r="BZ800" s="5"/>
      <c r="CB800" s="40"/>
      <c r="CC800" s="5"/>
      <c r="CE800" s="40"/>
      <c r="CF800" s="5"/>
      <c r="CH800" s="40"/>
      <c r="CI800" s="5"/>
      <c r="CK800" s="40"/>
      <c r="CL800" s="5"/>
      <c r="CN800" s="40"/>
      <c r="CO800" s="5"/>
      <c r="CQ800" s="40"/>
      <c r="CR800" s="5"/>
    </row>
    <row r="801">
      <c r="AL801" s="40"/>
      <c r="AM801" s="5"/>
      <c r="AO801" s="40"/>
      <c r="AP801" s="5"/>
      <c r="AR801" s="40"/>
      <c r="AS801" s="5"/>
      <c r="AU801" s="40"/>
      <c r="AV801" s="5"/>
      <c r="AX801" s="40"/>
      <c r="AY801" s="5"/>
      <c r="BA801" s="40"/>
      <c r="BB801" s="5"/>
      <c r="BD801" s="40"/>
      <c r="BE801" s="5"/>
      <c r="BG801" s="40"/>
      <c r="BH801" s="5"/>
      <c r="BJ801" s="40"/>
      <c r="BK801" s="5"/>
      <c r="BM801" s="40"/>
      <c r="BN801" s="5"/>
      <c r="BP801" s="40"/>
      <c r="BQ801" s="5"/>
      <c r="BS801" s="40"/>
      <c r="BT801" s="5"/>
      <c r="BV801" s="40"/>
      <c r="BW801" s="5"/>
      <c r="BY801" s="40"/>
      <c r="BZ801" s="5"/>
      <c r="CB801" s="40"/>
      <c r="CC801" s="5"/>
      <c r="CE801" s="40"/>
      <c r="CF801" s="5"/>
      <c r="CH801" s="40"/>
      <c r="CI801" s="5"/>
      <c r="CK801" s="40"/>
      <c r="CL801" s="5"/>
      <c r="CN801" s="40"/>
      <c r="CO801" s="5"/>
      <c r="CQ801" s="40"/>
      <c r="CR801" s="5"/>
    </row>
    <row r="802">
      <c r="AL802" s="40"/>
      <c r="AM802" s="5"/>
      <c r="AO802" s="40"/>
      <c r="AP802" s="5"/>
      <c r="AR802" s="40"/>
      <c r="AS802" s="5"/>
      <c r="AU802" s="40"/>
      <c r="AV802" s="5"/>
      <c r="AX802" s="40"/>
      <c r="AY802" s="5"/>
      <c r="BA802" s="40"/>
      <c r="BB802" s="5"/>
      <c r="BD802" s="40"/>
      <c r="BE802" s="5"/>
      <c r="BG802" s="40"/>
      <c r="BH802" s="5"/>
      <c r="BJ802" s="40"/>
      <c r="BK802" s="5"/>
      <c r="BM802" s="40"/>
      <c r="BN802" s="5"/>
      <c r="BP802" s="40"/>
      <c r="BQ802" s="5"/>
      <c r="BS802" s="40"/>
      <c r="BT802" s="5"/>
      <c r="BV802" s="40"/>
      <c r="BW802" s="5"/>
      <c r="BY802" s="40"/>
      <c r="BZ802" s="5"/>
      <c r="CB802" s="40"/>
      <c r="CC802" s="5"/>
      <c r="CE802" s="40"/>
      <c r="CF802" s="5"/>
      <c r="CH802" s="40"/>
      <c r="CI802" s="5"/>
      <c r="CK802" s="40"/>
      <c r="CL802" s="5"/>
      <c r="CN802" s="40"/>
      <c r="CO802" s="5"/>
      <c r="CQ802" s="40"/>
      <c r="CR802" s="5"/>
    </row>
    <row r="803">
      <c r="AL803" s="40"/>
      <c r="AM803" s="5"/>
      <c r="AO803" s="40"/>
      <c r="AP803" s="5"/>
      <c r="AR803" s="40"/>
      <c r="AS803" s="5"/>
      <c r="AU803" s="40"/>
      <c r="AV803" s="5"/>
      <c r="AX803" s="40"/>
      <c r="AY803" s="5"/>
      <c r="BA803" s="40"/>
      <c r="BB803" s="5"/>
      <c r="BD803" s="40"/>
      <c r="BE803" s="5"/>
      <c r="BG803" s="40"/>
      <c r="BH803" s="5"/>
      <c r="BJ803" s="40"/>
      <c r="BK803" s="5"/>
      <c r="BM803" s="40"/>
      <c r="BN803" s="5"/>
      <c r="BP803" s="40"/>
      <c r="BQ803" s="5"/>
      <c r="BS803" s="40"/>
      <c r="BT803" s="5"/>
      <c r="BV803" s="40"/>
      <c r="BW803" s="5"/>
      <c r="BY803" s="40"/>
      <c r="BZ803" s="5"/>
      <c r="CB803" s="40"/>
      <c r="CC803" s="5"/>
      <c r="CE803" s="40"/>
      <c r="CF803" s="5"/>
      <c r="CH803" s="40"/>
      <c r="CI803" s="5"/>
      <c r="CK803" s="40"/>
      <c r="CL803" s="5"/>
      <c r="CN803" s="40"/>
      <c r="CO803" s="5"/>
      <c r="CQ803" s="40"/>
      <c r="CR803" s="5"/>
    </row>
    <row r="804">
      <c r="AL804" s="40"/>
      <c r="AM804" s="5"/>
      <c r="AO804" s="40"/>
      <c r="AP804" s="5"/>
      <c r="AR804" s="40"/>
      <c r="AS804" s="5"/>
      <c r="AU804" s="40"/>
      <c r="AV804" s="5"/>
      <c r="AX804" s="40"/>
      <c r="AY804" s="5"/>
      <c r="BA804" s="40"/>
      <c r="BB804" s="5"/>
      <c r="BD804" s="40"/>
      <c r="BE804" s="5"/>
      <c r="BG804" s="40"/>
      <c r="BH804" s="5"/>
      <c r="BJ804" s="40"/>
      <c r="BK804" s="5"/>
      <c r="BM804" s="40"/>
      <c r="BN804" s="5"/>
      <c r="BP804" s="40"/>
      <c r="BQ804" s="5"/>
      <c r="BS804" s="40"/>
      <c r="BT804" s="5"/>
      <c r="BV804" s="40"/>
      <c r="BW804" s="5"/>
      <c r="BY804" s="40"/>
      <c r="BZ804" s="5"/>
      <c r="CB804" s="40"/>
      <c r="CC804" s="5"/>
      <c r="CE804" s="40"/>
      <c r="CF804" s="5"/>
      <c r="CH804" s="40"/>
      <c r="CI804" s="5"/>
      <c r="CK804" s="40"/>
      <c r="CL804" s="5"/>
      <c r="CN804" s="40"/>
      <c r="CO804" s="5"/>
      <c r="CQ804" s="40"/>
      <c r="CR804" s="5"/>
    </row>
    <row r="805">
      <c r="AL805" s="40"/>
      <c r="AM805" s="5"/>
      <c r="AO805" s="40"/>
      <c r="AP805" s="5"/>
      <c r="AR805" s="40"/>
      <c r="AS805" s="5"/>
      <c r="AU805" s="40"/>
      <c r="AV805" s="5"/>
      <c r="AX805" s="40"/>
      <c r="AY805" s="5"/>
      <c r="BA805" s="40"/>
      <c r="BB805" s="5"/>
      <c r="BD805" s="40"/>
      <c r="BE805" s="5"/>
      <c r="BG805" s="40"/>
      <c r="BH805" s="5"/>
      <c r="BJ805" s="40"/>
      <c r="BK805" s="5"/>
      <c r="BM805" s="40"/>
      <c r="BN805" s="5"/>
      <c r="BP805" s="40"/>
      <c r="BQ805" s="5"/>
      <c r="BS805" s="40"/>
      <c r="BT805" s="5"/>
      <c r="BV805" s="40"/>
      <c r="BW805" s="5"/>
      <c r="BY805" s="40"/>
      <c r="BZ805" s="5"/>
      <c r="CB805" s="40"/>
      <c r="CC805" s="5"/>
      <c r="CE805" s="40"/>
      <c r="CF805" s="5"/>
      <c r="CH805" s="40"/>
      <c r="CI805" s="5"/>
      <c r="CK805" s="40"/>
      <c r="CL805" s="5"/>
      <c r="CN805" s="40"/>
      <c r="CO805" s="5"/>
      <c r="CQ805" s="40"/>
      <c r="CR805" s="5"/>
    </row>
    <row r="806">
      <c r="AL806" s="40"/>
      <c r="AM806" s="5"/>
      <c r="AO806" s="40"/>
      <c r="AP806" s="5"/>
      <c r="AR806" s="40"/>
      <c r="AS806" s="5"/>
      <c r="AU806" s="40"/>
      <c r="AV806" s="5"/>
      <c r="AX806" s="40"/>
      <c r="AY806" s="5"/>
      <c r="BA806" s="40"/>
      <c r="BB806" s="5"/>
      <c r="BD806" s="40"/>
      <c r="BE806" s="5"/>
      <c r="BG806" s="40"/>
      <c r="BH806" s="5"/>
      <c r="BJ806" s="40"/>
      <c r="BK806" s="5"/>
      <c r="BM806" s="40"/>
      <c r="BN806" s="5"/>
      <c r="BP806" s="40"/>
      <c r="BQ806" s="5"/>
      <c r="BS806" s="40"/>
      <c r="BT806" s="5"/>
      <c r="BV806" s="40"/>
      <c r="BW806" s="5"/>
      <c r="BY806" s="40"/>
      <c r="BZ806" s="5"/>
      <c r="CB806" s="40"/>
      <c r="CC806" s="5"/>
      <c r="CE806" s="40"/>
      <c r="CF806" s="5"/>
      <c r="CH806" s="40"/>
      <c r="CI806" s="5"/>
      <c r="CK806" s="40"/>
      <c r="CL806" s="5"/>
      <c r="CN806" s="40"/>
      <c r="CO806" s="5"/>
      <c r="CQ806" s="40"/>
      <c r="CR806" s="5"/>
    </row>
    <row r="807">
      <c r="AL807" s="40"/>
      <c r="AM807" s="5"/>
      <c r="AO807" s="40"/>
      <c r="AP807" s="5"/>
      <c r="AR807" s="40"/>
      <c r="AS807" s="5"/>
      <c r="AU807" s="40"/>
      <c r="AV807" s="5"/>
      <c r="AX807" s="40"/>
      <c r="AY807" s="5"/>
      <c r="BA807" s="40"/>
      <c r="BB807" s="5"/>
      <c r="BD807" s="40"/>
      <c r="BE807" s="5"/>
      <c r="BG807" s="40"/>
      <c r="BH807" s="5"/>
      <c r="BJ807" s="40"/>
      <c r="BK807" s="5"/>
      <c r="BM807" s="40"/>
      <c r="BN807" s="5"/>
      <c r="BP807" s="40"/>
      <c r="BQ807" s="5"/>
      <c r="BS807" s="40"/>
      <c r="BT807" s="5"/>
      <c r="BV807" s="40"/>
      <c r="BW807" s="5"/>
      <c r="BY807" s="40"/>
      <c r="BZ807" s="5"/>
      <c r="CB807" s="40"/>
      <c r="CC807" s="5"/>
      <c r="CE807" s="40"/>
      <c r="CF807" s="5"/>
      <c r="CH807" s="40"/>
      <c r="CI807" s="5"/>
      <c r="CK807" s="40"/>
      <c r="CL807" s="5"/>
      <c r="CN807" s="40"/>
      <c r="CO807" s="5"/>
      <c r="CQ807" s="40"/>
      <c r="CR807" s="5"/>
    </row>
    <row r="808">
      <c r="AL808" s="40"/>
      <c r="AM808" s="5"/>
      <c r="AO808" s="40"/>
      <c r="AP808" s="5"/>
      <c r="AR808" s="40"/>
      <c r="AS808" s="5"/>
      <c r="AU808" s="40"/>
      <c r="AV808" s="5"/>
      <c r="AX808" s="40"/>
      <c r="AY808" s="5"/>
      <c r="BA808" s="40"/>
      <c r="BB808" s="5"/>
      <c r="BD808" s="40"/>
      <c r="BE808" s="5"/>
      <c r="BG808" s="40"/>
      <c r="BH808" s="5"/>
      <c r="BJ808" s="40"/>
      <c r="BK808" s="5"/>
      <c r="BM808" s="40"/>
      <c r="BN808" s="5"/>
      <c r="BP808" s="40"/>
      <c r="BQ808" s="5"/>
      <c r="BS808" s="40"/>
      <c r="BT808" s="5"/>
      <c r="BV808" s="40"/>
      <c r="BW808" s="5"/>
      <c r="BY808" s="40"/>
      <c r="BZ808" s="5"/>
      <c r="CB808" s="40"/>
      <c r="CC808" s="5"/>
      <c r="CE808" s="40"/>
      <c r="CF808" s="5"/>
      <c r="CH808" s="40"/>
      <c r="CI808" s="5"/>
      <c r="CK808" s="40"/>
      <c r="CL808" s="5"/>
      <c r="CN808" s="40"/>
      <c r="CO808" s="5"/>
      <c r="CQ808" s="40"/>
      <c r="CR808" s="5"/>
    </row>
    <row r="809">
      <c r="AL809" s="40"/>
      <c r="AM809" s="5"/>
      <c r="AO809" s="40"/>
      <c r="AP809" s="5"/>
      <c r="AR809" s="40"/>
      <c r="AS809" s="5"/>
      <c r="AU809" s="40"/>
      <c r="AV809" s="5"/>
      <c r="AX809" s="40"/>
      <c r="AY809" s="5"/>
      <c r="BA809" s="40"/>
      <c r="BB809" s="5"/>
      <c r="BD809" s="40"/>
      <c r="BE809" s="5"/>
      <c r="BG809" s="40"/>
      <c r="BH809" s="5"/>
      <c r="BJ809" s="40"/>
      <c r="BK809" s="5"/>
      <c r="BM809" s="40"/>
      <c r="BN809" s="5"/>
      <c r="BP809" s="40"/>
      <c r="BQ809" s="5"/>
      <c r="BS809" s="40"/>
      <c r="BT809" s="5"/>
      <c r="BV809" s="40"/>
      <c r="BW809" s="5"/>
      <c r="BY809" s="40"/>
      <c r="BZ809" s="5"/>
      <c r="CB809" s="40"/>
      <c r="CC809" s="5"/>
      <c r="CE809" s="40"/>
      <c r="CF809" s="5"/>
      <c r="CH809" s="40"/>
      <c r="CI809" s="5"/>
      <c r="CK809" s="40"/>
      <c r="CL809" s="5"/>
      <c r="CN809" s="40"/>
      <c r="CO809" s="5"/>
      <c r="CQ809" s="40"/>
      <c r="CR809" s="5"/>
    </row>
    <row r="810">
      <c r="AL810" s="40"/>
      <c r="AM810" s="5"/>
      <c r="AO810" s="40"/>
      <c r="AP810" s="5"/>
      <c r="AR810" s="40"/>
      <c r="AS810" s="5"/>
      <c r="AU810" s="40"/>
      <c r="AV810" s="5"/>
      <c r="AX810" s="40"/>
      <c r="AY810" s="5"/>
      <c r="BA810" s="40"/>
      <c r="BB810" s="5"/>
      <c r="BD810" s="40"/>
      <c r="BE810" s="5"/>
      <c r="BG810" s="40"/>
      <c r="BH810" s="5"/>
      <c r="BJ810" s="40"/>
      <c r="BK810" s="5"/>
      <c r="BM810" s="40"/>
      <c r="BN810" s="5"/>
      <c r="BP810" s="40"/>
      <c r="BQ810" s="5"/>
      <c r="BS810" s="40"/>
      <c r="BT810" s="5"/>
      <c r="BV810" s="40"/>
      <c r="BW810" s="5"/>
      <c r="BY810" s="40"/>
      <c r="BZ810" s="5"/>
      <c r="CB810" s="40"/>
      <c r="CC810" s="5"/>
      <c r="CE810" s="40"/>
      <c r="CF810" s="5"/>
      <c r="CH810" s="40"/>
      <c r="CI810" s="5"/>
      <c r="CK810" s="40"/>
      <c r="CL810" s="5"/>
      <c r="CN810" s="40"/>
      <c r="CO810" s="5"/>
      <c r="CQ810" s="40"/>
      <c r="CR810" s="5"/>
    </row>
    <row r="811">
      <c r="AL811" s="40"/>
      <c r="AM811" s="5"/>
      <c r="AO811" s="40"/>
      <c r="AP811" s="5"/>
      <c r="AR811" s="40"/>
      <c r="AS811" s="5"/>
      <c r="AU811" s="40"/>
      <c r="AV811" s="5"/>
      <c r="AX811" s="40"/>
      <c r="AY811" s="5"/>
      <c r="BA811" s="40"/>
      <c r="BB811" s="5"/>
      <c r="BD811" s="40"/>
      <c r="BE811" s="5"/>
      <c r="BG811" s="40"/>
      <c r="BH811" s="5"/>
      <c r="BJ811" s="40"/>
      <c r="BK811" s="5"/>
      <c r="BM811" s="40"/>
      <c r="BN811" s="5"/>
      <c r="BP811" s="40"/>
      <c r="BQ811" s="5"/>
      <c r="BS811" s="40"/>
      <c r="BT811" s="5"/>
      <c r="BV811" s="40"/>
      <c r="BW811" s="5"/>
      <c r="BY811" s="40"/>
      <c r="BZ811" s="5"/>
      <c r="CB811" s="40"/>
      <c r="CC811" s="5"/>
      <c r="CE811" s="40"/>
      <c r="CF811" s="5"/>
      <c r="CH811" s="40"/>
      <c r="CI811" s="5"/>
      <c r="CK811" s="40"/>
      <c r="CL811" s="5"/>
      <c r="CN811" s="40"/>
      <c r="CO811" s="5"/>
      <c r="CQ811" s="40"/>
      <c r="CR811" s="5"/>
    </row>
    <row r="812">
      <c r="AL812" s="40"/>
      <c r="AM812" s="5"/>
      <c r="AO812" s="40"/>
      <c r="AP812" s="5"/>
      <c r="AR812" s="40"/>
      <c r="AS812" s="5"/>
      <c r="AU812" s="40"/>
      <c r="AV812" s="5"/>
      <c r="AX812" s="40"/>
      <c r="AY812" s="5"/>
      <c r="BA812" s="40"/>
      <c r="BB812" s="5"/>
      <c r="BD812" s="40"/>
      <c r="BE812" s="5"/>
      <c r="BG812" s="40"/>
      <c r="BH812" s="5"/>
      <c r="BJ812" s="40"/>
      <c r="BK812" s="5"/>
      <c r="BM812" s="40"/>
      <c r="BN812" s="5"/>
      <c r="BP812" s="40"/>
      <c r="BQ812" s="5"/>
      <c r="BS812" s="40"/>
      <c r="BT812" s="5"/>
      <c r="BV812" s="40"/>
      <c r="BW812" s="5"/>
      <c r="BY812" s="40"/>
      <c r="BZ812" s="5"/>
      <c r="CB812" s="40"/>
      <c r="CC812" s="5"/>
      <c r="CE812" s="40"/>
      <c r="CF812" s="5"/>
      <c r="CH812" s="40"/>
      <c r="CI812" s="5"/>
      <c r="CK812" s="40"/>
      <c r="CL812" s="5"/>
      <c r="CN812" s="40"/>
      <c r="CO812" s="5"/>
      <c r="CQ812" s="40"/>
      <c r="CR812" s="5"/>
    </row>
    <row r="813">
      <c r="AL813" s="40"/>
      <c r="AM813" s="5"/>
      <c r="AO813" s="40"/>
      <c r="AP813" s="5"/>
      <c r="AR813" s="40"/>
      <c r="AS813" s="5"/>
      <c r="AU813" s="40"/>
      <c r="AV813" s="5"/>
      <c r="AX813" s="40"/>
      <c r="AY813" s="5"/>
      <c r="BA813" s="40"/>
      <c r="BB813" s="5"/>
      <c r="BD813" s="40"/>
      <c r="BE813" s="5"/>
      <c r="BG813" s="40"/>
      <c r="BH813" s="5"/>
      <c r="BJ813" s="40"/>
      <c r="BK813" s="5"/>
      <c r="BM813" s="40"/>
      <c r="BN813" s="5"/>
      <c r="BP813" s="40"/>
      <c r="BQ813" s="5"/>
      <c r="BS813" s="40"/>
      <c r="BT813" s="5"/>
      <c r="BV813" s="40"/>
      <c r="BW813" s="5"/>
      <c r="BY813" s="40"/>
      <c r="BZ813" s="5"/>
      <c r="CB813" s="40"/>
      <c r="CC813" s="5"/>
      <c r="CE813" s="40"/>
      <c r="CF813" s="5"/>
      <c r="CH813" s="40"/>
      <c r="CI813" s="5"/>
      <c r="CK813" s="40"/>
      <c r="CL813" s="5"/>
      <c r="CN813" s="40"/>
      <c r="CO813" s="5"/>
      <c r="CQ813" s="40"/>
      <c r="CR813" s="5"/>
    </row>
    <row r="814">
      <c r="AL814" s="40"/>
      <c r="AM814" s="5"/>
      <c r="AO814" s="40"/>
      <c r="AP814" s="5"/>
      <c r="AR814" s="40"/>
      <c r="AS814" s="5"/>
      <c r="AU814" s="40"/>
      <c r="AV814" s="5"/>
      <c r="AX814" s="40"/>
      <c r="AY814" s="5"/>
      <c r="BA814" s="40"/>
      <c r="BB814" s="5"/>
      <c r="BD814" s="40"/>
      <c r="BE814" s="5"/>
      <c r="BG814" s="40"/>
      <c r="BH814" s="5"/>
      <c r="BJ814" s="40"/>
      <c r="BK814" s="5"/>
      <c r="BM814" s="40"/>
      <c r="BN814" s="5"/>
      <c r="BP814" s="40"/>
      <c r="BQ814" s="5"/>
      <c r="BS814" s="40"/>
      <c r="BT814" s="5"/>
      <c r="BV814" s="40"/>
      <c r="BW814" s="5"/>
      <c r="BY814" s="40"/>
      <c r="BZ814" s="5"/>
      <c r="CB814" s="40"/>
      <c r="CC814" s="5"/>
      <c r="CE814" s="40"/>
      <c r="CF814" s="5"/>
      <c r="CH814" s="40"/>
      <c r="CI814" s="5"/>
      <c r="CK814" s="40"/>
      <c r="CL814" s="5"/>
      <c r="CN814" s="40"/>
      <c r="CO814" s="5"/>
      <c r="CQ814" s="40"/>
      <c r="CR814" s="5"/>
    </row>
    <row r="815">
      <c r="AL815" s="40"/>
      <c r="AM815" s="5"/>
      <c r="AO815" s="40"/>
      <c r="AP815" s="5"/>
      <c r="AR815" s="40"/>
      <c r="AS815" s="5"/>
      <c r="AU815" s="40"/>
      <c r="AV815" s="5"/>
      <c r="AX815" s="40"/>
      <c r="AY815" s="5"/>
      <c r="BA815" s="40"/>
      <c r="BB815" s="5"/>
      <c r="BD815" s="40"/>
      <c r="BE815" s="5"/>
      <c r="BG815" s="40"/>
      <c r="BH815" s="5"/>
      <c r="BJ815" s="40"/>
      <c r="BK815" s="5"/>
      <c r="BM815" s="40"/>
      <c r="BN815" s="5"/>
      <c r="BP815" s="40"/>
      <c r="BQ815" s="5"/>
      <c r="BS815" s="40"/>
      <c r="BT815" s="5"/>
      <c r="BV815" s="40"/>
      <c r="BW815" s="5"/>
      <c r="BY815" s="40"/>
      <c r="BZ815" s="5"/>
      <c r="CB815" s="40"/>
      <c r="CC815" s="5"/>
      <c r="CE815" s="40"/>
      <c r="CF815" s="5"/>
      <c r="CH815" s="40"/>
      <c r="CI815" s="5"/>
      <c r="CK815" s="40"/>
      <c r="CL815" s="5"/>
      <c r="CN815" s="40"/>
      <c r="CO815" s="5"/>
      <c r="CQ815" s="40"/>
      <c r="CR815" s="5"/>
    </row>
    <row r="816">
      <c r="AL816" s="40"/>
      <c r="AM816" s="5"/>
      <c r="AO816" s="40"/>
      <c r="AP816" s="5"/>
      <c r="AR816" s="40"/>
      <c r="AS816" s="5"/>
      <c r="AU816" s="40"/>
      <c r="AV816" s="5"/>
      <c r="AX816" s="40"/>
      <c r="AY816" s="5"/>
      <c r="BA816" s="40"/>
      <c r="BB816" s="5"/>
      <c r="BD816" s="40"/>
      <c r="BE816" s="5"/>
      <c r="BG816" s="40"/>
      <c r="BH816" s="5"/>
      <c r="BJ816" s="40"/>
      <c r="BK816" s="5"/>
      <c r="BM816" s="40"/>
      <c r="BN816" s="5"/>
      <c r="BP816" s="40"/>
      <c r="BQ816" s="5"/>
      <c r="BS816" s="40"/>
      <c r="BT816" s="5"/>
      <c r="BV816" s="40"/>
      <c r="BW816" s="5"/>
      <c r="BY816" s="40"/>
      <c r="BZ816" s="5"/>
      <c r="CB816" s="40"/>
      <c r="CC816" s="5"/>
      <c r="CE816" s="40"/>
      <c r="CF816" s="5"/>
      <c r="CH816" s="40"/>
      <c r="CI816" s="5"/>
      <c r="CK816" s="40"/>
      <c r="CL816" s="5"/>
      <c r="CN816" s="40"/>
      <c r="CO816" s="5"/>
      <c r="CQ816" s="40"/>
      <c r="CR816" s="5"/>
    </row>
    <row r="817">
      <c r="AL817" s="40"/>
      <c r="AM817" s="5"/>
      <c r="AO817" s="40"/>
      <c r="AP817" s="5"/>
      <c r="AR817" s="40"/>
      <c r="AS817" s="5"/>
      <c r="AU817" s="40"/>
      <c r="AV817" s="5"/>
      <c r="AX817" s="40"/>
      <c r="AY817" s="5"/>
      <c r="BA817" s="40"/>
      <c r="BB817" s="5"/>
      <c r="BD817" s="40"/>
      <c r="BE817" s="5"/>
      <c r="BG817" s="40"/>
      <c r="BH817" s="5"/>
      <c r="BJ817" s="40"/>
      <c r="BK817" s="5"/>
      <c r="BM817" s="40"/>
      <c r="BN817" s="5"/>
      <c r="BP817" s="40"/>
      <c r="BQ817" s="5"/>
      <c r="BS817" s="40"/>
      <c r="BT817" s="5"/>
      <c r="BV817" s="40"/>
      <c r="BW817" s="5"/>
      <c r="BY817" s="40"/>
      <c r="BZ817" s="5"/>
      <c r="CB817" s="40"/>
      <c r="CC817" s="5"/>
      <c r="CE817" s="40"/>
      <c r="CF817" s="5"/>
      <c r="CH817" s="40"/>
      <c r="CI817" s="5"/>
      <c r="CK817" s="40"/>
      <c r="CL817" s="5"/>
      <c r="CN817" s="40"/>
      <c r="CO817" s="5"/>
      <c r="CQ817" s="40"/>
      <c r="CR817" s="5"/>
    </row>
    <row r="818">
      <c r="AL818" s="40"/>
      <c r="AM818" s="5"/>
      <c r="AO818" s="40"/>
      <c r="AP818" s="5"/>
      <c r="AR818" s="40"/>
      <c r="AS818" s="5"/>
      <c r="AU818" s="40"/>
      <c r="AV818" s="5"/>
      <c r="AX818" s="40"/>
      <c r="AY818" s="5"/>
      <c r="BA818" s="40"/>
      <c r="BB818" s="5"/>
      <c r="BD818" s="40"/>
      <c r="BE818" s="5"/>
      <c r="BG818" s="40"/>
      <c r="BH818" s="5"/>
      <c r="BJ818" s="40"/>
      <c r="BK818" s="5"/>
      <c r="BM818" s="40"/>
      <c r="BN818" s="5"/>
      <c r="BP818" s="40"/>
      <c r="BQ818" s="5"/>
      <c r="BS818" s="40"/>
      <c r="BT818" s="5"/>
      <c r="BV818" s="40"/>
      <c r="BW818" s="5"/>
      <c r="BY818" s="40"/>
      <c r="BZ818" s="5"/>
      <c r="CB818" s="40"/>
      <c r="CC818" s="5"/>
      <c r="CE818" s="40"/>
      <c r="CF818" s="5"/>
      <c r="CH818" s="40"/>
      <c r="CI818" s="5"/>
      <c r="CK818" s="40"/>
      <c r="CL818" s="5"/>
      <c r="CN818" s="40"/>
      <c r="CO818" s="5"/>
      <c r="CQ818" s="40"/>
      <c r="CR818" s="5"/>
    </row>
    <row r="819">
      <c r="AL819" s="40"/>
      <c r="AM819" s="5"/>
      <c r="AO819" s="40"/>
      <c r="AP819" s="5"/>
      <c r="AR819" s="40"/>
      <c r="AS819" s="5"/>
      <c r="AU819" s="40"/>
      <c r="AV819" s="5"/>
      <c r="AX819" s="40"/>
      <c r="AY819" s="5"/>
      <c r="BA819" s="40"/>
      <c r="BB819" s="5"/>
      <c r="BD819" s="40"/>
      <c r="BE819" s="5"/>
      <c r="BG819" s="40"/>
      <c r="BH819" s="5"/>
      <c r="BJ819" s="40"/>
      <c r="BK819" s="5"/>
      <c r="BM819" s="40"/>
      <c r="BN819" s="5"/>
      <c r="BP819" s="40"/>
      <c r="BQ819" s="5"/>
      <c r="BS819" s="40"/>
      <c r="BT819" s="5"/>
      <c r="BV819" s="40"/>
      <c r="BW819" s="5"/>
      <c r="BY819" s="40"/>
      <c r="BZ819" s="5"/>
      <c r="CB819" s="40"/>
      <c r="CC819" s="5"/>
      <c r="CE819" s="40"/>
      <c r="CF819" s="5"/>
      <c r="CH819" s="40"/>
      <c r="CI819" s="5"/>
      <c r="CK819" s="40"/>
      <c r="CL819" s="5"/>
      <c r="CN819" s="40"/>
      <c r="CO819" s="5"/>
      <c r="CQ819" s="40"/>
      <c r="CR819" s="5"/>
    </row>
    <row r="820">
      <c r="AL820" s="40"/>
      <c r="AM820" s="5"/>
      <c r="AO820" s="40"/>
      <c r="AP820" s="5"/>
      <c r="AR820" s="40"/>
      <c r="AS820" s="5"/>
      <c r="AU820" s="40"/>
      <c r="AV820" s="5"/>
      <c r="AX820" s="40"/>
      <c r="AY820" s="5"/>
      <c r="BA820" s="40"/>
      <c r="BB820" s="5"/>
      <c r="BD820" s="40"/>
      <c r="BE820" s="5"/>
      <c r="BG820" s="40"/>
      <c r="BH820" s="5"/>
      <c r="BJ820" s="40"/>
      <c r="BK820" s="5"/>
      <c r="BM820" s="40"/>
      <c r="BN820" s="5"/>
      <c r="BP820" s="40"/>
      <c r="BQ820" s="5"/>
      <c r="BS820" s="40"/>
      <c r="BT820" s="5"/>
      <c r="BV820" s="40"/>
      <c r="BW820" s="5"/>
      <c r="BY820" s="40"/>
      <c r="BZ820" s="5"/>
      <c r="CB820" s="40"/>
      <c r="CC820" s="5"/>
      <c r="CE820" s="40"/>
      <c r="CF820" s="5"/>
      <c r="CH820" s="40"/>
      <c r="CI820" s="5"/>
      <c r="CK820" s="40"/>
      <c r="CL820" s="5"/>
      <c r="CN820" s="40"/>
      <c r="CO820" s="5"/>
      <c r="CQ820" s="40"/>
      <c r="CR820" s="5"/>
    </row>
    <row r="821">
      <c r="AL821" s="40"/>
      <c r="AM821" s="5"/>
      <c r="AO821" s="40"/>
      <c r="AP821" s="5"/>
      <c r="AR821" s="40"/>
      <c r="AS821" s="5"/>
      <c r="AU821" s="40"/>
      <c r="AV821" s="5"/>
      <c r="AX821" s="40"/>
      <c r="AY821" s="5"/>
      <c r="BA821" s="40"/>
      <c r="BB821" s="5"/>
      <c r="BD821" s="40"/>
      <c r="BE821" s="5"/>
      <c r="BG821" s="40"/>
      <c r="BH821" s="5"/>
      <c r="BJ821" s="40"/>
      <c r="BK821" s="5"/>
      <c r="BM821" s="40"/>
      <c r="BN821" s="5"/>
      <c r="BP821" s="40"/>
      <c r="BQ821" s="5"/>
      <c r="BS821" s="40"/>
      <c r="BT821" s="5"/>
      <c r="BV821" s="40"/>
      <c r="BW821" s="5"/>
      <c r="BY821" s="40"/>
      <c r="BZ821" s="5"/>
      <c r="CB821" s="40"/>
      <c r="CC821" s="5"/>
      <c r="CE821" s="40"/>
      <c r="CF821" s="5"/>
      <c r="CH821" s="40"/>
      <c r="CI821" s="5"/>
      <c r="CK821" s="40"/>
      <c r="CL821" s="5"/>
      <c r="CN821" s="40"/>
      <c r="CO821" s="5"/>
      <c r="CQ821" s="40"/>
      <c r="CR821" s="5"/>
    </row>
    <row r="822">
      <c r="AL822" s="40"/>
      <c r="AM822" s="5"/>
      <c r="AO822" s="40"/>
      <c r="AP822" s="5"/>
      <c r="AR822" s="40"/>
      <c r="AS822" s="5"/>
      <c r="AU822" s="40"/>
      <c r="AV822" s="5"/>
      <c r="AX822" s="40"/>
      <c r="AY822" s="5"/>
      <c r="BA822" s="40"/>
      <c r="BB822" s="5"/>
      <c r="BD822" s="40"/>
      <c r="BE822" s="5"/>
      <c r="BG822" s="40"/>
      <c r="BH822" s="5"/>
      <c r="BJ822" s="40"/>
      <c r="BK822" s="5"/>
      <c r="BM822" s="40"/>
      <c r="BN822" s="5"/>
      <c r="BP822" s="40"/>
      <c r="BQ822" s="5"/>
      <c r="BS822" s="40"/>
      <c r="BT822" s="5"/>
      <c r="BV822" s="40"/>
      <c r="BW822" s="5"/>
      <c r="BY822" s="40"/>
      <c r="BZ822" s="5"/>
      <c r="CB822" s="40"/>
      <c r="CC822" s="5"/>
      <c r="CE822" s="40"/>
      <c r="CF822" s="5"/>
      <c r="CH822" s="40"/>
      <c r="CI822" s="5"/>
      <c r="CK822" s="40"/>
      <c r="CL822" s="5"/>
      <c r="CN822" s="40"/>
      <c r="CO822" s="5"/>
      <c r="CQ822" s="40"/>
      <c r="CR822" s="5"/>
    </row>
    <row r="823">
      <c r="AL823" s="40"/>
      <c r="AM823" s="5"/>
      <c r="AO823" s="40"/>
      <c r="AP823" s="5"/>
      <c r="AR823" s="40"/>
      <c r="AS823" s="5"/>
      <c r="AU823" s="40"/>
      <c r="AV823" s="5"/>
      <c r="AX823" s="40"/>
      <c r="AY823" s="5"/>
      <c r="BA823" s="40"/>
      <c r="BB823" s="5"/>
      <c r="BD823" s="40"/>
      <c r="BE823" s="5"/>
      <c r="BG823" s="40"/>
      <c r="BH823" s="5"/>
      <c r="BJ823" s="40"/>
      <c r="BK823" s="5"/>
      <c r="BM823" s="40"/>
      <c r="BN823" s="5"/>
      <c r="BP823" s="40"/>
      <c r="BQ823" s="5"/>
      <c r="BS823" s="40"/>
      <c r="BT823" s="5"/>
      <c r="BV823" s="40"/>
      <c r="BW823" s="5"/>
      <c r="BY823" s="40"/>
      <c r="BZ823" s="5"/>
      <c r="CB823" s="40"/>
      <c r="CC823" s="5"/>
      <c r="CE823" s="40"/>
      <c r="CF823" s="5"/>
      <c r="CH823" s="40"/>
      <c r="CI823" s="5"/>
      <c r="CK823" s="40"/>
      <c r="CL823" s="5"/>
      <c r="CN823" s="40"/>
      <c r="CO823" s="5"/>
      <c r="CQ823" s="40"/>
      <c r="CR823" s="5"/>
    </row>
    <row r="824">
      <c r="AL824" s="40"/>
      <c r="AM824" s="5"/>
      <c r="AO824" s="40"/>
      <c r="AP824" s="5"/>
      <c r="AR824" s="40"/>
      <c r="AS824" s="5"/>
      <c r="AU824" s="40"/>
      <c r="AV824" s="5"/>
      <c r="AX824" s="40"/>
      <c r="AY824" s="5"/>
      <c r="BA824" s="40"/>
      <c r="BB824" s="5"/>
      <c r="BD824" s="40"/>
      <c r="BE824" s="5"/>
      <c r="BG824" s="40"/>
      <c r="BH824" s="5"/>
      <c r="BJ824" s="40"/>
      <c r="BK824" s="5"/>
      <c r="BM824" s="40"/>
      <c r="BN824" s="5"/>
      <c r="BP824" s="40"/>
      <c r="BQ824" s="5"/>
      <c r="BS824" s="40"/>
      <c r="BT824" s="5"/>
      <c r="BV824" s="40"/>
      <c r="BW824" s="5"/>
      <c r="BY824" s="40"/>
      <c r="BZ824" s="5"/>
      <c r="CB824" s="40"/>
      <c r="CC824" s="5"/>
      <c r="CE824" s="40"/>
      <c r="CF824" s="5"/>
      <c r="CH824" s="40"/>
      <c r="CI824" s="5"/>
      <c r="CK824" s="40"/>
      <c r="CL824" s="5"/>
      <c r="CN824" s="40"/>
      <c r="CO824" s="5"/>
      <c r="CQ824" s="40"/>
      <c r="CR824" s="5"/>
    </row>
    <row r="825">
      <c r="AL825" s="40"/>
      <c r="AM825" s="5"/>
      <c r="AO825" s="40"/>
      <c r="AP825" s="5"/>
      <c r="AR825" s="40"/>
      <c r="AS825" s="5"/>
      <c r="AU825" s="40"/>
      <c r="AV825" s="5"/>
      <c r="AX825" s="40"/>
      <c r="AY825" s="5"/>
      <c r="BA825" s="40"/>
      <c r="BB825" s="5"/>
      <c r="BD825" s="40"/>
      <c r="BE825" s="5"/>
      <c r="BG825" s="40"/>
      <c r="BH825" s="5"/>
      <c r="BJ825" s="40"/>
      <c r="BK825" s="5"/>
      <c r="BM825" s="40"/>
      <c r="BN825" s="5"/>
      <c r="BP825" s="40"/>
      <c r="BQ825" s="5"/>
      <c r="BS825" s="40"/>
      <c r="BT825" s="5"/>
      <c r="BV825" s="40"/>
      <c r="BW825" s="5"/>
      <c r="BY825" s="40"/>
      <c r="BZ825" s="5"/>
      <c r="CB825" s="40"/>
      <c r="CC825" s="5"/>
      <c r="CE825" s="40"/>
      <c r="CF825" s="5"/>
      <c r="CH825" s="40"/>
      <c r="CI825" s="5"/>
      <c r="CK825" s="40"/>
      <c r="CL825" s="5"/>
      <c r="CN825" s="40"/>
      <c r="CO825" s="5"/>
      <c r="CQ825" s="40"/>
      <c r="CR825" s="5"/>
    </row>
    <row r="826">
      <c r="AL826" s="40"/>
      <c r="AM826" s="5"/>
      <c r="AO826" s="40"/>
      <c r="AP826" s="5"/>
      <c r="AR826" s="40"/>
      <c r="AS826" s="5"/>
      <c r="AU826" s="40"/>
      <c r="AV826" s="5"/>
      <c r="AX826" s="40"/>
      <c r="AY826" s="5"/>
      <c r="BA826" s="40"/>
      <c r="BB826" s="5"/>
      <c r="BD826" s="40"/>
      <c r="BE826" s="5"/>
      <c r="BG826" s="40"/>
      <c r="BH826" s="5"/>
      <c r="BJ826" s="40"/>
      <c r="BK826" s="5"/>
      <c r="BM826" s="40"/>
      <c r="BN826" s="5"/>
      <c r="BP826" s="40"/>
      <c r="BQ826" s="5"/>
      <c r="BS826" s="40"/>
      <c r="BT826" s="5"/>
      <c r="BV826" s="40"/>
      <c r="BW826" s="5"/>
      <c r="BY826" s="40"/>
      <c r="BZ826" s="5"/>
      <c r="CB826" s="40"/>
      <c r="CC826" s="5"/>
      <c r="CE826" s="40"/>
      <c r="CF826" s="5"/>
      <c r="CH826" s="40"/>
      <c r="CI826" s="5"/>
      <c r="CK826" s="40"/>
      <c r="CL826" s="5"/>
      <c r="CN826" s="40"/>
      <c r="CO826" s="5"/>
      <c r="CQ826" s="40"/>
      <c r="CR826" s="5"/>
    </row>
    <row r="827">
      <c r="AL827" s="40"/>
      <c r="AM827" s="5"/>
      <c r="AO827" s="40"/>
      <c r="AP827" s="5"/>
      <c r="AR827" s="40"/>
      <c r="AS827" s="5"/>
      <c r="AU827" s="40"/>
      <c r="AV827" s="5"/>
      <c r="AX827" s="40"/>
      <c r="AY827" s="5"/>
      <c r="BA827" s="40"/>
      <c r="BB827" s="5"/>
      <c r="BD827" s="40"/>
      <c r="BE827" s="5"/>
      <c r="BG827" s="40"/>
      <c r="BH827" s="5"/>
      <c r="BJ827" s="40"/>
      <c r="BK827" s="5"/>
      <c r="BM827" s="40"/>
      <c r="BN827" s="5"/>
      <c r="BP827" s="40"/>
      <c r="BQ827" s="5"/>
      <c r="BS827" s="40"/>
      <c r="BT827" s="5"/>
      <c r="BV827" s="40"/>
      <c r="BW827" s="5"/>
      <c r="BY827" s="40"/>
      <c r="BZ827" s="5"/>
      <c r="CB827" s="40"/>
      <c r="CC827" s="5"/>
      <c r="CE827" s="40"/>
      <c r="CF827" s="5"/>
      <c r="CH827" s="40"/>
      <c r="CI827" s="5"/>
      <c r="CK827" s="40"/>
      <c r="CL827" s="5"/>
      <c r="CN827" s="40"/>
      <c r="CO827" s="5"/>
      <c r="CQ827" s="40"/>
      <c r="CR827" s="5"/>
    </row>
    <row r="828">
      <c r="AL828" s="40"/>
      <c r="AM828" s="5"/>
      <c r="AO828" s="40"/>
      <c r="AP828" s="5"/>
      <c r="AR828" s="40"/>
      <c r="AS828" s="5"/>
      <c r="AU828" s="40"/>
      <c r="AV828" s="5"/>
      <c r="AX828" s="40"/>
      <c r="AY828" s="5"/>
      <c r="BA828" s="40"/>
      <c r="BB828" s="5"/>
      <c r="BD828" s="40"/>
      <c r="BE828" s="5"/>
      <c r="BG828" s="40"/>
      <c r="BH828" s="5"/>
      <c r="BJ828" s="40"/>
      <c r="BK828" s="5"/>
      <c r="BM828" s="40"/>
      <c r="BN828" s="5"/>
      <c r="BP828" s="40"/>
      <c r="BQ828" s="5"/>
      <c r="BS828" s="40"/>
      <c r="BT828" s="5"/>
      <c r="BV828" s="40"/>
      <c r="BW828" s="5"/>
      <c r="BY828" s="40"/>
      <c r="BZ828" s="5"/>
      <c r="CB828" s="40"/>
      <c r="CC828" s="5"/>
      <c r="CE828" s="40"/>
      <c r="CF828" s="5"/>
      <c r="CH828" s="40"/>
      <c r="CI828" s="5"/>
      <c r="CK828" s="40"/>
      <c r="CL828" s="5"/>
      <c r="CN828" s="40"/>
      <c r="CO828" s="5"/>
      <c r="CQ828" s="40"/>
      <c r="CR828" s="5"/>
    </row>
    <row r="829">
      <c r="AL829" s="40"/>
      <c r="AM829" s="5"/>
      <c r="AO829" s="40"/>
      <c r="AP829" s="5"/>
      <c r="AR829" s="40"/>
      <c r="AS829" s="5"/>
      <c r="AU829" s="40"/>
      <c r="AV829" s="5"/>
      <c r="AX829" s="40"/>
      <c r="AY829" s="5"/>
      <c r="BA829" s="40"/>
      <c r="BB829" s="5"/>
      <c r="BD829" s="40"/>
      <c r="BE829" s="5"/>
      <c r="BG829" s="40"/>
      <c r="BH829" s="5"/>
      <c r="BJ829" s="40"/>
      <c r="BK829" s="5"/>
      <c r="BM829" s="40"/>
      <c r="BN829" s="5"/>
      <c r="BP829" s="40"/>
      <c r="BQ829" s="5"/>
      <c r="BS829" s="40"/>
      <c r="BT829" s="5"/>
      <c r="BV829" s="40"/>
      <c r="BW829" s="5"/>
      <c r="BY829" s="40"/>
      <c r="BZ829" s="5"/>
      <c r="CB829" s="40"/>
      <c r="CC829" s="5"/>
      <c r="CE829" s="40"/>
      <c r="CF829" s="5"/>
      <c r="CH829" s="40"/>
      <c r="CI829" s="5"/>
      <c r="CK829" s="40"/>
      <c r="CL829" s="5"/>
      <c r="CN829" s="40"/>
      <c r="CO829" s="5"/>
      <c r="CQ829" s="40"/>
      <c r="CR829" s="5"/>
    </row>
    <row r="830">
      <c r="AL830" s="40"/>
      <c r="AM830" s="5"/>
      <c r="AO830" s="40"/>
      <c r="AP830" s="5"/>
      <c r="AR830" s="40"/>
      <c r="AS830" s="5"/>
      <c r="AU830" s="40"/>
      <c r="AV830" s="5"/>
      <c r="AX830" s="40"/>
      <c r="AY830" s="5"/>
      <c r="BA830" s="40"/>
      <c r="BB830" s="5"/>
      <c r="BD830" s="40"/>
      <c r="BE830" s="5"/>
      <c r="BG830" s="40"/>
      <c r="BH830" s="5"/>
      <c r="BJ830" s="40"/>
      <c r="BK830" s="5"/>
      <c r="BM830" s="40"/>
      <c r="BN830" s="5"/>
      <c r="BP830" s="40"/>
      <c r="BQ830" s="5"/>
      <c r="BS830" s="40"/>
      <c r="BT830" s="5"/>
      <c r="BV830" s="40"/>
      <c r="BW830" s="5"/>
      <c r="BY830" s="40"/>
      <c r="BZ830" s="5"/>
      <c r="CB830" s="40"/>
      <c r="CC830" s="5"/>
      <c r="CE830" s="40"/>
      <c r="CF830" s="5"/>
      <c r="CH830" s="40"/>
      <c r="CI830" s="5"/>
      <c r="CK830" s="40"/>
      <c r="CL830" s="5"/>
      <c r="CN830" s="40"/>
      <c r="CO830" s="5"/>
      <c r="CQ830" s="40"/>
      <c r="CR830" s="5"/>
    </row>
    <row r="831">
      <c r="AL831" s="40"/>
      <c r="AM831" s="5"/>
      <c r="AO831" s="40"/>
      <c r="AP831" s="5"/>
      <c r="AR831" s="40"/>
      <c r="AS831" s="5"/>
      <c r="AU831" s="40"/>
      <c r="AV831" s="5"/>
      <c r="AX831" s="40"/>
      <c r="AY831" s="5"/>
      <c r="BA831" s="40"/>
      <c r="BB831" s="5"/>
      <c r="BD831" s="40"/>
      <c r="BE831" s="5"/>
      <c r="BG831" s="40"/>
      <c r="BH831" s="5"/>
      <c r="BJ831" s="40"/>
      <c r="BK831" s="5"/>
      <c r="BM831" s="40"/>
      <c r="BN831" s="5"/>
      <c r="BP831" s="40"/>
      <c r="BQ831" s="5"/>
      <c r="BS831" s="40"/>
      <c r="BT831" s="5"/>
      <c r="BV831" s="40"/>
      <c r="BW831" s="5"/>
      <c r="BY831" s="40"/>
      <c r="BZ831" s="5"/>
      <c r="CB831" s="40"/>
      <c r="CC831" s="5"/>
      <c r="CE831" s="40"/>
      <c r="CF831" s="5"/>
      <c r="CH831" s="40"/>
      <c r="CI831" s="5"/>
      <c r="CK831" s="40"/>
      <c r="CL831" s="5"/>
      <c r="CN831" s="40"/>
      <c r="CO831" s="5"/>
      <c r="CQ831" s="40"/>
      <c r="CR831" s="5"/>
    </row>
    <row r="832">
      <c r="AL832" s="40"/>
      <c r="AM832" s="5"/>
      <c r="AO832" s="40"/>
      <c r="AP832" s="5"/>
      <c r="AR832" s="40"/>
      <c r="AS832" s="5"/>
      <c r="AU832" s="40"/>
      <c r="AV832" s="5"/>
      <c r="AX832" s="40"/>
      <c r="AY832" s="5"/>
      <c r="BA832" s="40"/>
      <c r="BB832" s="5"/>
      <c r="BD832" s="40"/>
      <c r="BE832" s="5"/>
      <c r="BG832" s="40"/>
      <c r="BH832" s="5"/>
      <c r="BJ832" s="40"/>
      <c r="BK832" s="5"/>
      <c r="BM832" s="40"/>
      <c r="BN832" s="5"/>
      <c r="BP832" s="40"/>
      <c r="BQ832" s="5"/>
      <c r="BS832" s="40"/>
      <c r="BT832" s="5"/>
      <c r="BV832" s="40"/>
      <c r="BW832" s="5"/>
      <c r="BY832" s="40"/>
      <c r="BZ832" s="5"/>
      <c r="CB832" s="40"/>
      <c r="CC832" s="5"/>
      <c r="CE832" s="40"/>
      <c r="CF832" s="5"/>
      <c r="CH832" s="40"/>
      <c r="CI832" s="5"/>
      <c r="CK832" s="40"/>
      <c r="CL832" s="5"/>
      <c r="CN832" s="40"/>
      <c r="CO832" s="5"/>
      <c r="CQ832" s="40"/>
      <c r="CR832" s="5"/>
    </row>
    <row r="833">
      <c r="AL833" s="40"/>
      <c r="AM833" s="5"/>
      <c r="AO833" s="40"/>
      <c r="AP833" s="5"/>
      <c r="AR833" s="40"/>
      <c r="AS833" s="5"/>
      <c r="AU833" s="40"/>
      <c r="AV833" s="5"/>
      <c r="AX833" s="40"/>
      <c r="AY833" s="5"/>
      <c r="BA833" s="40"/>
      <c r="BB833" s="5"/>
      <c r="BD833" s="40"/>
      <c r="BE833" s="5"/>
      <c r="BG833" s="40"/>
      <c r="BH833" s="5"/>
      <c r="BJ833" s="40"/>
      <c r="BK833" s="5"/>
      <c r="BM833" s="40"/>
      <c r="BN833" s="5"/>
      <c r="BP833" s="40"/>
      <c r="BQ833" s="5"/>
      <c r="BS833" s="40"/>
      <c r="BT833" s="5"/>
      <c r="BV833" s="40"/>
      <c r="BW833" s="5"/>
      <c r="BY833" s="40"/>
      <c r="BZ833" s="5"/>
      <c r="CB833" s="40"/>
      <c r="CC833" s="5"/>
      <c r="CE833" s="40"/>
      <c r="CF833" s="5"/>
      <c r="CH833" s="40"/>
      <c r="CI833" s="5"/>
      <c r="CK833" s="40"/>
      <c r="CL833" s="5"/>
      <c r="CN833" s="40"/>
      <c r="CO833" s="5"/>
      <c r="CQ833" s="40"/>
      <c r="CR833" s="5"/>
    </row>
    <row r="834">
      <c r="AL834" s="40"/>
      <c r="AM834" s="5"/>
      <c r="AO834" s="40"/>
      <c r="AP834" s="5"/>
      <c r="AR834" s="40"/>
      <c r="AS834" s="5"/>
      <c r="AU834" s="40"/>
      <c r="AV834" s="5"/>
      <c r="AX834" s="40"/>
      <c r="AY834" s="5"/>
      <c r="BA834" s="40"/>
      <c r="BB834" s="5"/>
      <c r="BD834" s="40"/>
      <c r="BE834" s="5"/>
      <c r="BG834" s="40"/>
      <c r="BH834" s="5"/>
      <c r="BJ834" s="40"/>
      <c r="BK834" s="5"/>
      <c r="BM834" s="40"/>
      <c r="BN834" s="5"/>
      <c r="BP834" s="40"/>
      <c r="BQ834" s="5"/>
      <c r="BS834" s="40"/>
      <c r="BT834" s="5"/>
      <c r="BV834" s="40"/>
      <c r="BW834" s="5"/>
      <c r="BY834" s="40"/>
      <c r="BZ834" s="5"/>
      <c r="CB834" s="40"/>
      <c r="CC834" s="5"/>
      <c r="CE834" s="40"/>
      <c r="CF834" s="5"/>
      <c r="CH834" s="40"/>
      <c r="CI834" s="5"/>
      <c r="CK834" s="40"/>
      <c r="CL834" s="5"/>
      <c r="CN834" s="40"/>
      <c r="CO834" s="5"/>
      <c r="CQ834" s="40"/>
      <c r="CR834" s="5"/>
    </row>
    <row r="835">
      <c r="AL835" s="40"/>
      <c r="AM835" s="5"/>
      <c r="AO835" s="40"/>
      <c r="AP835" s="5"/>
      <c r="AR835" s="40"/>
      <c r="AS835" s="5"/>
      <c r="AU835" s="40"/>
      <c r="AV835" s="5"/>
      <c r="AX835" s="40"/>
      <c r="AY835" s="5"/>
      <c r="BA835" s="40"/>
      <c r="BB835" s="5"/>
      <c r="BD835" s="40"/>
      <c r="BE835" s="5"/>
      <c r="BG835" s="40"/>
      <c r="BH835" s="5"/>
      <c r="BJ835" s="40"/>
      <c r="BK835" s="5"/>
      <c r="BM835" s="40"/>
      <c r="BN835" s="5"/>
      <c r="BP835" s="40"/>
      <c r="BQ835" s="5"/>
      <c r="BS835" s="40"/>
      <c r="BT835" s="5"/>
      <c r="BV835" s="40"/>
      <c r="BW835" s="5"/>
      <c r="BY835" s="40"/>
      <c r="BZ835" s="5"/>
      <c r="CB835" s="40"/>
      <c r="CC835" s="5"/>
      <c r="CE835" s="40"/>
      <c r="CF835" s="5"/>
      <c r="CH835" s="40"/>
      <c r="CI835" s="5"/>
      <c r="CK835" s="40"/>
      <c r="CL835" s="5"/>
      <c r="CN835" s="40"/>
      <c r="CO835" s="5"/>
      <c r="CQ835" s="40"/>
      <c r="CR835" s="5"/>
    </row>
    <row r="836">
      <c r="AL836" s="40"/>
      <c r="AM836" s="5"/>
      <c r="AO836" s="40"/>
      <c r="AP836" s="5"/>
      <c r="AR836" s="40"/>
      <c r="AS836" s="5"/>
      <c r="AU836" s="40"/>
      <c r="AV836" s="5"/>
      <c r="AX836" s="40"/>
      <c r="AY836" s="5"/>
      <c r="BA836" s="40"/>
      <c r="BB836" s="5"/>
      <c r="BD836" s="40"/>
      <c r="BE836" s="5"/>
      <c r="BG836" s="40"/>
      <c r="BH836" s="5"/>
      <c r="BJ836" s="40"/>
      <c r="BK836" s="5"/>
      <c r="BM836" s="40"/>
      <c r="BN836" s="5"/>
      <c r="BP836" s="40"/>
      <c r="BQ836" s="5"/>
      <c r="BS836" s="40"/>
      <c r="BT836" s="5"/>
      <c r="BV836" s="40"/>
      <c r="BW836" s="5"/>
      <c r="BY836" s="40"/>
      <c r="BZ836" s="5"/>
      <c r="CB836" s="40"/>
      <c r="CC836" s="5"/>
      <c r="CE836" s="40"/>
      <c r="CF836" s="5"/>
      <c r="CH836" s="40"/>
      <c r="CI836" s="5"/>
      <c r="CK836" s="40"/>
      <c r="CL836" s="5"/>
      <c r="CN836" s="40"/>
      <c r="CO836" s="5"/>
      <c r="CQ836" s="40"/>
      <c r="CR836" s="5"/>
    </row>
    <row r="837">
      <c r="AL837" s="40"/>
      <c r="AM837" s="5"/>
      <c r="AO837" s="40"/>
      <c r="AP837" s="5"/>
      <c r="AR837" s="40"/>
      <c r="AS837" s="5"/>
      <c r="AU837" s="40"/>
      <c r="AV837" s="5"/>
      <c r="AX837" s="40"/>
      <c r="AY837" s="5"/>
      <c r="BA837" s="40"/>
      <c r="BB837" s="5"/>
      <c r="BD837" s="40"/>
      <c r="BE837" s="5"/>
      <c r="BG837" s="40"/>
      <c r="BH837" s="5"/>
      <c r="BJ837" s="40"/>
      <c r="BK837" s="5"/>
      <c r="BM837" s="40"/>
      <c r="BN837" s="5"/>
      <c r="BP837" s="40"/>
      <c r="BQ837" s="5"/>
      <c r="BS837" s="40"/>
      <c r="BT837" s="5"/>
      <c r="BV837" s="40"/>
      <c r="BW837" s="5"/>
      <c r="BY837" s="40"/>
      <c r="BZ837" s="5"/>
      <c r="CB837" s="40"/>
      <c r="CC837" s="5"/>
      <c r="CE837" s="40"/>
      <c r="CF837" s="5"/>
      <c r="CH837" s="40"/>
      <c r="CI837" s="5"/>
      <c r="CK837" s="40"/>
      <c r="CL837" s="5"/>
      <c r="CN837" s="40"/>
      <c r="CO837" s="5"/>
      <c r="CQ837" s="40"/>
      <c r="CR837" s="5"/>
    </row>
    <row r="838">
      <c r="AL838" s="40"/>
      <c r="AM838" s="5"/>
      <c r="AO838" s="40"/>
      <c r="AP838" s="5"/>
      <c r="AR838" s="40"/>
      <c r="AS838" s="5"/>
      <c r="AU838" s="40"/>
      <c r="AV838" s="5"/>
      <c r="AX838" s="40"/>
      <c r="AY838" s="5"/>
      <c r="BA838" s="40"/>
      <c r="BB838" s="5"/>
      <c r="BD838" s="40"/>
      <c r="BE838" s="5"/>
      <c r="BG838" s="40"/>
      <c r="BH838" s="5"/>
      <c r="BJ838" s="40"/>
      <c r="BK838" s="5"/>
      <c r="BM838" s="40"/>
      <c r="BN838" s="5"/>
      <c r="BP838" s="40"/>
      <c r="BQ838" s="5"/>
      <c r="BS838" s="40"/>
      <c r="BT838" s="5"/>
      <c r="BV838" s="40"/>
      <c r="BW838" s="5"/>
      <c r="BY838" s="40"/>
      <c r="BZ838" s="5"/>
      <c r="CB838" s="40"/>
      <c r="CC838" s="5"/>
      <c r="CE838" s="40"/>
      <c r="CF838" s="5"/>
      <c r="CH838" s="40"/>
      <c r="CI838" s="5"/>
      <c r="CK838" s="40"/>
      <c r="CL838" s="5"/>
      <c r="CN838" s="40"/>
      <c r="CO838" s="5"/>
      <c r="CQ838" s="40"/>
      <c r="CR838" s="5"/>
    </row>
    <row r="839">
      <c r="AL839" s="40"/>
      <c r="AM839" s="5"/>
      <c r="AO839" s="40"/>
      <c r="AP839" s="5"/>
      <c r="AR839" s="40"/>
      <c r="AS839" s="5"/>
      <c r="AU839" s="40"/>
      <c r="AV839" s="5"/>
      <c r="AX839" s="40"/>
      <c r="AY839" s="5"/>
      <c r="BA839" s="40"/>
      <c r="BB839" s="5"/>
      <c r="BD839" s="40"/>
      <c r="BE839" s="5"/>
      <c r="BG839" s="40"/>
      <c r="BH839" s="5"/>
      <c r="BJ839" s="40"/>
      <c r="BK839" s="5"/>
      <c r="BM839" s="40"/>
      <c r="BN839" s="5"/>
      <c r="BP839" s="40"/>
      <c r="BQ839" s="5"/>
      <c r="BS839" s="40"/>
      <c r="BT839" s="5"/>
      <c r="BV839" s="40"/>
      <c r="BW839" s="5"/>
      <c r="BY839" s="40"/>
      <c r="BZ839" s="5"/>
      <c r="CB839" s="40"/>
      <c r="CC839" s="5"/>
      <c r="CE839" s="40"/>
      <c r="CF839" s="5"/>
      <c r="CH839" s="40"/>
      <c r="CI839" s="5"/>
      <c r="CK839" s="40"/>
      <c r="CL839" s="5"/>
      <c r="CN839" s="40"/>
      <c r="CO839" s="5"/>
      <c r="CQ839" s="40"/>
      <c r="CR839" s="5"/>
    </row>
    <row r="840">
      <c r="AL840" s="40"/>
      <c r="AM840" s="5"/>
      <c r="AO840" s="40"/>
      <c r="AP840" s="5"/>
      <c r="AR840" s="40"/>
      <c r="AS840" s="5"/>
      <c r="AU840" s="40"/>
      <c r="AV840" s="5"/>
      <c r="AX840" s="40"/>
      <c r="AY840" s="5"/>
      <c r="BA840" s="40"/>
      <c r="BB840" s="5"/>
      <c r="BD840" s="40"/>
      <c r="BE840" s="5"/>
      <c r="BG840" s="40"/>
      <c r="BH840" s="5"/>
      <c r="BJ840" s="40"/>
      <c r="BK840" s="5"/>
      <c r="BM840" s="40"/>
      <c r="BN840" s="5"/>
      <c r="BP840" s="40"/>
      <c r="BQ840" s="5"/>
      <c r="BS840" s="40"/>
      <c r="BT840" s="5"/>
      <c r="BV840" s="40"/>
      <c r="BW840" s="5"/>
      <c r="BY840" s="40"/>
      <c r="BZ840" s="5"/>
      <c r="CB840" s="40"/>
      <c r="CC840" s="5"/>
      <c r="CE840" s="40"/>
      <c r="CF840" s="5"/>
      <c r="CH840" s="40"/>
      <c r="CI840" s="5"/>
      <c r="CK840" s="40"/>
      <c r="CL840" s="5"/>
      <c r="CN840" s="40"/>
      <c r="CO840" s="5"/>
      <c r="CQ840" s="40"/>
      <c r="CR840" s="5"/>
    </row>
    <row r="841">
      <c r="AL841" s="40"/>
      <c r="AM841" s="5"/>
      <c r="AO841" s="40"/>
      <c r="AP841" s="5"/>
      <c r="AR841" s="40"/>
      <c r="AS841" s="5"/>
      <c r="AU841" s="40"/>
      <c r="AV841" s="5"/>
      <c r="AX841" s="40"/>
      <c r="AY841" s="5"/>
      <c r="BA841" s="40"/>
      <c r="BB841" s="5"/>
      <c r="BD841" s="40"/>
      <c r="BE841" s="5"/>
      <c r="BG841" s="40"/>
      <c r="BH841" s="5"/>
      <c r="BJ841" s="40"/>
      <c r="BK841" s="5"/>
      <c r="BM841" s="40"/>
      <c r="BN841" s="5"/>
      <c r="BP841" s="40"/>
      <c r="BQ841" s="5"/>
      <c r="BS841" s="40"/>
      <c r="BT841" s="5"/>
      <c r="BV841" s="40"/>
      <c r="BW841" s="5"/>
      <c r="BY841" s="40"/>
      <c r="BZ841" s="5"/>
      <c r="CB841" s="40"/>
      <c r="CC841" s="5"/>
      <c r="CE841" s="40"/>
      <c r="CF841" s="5"/>
      <c r="CH841" s="40"/>
      <c r="CI841" s="5"/>
      <c r="CK841" s="40"/>
      <c r="CL841" s="5"/>
      <c r="CN841" s="40"/>
      <c r="CO841" s="5"/>
      <c r="CQ841" s="40"/>
      <c r="CR841" s="5"/>
    </row>
    <row r="842">
      <c r="AL842" s="40"/>
      <c r="AM842" s="5"/>
      <c r="AO842" s="40"/>
      <c r="AP842" s="5"/>
      <c r="AR842" s="40"/>
      <c r="AS842" s="5"/>
      <c r="AU842" s="40"/>
      <c r="AV842" s="5"/>
      <c r="AX842" s="40"/>
      <c r="AY842" s="5"/>
      <c r="BA842" s="40"/>
      <c r="BB842" s="5"/>
      <c r="BD842" s="40"/>
      <c r="BE842" s="5"/>
      <c r="BG842" s="40"/>
      <c r="BH842" s="5"/>
      <c r="BJ842" s="40"/>
      <c r="BK842" s="5"/>
      <c r="BM842" s="40"/>
      <c r="BN842" s="5"/>
      <c r="BP842" s="40"/>
      <c r="BQ842" s="5"/>
      <c r="BS842" s="40"/>
      <c r="BT842" s="5"/>
      <c r="BV842" s="40"/>
      <c r="BW842" s="5"/>
      <c r="BY842" s="40"/>
      <c r="BZ842" s="5"/>
      <c r="CB842" s="40"/>
      <c r="CC842" s="5"/>
      <c r="CE842" s="40"/>
      <c r="CF842" s="5"/>
      <c r="CH842" s="40"/>
      <c r="CI842" s="5"/>
      <c r="CK842" s="40"/>
      <c r="CL842" s="5"/>
      <c r="CN842" s="40"/>
      <c r="CO842" s="5"/>
      <c r="CQ842" s="40"/>
      <c r="CR842" s="5"/>
    </row>
    <row r="843">
      <c r="AL843" s="40"/>
      <c r="AM843" s="5"/>
      <c r="AO843" s="40"/>
      <c r="AP843" s="5"/>
      <c r="AR843" s="40"/>
      <c r="AS843" s="5"/>
      <c r="AU843" s="40"/>
      <c r="AV843" s="5"/>
      <c r="AX843" s="40"/>
      <c r="AY843" s="5"/>
      <c r="BA843" s="40"/>
      <c r="BB843" s="5"/>
      <c r="BD843" s="40"/>
      <c r="BE843" s="5"/>
      <c r="BG843" s="40"/>
      <c r="BH843" s="5"/>
      <c r="BJ843" s="40"/>
      <c r="BK843" s="5"/>
      <c r="BM843" s="40"/>
      <c r="BN843" s="5"/>
      <c r="BP843" s="40"/>
      <c r="BQ843" s="5"/>
      <c r="BS843" s="40"/>
      <c r="BT843" s="5"/>
      <c r="BV843" s="40"/>
      <c r="BW843" s="5"/>
      <c r="BY843" s="40"/>
      <c r="BZ843" s="5"/>
      <c r="CB843" s="40"/>
      <c r="CC843" s="5"/>
      <c r="CE843" s="40"/>
      <c r="CF843" s="5"/>
      <c r="CH843" s="40"/>
      <c r="CI843" s="5"/>
      <c r="CK843" s="40"/>
      <c r="CL843" s="5"/>
      <c r="CN843" s="40"/>
      <c r="CO843" s="5"/>
      <c r="CQ843" s="40"/>
      <c r="CR843" s="5"/>
    </row>
    <row r="844">
      <c r="AL844" s="40"/>
      <c r="AM844" s="5"/>
      <c r="AO844" s="40"/>
      <c r="AP844" s="5"/>
      <c r="AR844" s="40"/>
      <c r="AS844" s="5"/>
      <c r="AU844" s="40"/>
      <c r="AV844" s="5"/>
      <c r="AX844" s="40"/>
      <c r="AY844" s="5"/>
      <c r="BA844" s="40"/>
      <c r="BB844" s="5"/>
      <c r="BD844" s="40"/>
      <c r="BE844" s="5"/>
      <c r="BG844" s="40"/>
      <c r="BH844" s="5"/>
      <c r="BJ844" s="40"/>
      <c r="BK844" s="5"/>
      <c r="BM844" s="40"/>
      <c r="BN844" s="5"/>
      <c r="BP844" s="40"/>
      <c r="BQ844" s="5"/>
      <c r="BS844" s="40"/>
      <c r="BT844" s="5"/>
      <c r="BV844" s="40"/>
      <c r="BW844" s="5"/>
      <c r="BY844" s="40"/>
      <c r="BZ844" s="5"/>
      <c r="CB844" s="40"/>
      <c r="CC844" s="5"/>
      <c r="CE844" s="40"/>
      <c r="CF844" s="5"/>
      <c r="CH844" s="40"/>
      <c r="CI844" s="5"/>
      <c r="CK844" s="40"/>
      <c r="CL844" s="5"/>
      <c r="CN844" s="40"/>
      <c r="CO844" s="5"/>
      <c r="CQ844" s="40"/>
      <c r="CR844" s="5"/>
    </row>
    <row r="845">
      <c r="AL845" s="40"/>
      <c r="AM845" s="5"/>
      <c r="AO845" s="40"/>
      <c r="AP845" s="5"/>
      <c r="AR845" s="40"/>
      <c r="AS845" s="5"/>
      <c r="AU845" s="40"/>
      <c r="AV845" s="5"/>
      <c r="AX845" s="40"/>
      <c r="AY845" s="5"/>
      <c r="BA845" s="40"/>
      <c r="BB845" s="5"/>
      <c r="BD845" s="40"/>
      <c r="BE845" s="5"/>
      <c r="BG845" s="40"/>
      <c r="BH845" s="5"/>
      <c r="BJ845" s="40"/>
      <c r="BK845" s="5"/>
      <c r="BM845" s="40"/>
      <c r="BN845" s="5"/>
      <c r="BP845" s="40"/>
      <c r="BQ845" s="5"/>
      <c r="BS845" s="40"/>
      <c r="BT845" s="5"/>
      <c r="BV845" s="40"/>
      <c r="BW845" s="5"/>
      <c r="BY845" s="40"/>
      <c r="BZ845" s="5"/>
      <c r="CB845" s="40"/>
      <c r="CC845" s="5"/>
      <c r="CE845" s="40"/>
      <c r="CF845" s="5"/>
      <c r="CH845" s="40"/>
      <c r="CI845" s="5"/>
      <c r="CK845" s="40"/>
      <c r="CL845" s="5"/>
      <c r="CN845" s="40"/>
      <c r="CO845" s="5"/>
      <c r="CQ845" s="40"/>
      <c r="CR845" s="5"/>
    </row>
    <row r="846">
      <c r="AL846" s="40"/>
      <c r="AM846" s="5"/>
      <c r="AO846" s="40"/>
      <c r="AP846" s="5"/>
      <c r="AR846" s="40"/>
      <c r="AS846" s="5"/>
      <c r="AU846" s="40"/>
      <c r="AV846" s="5"/>
      <c r="AX846" s="40"/>
      <c r="AY846" s="5"/>
      <c r="BA846" s="40"/>
      <c r="BB846" s="5"/>
      <c r="BD846" s="40"/>
      <c r="BE846" s="5"/>
      <c r="BG846" s="40"/>
      <c r="BH846" s="5"/>
      <c r="BJ846" s="40"/>
      <c r="BK846" s="5"/>
      <c r="BM846" s="40"/>
      <c r="BN846" s="5"/>
      <c r="BP846" s="40"/>
      <c r="BQ846" s="5"/>
      <c r="BS846" s="40"/>
      <c r="BT846" s="5"/>
      <c r="BV846" s="40"/>
      <c r="BW846" s="5"/>
      <c r="BY846" s="40"/>
      <c r="BZ846" s="5"/>
      <c r="CB846" s="40"/>
      <c r="CC846" s="5"/>
      <c r="CE846" s="40"/>
      <c r="CF846" s="5"/>
      <c r="CH846" s="40"/>
      <c r="CI846" s="5"/>
      <c r="CK846" s="40"/>
      <c r="CL846" s="5"/>
      <c r="CN846" s="40"/>
      <c r="CO846" s="5"/>
      <c r="CQ846" s="40"/>
      <c r="CR846" s="5"/>
    </row>
    <row r="847">
      <c r="AL847" s="40"/>
      <c r="AM847" s="5"/>
      <c r="AO847" s="40"/>
      <c r="AP847" s="5"/>
      <c r="AR847" s="40"/>
      <c r="AS847" s="5"/>
      <c r="AU847" s="40"/>
      <c r="AV847" s="5"/>
      <c r="AX847" s="40"/>
      <c r="AY847" s="5"/>
      <c r="BA847" s="40"/>
      <c r="BB847" s="5"/>
      <c r="BD847" s="40"/>
      <c r="BE847" s="5"/>
      <c r="BG847" s="40"/>
      <c r="BH847" s="5"/>
      <c r="BJ847" s="40"/>
      <c r="BK847" s="5"/>
      <c r="BM847" s="40"/>
      <c r="BN847" s="5"/>
      <c r="BP847" s="40"/>
      <c r="BQ847" s="5"/>
      <c r="BS847" s="40"/>
      <c r="BT847" s="5"/>
      <c r="BV847" s="40"/>
      <c r="BW847" s="5"/>
      <c r="BY847" s="40"/>
      <c r="BZ847" s="5"/>
      <c r="CB847" s="40"/>
      <c r="CC847" s="5"/>
      <c r="CE847" s="40"/>
      <c r="CF847" s="5"/>
      <c r="CH847" s="40"/>
      <c r="CI847" s="5"/>
      <c r="CK847" s="40"/>
      <c r="CL847" s="5"/>
      <c r="CN847" s="40"/>
      <c r="CO847" s="5"/>
      <c r="CQ847" s="40"/>
      <c r="CR847" s="5"/>
    </row>
    <row r="848">
      <c r="AL848" s="40"/>
      <c r="AM848" s="5"/>
      <c r="AO848" s="40"/>
      <c r="AP848" s="5"/>
      <c r="AR848" s="40"/>
      <c r="AS848" s="5"/>
      <c r="AU848" s="40"/>
      <c r="AV848" s="5"/>
      <c r="AX848" s="40"/>
      <c r="AY848" s="5"/>
      <c r="BA848" s="40"/>
      <c r="BB848" s="5"/>
      <c r="BD848" s="40"/>
      <c r="BE848" s="5"/>
      <c r="BG848" s="40"/>
      <c r="BH848" s="5"/>
      <c r="BJ848" s="40"/>
      <c r="BK848" s="5"/>
      <c r="BM848" s="40"/>
      <c r="BN848" s="5"/>
      <c r="BP848" s="40"/>
      <c r="BQ848" s="5"/>
      <c r="BS848" s="40"/>
      <c r="BT848" s="5"/>
      <c r="BV848" s="40"/>
      <c r="BW848" s="5"/>
      <c r="BY848" s="40"/>
      <c r="BZ848" s="5"/>
      <c r="CB848" s="40"/>
      <c r="CC848" s="5"/>
      <c r="CE848" s="40"/>
      <c r="CF848" s="5"/>
      <c r="CH848" s="40"/>
      <c r="CI848" s="5"/>
      <c r="CK848" s="40"/>
      <c r="CL848" s="5"/>
      <c r="CN848" s="40"/>
      <c r="CO848" s="5"/>
      <c r="CQ848" s="40"/>
      <c r="CR848" s="5"/>
    </row>
    <row r="849">
      <c r="AL849" s="40"/>
      <c r="AM849" s="5"/>
      <c r="AO849" s="40"/>
      <c r="AP849" s="5"/>
      <c r="AR849" s="40"/>
      <c r="AS849" s="5"/>
      <c r="AU849" s="40"/>
      <c r="AV849" s="5"/>
      <c r="AX849" s="40"/>
      <c r="AY849" s="5"/>
      <c r="BA849" s="40"/>
      <c r="BB849" s="5"/>
      <c r="BD849" s="40"/>
      <c r="BE849" s="5"/>
      <c r="BG849" s="40"/>
      <c r="BH849" s="5"/>
      <c r="BJ849" s="40"/>
      <c r="BK849" s="5"/>
      <c r="BM849" s="40"/>
      <c r="BN849" s="5"/>
      <c r="BP849" s="40"/>
      <c r="BQ849" s="5"/>
      <c r="BS849" s="40"/>
      <c r="BT849" s="5"/>
      <c r="BV849" s="40"/>
      <c r="BW849" s="5"/>
      <c r="BY849" s="40"/>
      <c r="BZ849" s="5"/>
      <c r="CB849" s="40"/>
      <c r="CC849" s="5"/>
      <c r="CE849" s="40"/>
      <c r="CF849" s="5"/>
      <c r="CH849" s="40"/>
      <c r="CI849" s="5"/>
      <c r="CK849" s="40"/>
      <c r="CL849" s="5"/>
      <c r="CN849" s="40"/>
      <c r="CO849" s="5"/>
      <c r="CQ849" s="40"/>
      <c r="CR849" s="5"/>
    </row>
    <row r="850">
      <c r="AL850" s="40"/>
      <c r="AM850" s="5"/>
      <c r="AO850" s="40"/>
      <c r="AP850" s="5"/>
      <c r="AR850" s="40"/>
      <c r="AS850" s="5"/>
      <c r="AU850" s="40"/>
      <c r="AV850" s="5"/>
      <c r="AX850" s="40"/>
      <c r="AY850" s="5"/>
      <c r="BA850" s="40"/>
      <c r="BB850" s="5"/>
      <c r="BD850" s="40"/>
      <c r="BE850" s="5"/>
      <c r="BG850" s="40"/>
      <c r="BH850" s="5"/>
      <c r="BJ850" s="40"/>
      <c r="BK850" s="5"/>
      <c r="BM850" s="40"/>
      <c r="BN850" s="5"/>
      <c r="BP850" s="40"/>
      <c r="BQ850" s="5"/>
      <c r="BS850" s="40"/>
      <c r="BT850" s="5"/>
      <c r="BV850" s="40"/>
      <c r="BW850" s="5"/>
      <c r="BY850" s="40"/>
      <c r="BZ850" s="5"/>
      <c r="CB850" s="40"/>
      <c r="CC850" s="5"/>
      <c r="CE850" s="40"/>
      <c r="CF850" s="5"/>
      <c r="CH850" s="40"/>
      <c r="CI850" s="5"/>
      <c r="CK850" s="40"/>
      <c r="CL850" s="5"/>
      <c r="CN850" s="40"/>
      <c r="CO850" s="5"/>
      <c r="CQ850" s="40"/>
      <c r="CR850" s="5"/>
    </row>
    <row r="851">
      <c r="AL851" s="40"/>
      <c r="AM851" s="5"/>
      <c r="AO851" s="40"/>
      <c r="AP851" s="5"/>
      <c r="AR851" s="40"/>
      <c r="AS851" s="5"/>
      <c r="AU851" s="40"/>
      <c r="AV851" s="5"/>
      <c r="AX851" s="40"/>
      <c r="AY851" s="5"/>
      <c r="BA851" s="40"/>
      <c r="BB851" s="5"/>
      <c r="BD851" s="40"/>
      <c r="BE851" s="5"/>
      <c r="BG851" s="40"/>
      <c r="BH851" s="5"/>
      <c r="BJ851" s="40"/>
      <c r="BK851" s="5"/>
      <c r="BM851" s="40"/>
      <c r="BN851" s="5"/>
      <c r="BP851" s="40"/>
      <c r="BQ851" s="5"/>
      <c r="BS851" s="40"/>
      <c r="BT851" s="5"/>
      <c r="BV851" s="40"/>
      <c r="BW851" s="5"/>
      <c r="BY851" s="40"/>
      <c r="BZ851" s="5"/>
      <c r="CB851" s="40"/>
      <c r="CC851" s="5"/>
      <c r="CE851" s="40"/>
      <c r="CF851" s="5"/>
      <c r="CH851" s="40"/>
      <c r="CI851" s="5"/>
      <c r="CK851" s="40"/>
      <c r="CL851" s="5"/>
      <c r="CN851" s="40"/>
      <c r="CO851" s="5"/>
      <c r="CQ851" s="40"/>
      <c r="CR851" s="5"/>
    </row>
    <row r="852">
      <c r="AL852" s="40"/>
      <c r="AM852" s="5"/>
      <c r="AO852" s="40"/>
      <c r="AP852" s="5"/>
      <c r="AR852" s="40"/>
      <c r="AS852" s="5"/>
      <c r="AU852" s="40"/>
      <c r="AV852" s="5"/>
      <c r="AX852" s="40"/>
      <c r="AY852" s="5"/>
      <c r="BA852" s="40"/>
      <c r="BB852" s="5"/>
      <c r="BD852" s="40"/>
      <c r="BE852" s="5"/>
      <c r="BG852" s="40"/>
      <c r="BH852" s="5"/>
      <c r="BJ852" s="40"/>
      <c r="BK852" s="5"/>
      <c r="BM852" s="40"/>
      <c r="BN852" s="5"/>
      <c r="BP852" s="40"/>
      <c r="BQ852" s="5"/>
      <c r="BS852" s="40"/>
      <c r="BT852" s="5"/>
      <c r="BV852" s="40"/>
      <c r="BW852" s="5"/>
      <c r="BY852" s="40"/>
      <c r="BZ852" s="5"/>
      <c r="CB852" s="40"/>
      <c r="CC852" s="5"/>
      <c r="CE852" s="40"/>
      <c r="CF852" s="5"/>
      <c r="CH852" s="40"/>
      <c r="CI852" s="5"/>
      <c r="CK852" s="40"/>
      <c r="CL852" s="5"/>
      <c r="CN852" s="40"/>
      <c r="CO852" s="5"/>
      <c r="CQ852" s="40"/>
      <c r="CR852" s="5"/>
    </row>
    <row r="853">
      <c r="AL853" s="40"/>
      <c r="AM853" s="5"/>
      <c r="AO853" s="40"/>
      <c r="AP853" s="5"/>
      <c r="AR853" s="40"/>
      <c r="AS853" s="5"/>
      <c r="AU853" s="40"/>
      <c r="AV853" s="5"/>
      <c r="AX853" s="40"/>
      <c r="AY853" s="5"/>
      <c r="BA853" s="40"/>
      <c r="BB853" s="5"/>
      <c r="BD853" s="40"/>
      <c r="BE853" s="5"/>
      <c r="BG853" s="40"/>
      <c r="BH853" s="5"/>
      <c r="BJ853" s="40"/>
      <c r="BK853" s="5"/>
      <c r="BM853" s="40"/>
      <c r="BN853" s="5"/>
      <c r="BP853" s="40"/>
      <c r="BQ853" s="5"/>
      <c r="BS853" s="40"/>
      <c r="BT853" s="5"/>
      <c r="BV853" s="40"/>
      <c r="BW853" s="5"/>
      <c r="BY853" s="40"/>
      <c r="BZ853" s="5"/>
      <c r="CB853" s="40"/>
      <c r="CC853" s="5"/>
      <c r="CE853" s="40"/>
      <c r="CF853" s="5"/>
      <c r="CH853" s="40"/>
      <c r="CI853" s="5"/>
      <c r="CK853" s="40"/>
      <c r="CL853" s="5"/>
      <c r="CN853" s="40"/>
      <c r="CO853" s="5"/>
      <c r="CQ853" s="40"/>
      <c r="CR853" s="5"/>
    </row>
    <row r="854">
      <c r="AL854" s="40"/>
      <c r="AM854" s="5"/>
      <c r="AO854" s="40"/>
      <c r="AP854" s="5"/>
      <c r="AR854" s="40"/>
      <c r="AS854" s="5"/>
      <c r="AU854" s="40"/>
      <c r="AV854" s="5"/>
      <c r="AX854" s="40"/>
      <c r="AY854" s="5"/>
      <c r="BA854" s="40"/>
      <c r="BB854" s="5"/>
      <c r="BD854" s="40"/>
      <c r="BE854" s="5"/>
      <c r="BG854" s="40"/>
      <c r="BH854" s="5"/>
      <c r="BJ854" s="40"/>
      <c r="BK854" s="5"/>
      <c r="BM854" s="40"/>
      <c r="BN854" s="5"/>
      <c r="BP854" s="40"/>
      <c r="BQ854" s="5"/>
      <c r="BS854" s="40"/>
      <c r="BT854" s="5"/>
      <c r="BV854" s="40"/>
      <c r="BW854" s="5"/>
      <c r="BY854" s="40"/>
      <c r="BZ854" s="5"/>
      <c r="CB854" s="40"/>
      <c r="CC854" s="5"/>
      <c r="CE854" s="40"/>
      <c r="CF854" s="5"/>
      <c r="CH854" s="40"/>
      <c r="CI854" s="5"/>
      <c r="CK854" s="40"/>
      <c r="CL854" s="5"/>
      <c r="CN854" s="40"/>
      <c r="CO854" s="5"/>
      <c r="CQ854" s="40"/>
      <c r="CR854" s="5"/>
    </row>
    <row r="855">
      <c r="AL855" s="40"/>
      <c r="AM855" s="5"/>
      <c r="AO855" s="40"/>
      <c r="AP855" s="5"/>
      <c r="AR855" s="40"/>
      <c r="AS855" s="5"/>
      <c r="AU855" s="40"/>
      <c r="AV855" s="5"/>
      <c r="AX855" s="40"/>
      <c r="AY855" s="5"/>
      <c r="BA855" s="40"/>
      <c r="BB855" s="5"/>
      <c r="BD855" s="40"/>
      <c r="BE855" s="5"/>
      <c r="BG855" s="40"/>
      <c r="BH855" s="5"/>
      <c r="BJ855" s="40"/>
      <c r="BK855" s="5"/>
      <c r="BM855" s="40"/>
      <c r="BN855" s="5"/>
      <c r="BP855" s="40"/>
      <c r="BQ855" s="5"/>
      <c r="BS855" s="40"/>
      <c r="BT855" s="5"/>
      <c r="BV855" s="40"/>
      <c r="BW855" s="5"/>
      <c r="BY855" s="40"/>
      <c r="BZ855" s="5"/>
      <c r="CB855" s="40"/>
      <c r="CC855" s="5"/>
      <c r="CE855" s="40"/>
      <c r="CF855" s="5"/>
      <c r="CH855" s="40"/>
      <c r="CI855" s="5"/>
      <c r="CK855" s="40"/>
      <c r="CL855" s="5"/>
      <c r="CN855" s="40"/>
      <c r="CO855" s="5"/>
      <c r="CQ855" s="40"/>
      <c r="CR855" s="5"/>
    </row>
    <row r="856">
      <c r="AL856" s="40"/>
      <c r="AM856" s="5"/>
      <c r="AO856" s="40"/>
      <c r="AP856" s="5"/>
      <c r="AR856" s="40"/>
      <c r="AS856" s="5"/>
      <c r="AU856" s="40"/>
      <c r="AV856" s="5"/>
      <c r="AX856" s="40"/>
      <c r="AY856" s="5"/>
      <c r="BA856" s="40"/>
      <c r="BB856" s="5"/>
      <c r="BD856" s="40"/>
      <c r="BE856" s="5"/>
      <c r="BG856" s="40"/>
      <c r="BH856" s="5"/>
      <c r="BJ856" s="40"/>
      <c r="BK856" s="5"/>
      <c r="BM856" s="40"/>
      <c r="BN856" s="5"/>
      <c r="BP856" s="40"/>
      <c r="BQ856" s="5"/>
      <c r="BS856" s="40"/>
      <c r="BT856" s="5"/>
      <c r="BV856" s="40"/>
      <c r="BW856" s="5"/>
      <c r="BY856" s="40"/>
      <c r="BZ856" s="5"/>
      <c r="CB856" s="40"/>
      <c r="CC856" s="5"/>
      <c r="CE856" s="40"/>
      <c r="CF856" s="5"/>
      <c r="CH856" s="40"/>
      <c r="CI856" s="5"/>
      <c r="CK856" s="40"/>
      <c r="CL856" s="5"/>
      <c r="CN856" s="40"/>
      <c r="CO856" s="5"/>
      <c r="CQ856" s="40"/>
      <c r="CR856" s="5"/>
    </row>
    <row r="857">
      <c r="AL857" s="40"/>
      <c r="AM857" s="5"/>
      <c r="AO857" s="40"/>
      <c r="AP857" s="5"/>
      <c r="AR857" s="40"/>
      <c r="AS857" s="5"/>
      <c r="AU857" s="40"/>
      <c r="AV857" s="5"/>
      <c r="AX857" s="40"/>
      <c r="AY857" s="5"/>
      <c r="BA857" s="40"/>
      <c r="BB857" s="5"/>
      <c r="BD857" s="40"/>
      <c r="BE857" s="5"/>
      <c r="BG857" s="40"/>
      <c r="BH857" s="5"/>
      <c r="BJ857" s="40"/>
      <c r="BK857" s="5"/>
      <c r="BM857" s="40"/>
      <c r="BN857" s="5"/>
      <c r="BP857" s="40"/>
      <c r="BQ857" s="5"/>
      <c r="BS857" s="40"/>
      <c r="BT857" s="5"/>
      <c r="BV857" s="40"/>
      <c r="BW857" s="5"/>
      <c r="BY857" s="40"/>
      <c r="BZ857" s="5"/>
      <c r="CB857" s="40"/>
      <c r="CC857" s="5"/>
      <c r="CE857" s="40"/>
      <c r="CF857" s="5"/>
      <c r="CH857" s="40"/>
      <c r="CI857" s="5"/>
      <c r="CK857" s="40"/>
      <c r="CL857" s="5"/>
      <c r="CN857" s="40"/>
      <c r="CO857" s="5"/>
      <c r="CQ857" s="40"/>
      <c r="CR857" s="5"/>
    </row>
    <row r="858">
      <c r="AL858" s="40"/>
      <c r="AM858" s="5"/>
      <c r="AO858" s="40"/>
      <c r="AP858" s="5"/>
      <c r="AR858" s="40"/>
      <c r="AS858" s="5"/>
      <c r="AU858" s="40"/>
      <c r="AV858" s="5"/>
      <c r="AX858" s="40"/>
      <c r="AY858" s="5"/>
      <c r="BA858" s="40"/>
      <c r="BB858" s="5"/>
      <c r="BD858" s="40"/>
      <c r="BE858" s="5"/>
      <c r="BG858" s="40"/>
      <c r="BH858" s="5"/>
      <c r="BJ858" s="40"/>
      <c r="BK858" s="5"/>
      <c r="BM858" s="40"/>
      <c r="BN858" s="5"/>
      <c r="BP858" s="40"/>
      <c r="BQ858" s="5"/>
      <c r="BS858" s="40"/>
      <c r="BT858" s="5"/>
      <c r="BV858" s="40"/>
      <c r="BW858" s="5"/>
      <c r="BY858" s="40"/>
      <c r="BZ858" s="5"/>
      <c r="CB858" s="40"/>
      <c r="CC858" s="5"/>
      <c r="CE858" s="40"/>
      <c r="CF858" s="5"/>
      <c r="CH858" s="40"/>
      <c r="CI858" s="5"/>
      <c r="CK858" s="40"/>
      <c r="CL858" s="5"/>
      <c r="CN858" s="40"/>
      <c r="CO858" s="5"/>
      <c r="CQ858" s="40"/>
      <c r="CR858" s="5"/>
    </row>
    <row r="859">
      <c r="AL859" s="40"/>
      <c r="AM859" s="5"/>
      <c r="AO859" s="40"/>
      <c r="AP859" s="5"/>
      <c r="AR859" s="40"/>
      <c r="AS859" s="5"/>
      <c r="AU859" s="40"/>
      <c r="AV859" s="5"/>
      <c r="AX859" s="40"/>
      <c r="AY859" s="5"/>
      <c r="BA859" s="40"/>
      <c r="BB859" s="5"/>
      <c r="BD859" s="40"/>
      <c r="BE859" s="5"/>
      <c r="BG859" s="40"/>
      <c r="BH859" s="5"/>
      <c r="BJ859" s="40"/>
      <c r="BK859" s="5"/>
      <c r="BM859" s="40"/>
      <c r="BN859" s="5"/>
      <c r="BP859" s="40"/>
      <c r="BQ859" s="5"/>
      <c r="BS859" s="40"/>
      <c r="BT859" s="5"/>
      <c r="BV859" s="40"/>
      <c r="BW859" s="5"/>
      <c r="BY859" s="40"/>
      <c r="BZ859" s="5"/>
      <c r="CB859" s="40"/>
      <c r="CC859" s="5"/>
      <c r="CE859" s="40"/>
      <c r="CF859" s="5"/>
      <c r="CH859" s="40"/>
      <c r="CI859" s="5"/>
      <c r="CK859" s="40"/>
      <c r="CL859" s="5"/>
      <c r="CN859" s="40"/>
      <c r="CO859" s="5"/>
      <c r="CQ859" s="40"/>
      <c r="CR859" s="5"/>
    </row>
    <row r="860">
      <c r="AL860" s="40"/>
      <c r="AM860" s="5"/>
      <c r="AO860" s="40"/>
      <c r="AP860" s="5"/>
      <c r="AR860" s="40"/>
      <c r="AS860" s="5"/>
      <c r="AU860" s="40"/>
      <c r="AV860" s="5"/>
      <c r="AX860" s="40"/>
      <c r="AY860" s="5"/>
      <c r="BA860" s="40"/>
      <c r="BB860" s="5"/>
      <c r="BD860" s="40"/>
      <c r="BE860" s="5"/>
      <c r="BG860" s="40"/>
      <c r="BH860" s="5"/>
      <c r="BJ860" s="40"/>
      <c r="BK860" s="5"/>
      <c r="BM860" s="40"/>
      <c r="BN860" s="5"/>
      <c r="BP860" s="40"/>
      <c r="BQ860" s="5"/>
      <c r="BS860" s="40"/>
      <c r="BT860" s="5"/>
      <c r="BV860" s="40"/>
      <c r="BW860" s="5"/>
      <c r="BY860" s="40"/>
      <c r="BZ860" s="5"/>
      <c r="CB860" s="40"/>
      <c r="CC860" s="5"/>
      <c r="CE860" s="40"/>
      <c r="CF860" s="5"/>
      <c r="CH860" s="40"/>
      <c r="CI860" s="5"/>
      <c r="CK860" s="40"/>
      <c r="CL860" s="5"/>
      <c r="CN860" s="40"/>
      <c r="CO860" s="5"/>
      <c r="CQ860" s="40"/>
      <c r="CR860" s="5"/>
    </row>
    <row r="861">
      <c r="AL861" s="40"/>
      <c r="AM861" s="5"/>
      <c r="AO861" s="40"/>
      <c r="AP861" s="5"/>
      <c r="AR861" s="40"/>
      <c r="AS861" s="5"/>
      <c r="AU861" s="40"/>
      <c r="AV861" s="5"/>
      <c r="AX861" s="40"/>
      <c r="AY861" s="5"/>
      <c r="BA861" s="40"/>
      <c r="BB861" s="5"/>
      <c r="BD861" s="40"/>
      <c r="BE861" s="5"/>
      <c r="BG861" s="40"/>
      <c r="BH861" s="5"/>
      <c r="BJ861" s="40"/>
      <c r="BK861" s="5"/>
      <c r="BM861" s="40"/>
      <c r="BN861" s="5"/>
      <c r="BP861" s="40"/>
      <c r="BQ861" s="5"/>
      <c r="BS861" s="40"/>
      <c r="BT861" s="5"/>
      <c r="BV861" s="40"/>
      <c r="BW861" s="5"/>
      <c r="BY861" s="40"/>
      <c r="BZ861" s="5"/>
      <c r="CB861" s="40"/>
      <c r="CC861" s="5"/>
      <c r="CE861" s="40"/>
      <c r="CF861" s="5"/>
      <c r="CH861" s="40"/>
      <c r="CI861" s="5"/>
      <c r="CK861" s="40"/>
      <c r="CL861" s="5"/>
      <c r="CN861" s="40"/>
      <c r="CO861" s="5"/>
      <c r="CQ861" s="40"/>
      <c r="CR861" s="5"/>
    </row>
    <row r="862">
      <c r="AL862" s="40"/>
      <c r="AM862" s="5"/>
      <c r="AO862" s="40"/>
      <c r="AP862" s="5"/>
      <c r="AR862" s="40"/>
      <c r="AS862" s="5"/>
      <c r="AU862" s="40"/>
      <c r="AV862" s="5"/>
      <c r="AX862" s="40"/>
      <c r="AY862" s="5"/>
      <c r="BA862" s="40"/>
      <c r="BB862" s="5"/>
      <c r="BD862" s="40"/>
      <c r="BE862" s="5"/>
      <c r="BG862" s="40"/>
      <c r="BH862" s="5"/>
      <c r="BJ862" s="40"/>
      <c r="BK862" s="5"/>
      <c r="BM862" s="40"/>
      <c r="BN862" s="5"/>
      <c r="BP862" s="40"/>
      <c r="BQ862" s="5"/>
      <c r="BS862" s="40"/>
      <c r="BT862" s="5"/>
      <c r="BV862" s="40"/>
      <c r="BW862" s="5"/>
      <c r="BY862" s="40"/>
      <c r="BZ862" s="5"/>
      <c r="CB862" s="40"/>
      <c r="CC862" s="5"/>
      <c r="CE862" s="40"/>
      <c r="CF862" s="5"/>
      <c r="CH862" s="40"/>
      <c r="CI862" s="5"/>
      <c r="CK862" s="40"/>
      <c r="CL862" s="5"/>
      <c r="CN862" s="40"/>
      <c r="CO862" s="5"/>
      <c r="CQ862" s="40"/>
      <c r="CR862" s="5"/>
    </row>
    <row r="863">
      <c r="AL863" s="40"/>
      <c r="AM863" s="5"/>
      <c r="AO863" s="40"/>
      <c r="AP863" s="5"/>
      <c r="AR863" s="40"/>
      <c r="AS863" s="5"/>
      <c r="AU863" s="40"/>
      <c r="AV863" s="5"/>
      <c r="AX863" s="40"/>
      <c r="AY863" s="5"/>
      <c r="BA863" s="40"/>
      <c r="BB863" s="5"/>
      <c r="BD863" s="40"/>
      <c r="BE863" s="5"/>
      <c r="BG863" s="40"/>
      <c r="BH863" s="5"/>
      <c r="BJ863" s="40"/>
      <c r="BK863" s="5"/>
      <c r="BM863" s="40"/>
      <c r="BN863" s="5"/>
      <c r="BP863" s="40"/>
      <c r="BQ863" s="5"/>
      <c r="BS863" s="40"/>
      <c r="BT863" s="5"/>
      <c r="BV863" s="40"/>
      <c r="BW863" s="5"/>
      <c r="BY863" s="40"/>
      <c r="BZ863" s="5"/>
      <c r="CB863" s="40"/>
      <c r="CC863" s="5"/>
      <c r="CE863" s="40"/>
      <c r="CF863" s="5"/>
      <c r="CH863" s="40"/>
      <c r="CI863" s="5"/>
      <c r="CK863" s="40"/>
      <c r="CL863" s="5"/>
      <c r="CN863" s="40"/>
      <c r="CO863" s="5"/>
      <c r="CQ863" s="40"/>
      <c r="CR863" s="5"/>
    </row>
    <row r="864">
      <c r="AL864" s="40"/>
      <c r="AM864" s="5"/>
      <c r="AO864" s="40"/>
      <c r="AP864" s="5"/>
      <c r="AR864" s="40"/>
      <c r="AS864" s="5"/>
      <c r="AU864" s="40"/>
      <c r="AV864" s="5"/>
      <c r="AX864" s="40"/>
      <c r="AY864" s="5"/>
      <c r="BA864" s="40"/>
      <c r="BB864" s="5"/>
      <c r="BD864" s="40"/>
      <c r="BE864" s="5"/>
      <c r="BG864" s="40"/>
      <c r="BH864" s="5"/>
      <c r="BJ864" s="40"/>
      <c r="BK864" s="5"/>
      <c r="BM864" s="40"/>
      <c r="BN864" s="5"/>
      <c r="BP864" s="40"/>
      <c r="BQ864" s="5"/>
      <c r="BS864" s="40"/>
      <c r="BT864" s="5"/>
      <c r="BV864" s="40"/>
      <c r="BW864" s="5"/>
      <c r="BY864" s="40"/>
      <c r="BZ864" s="5"/>
      <c r="CB864" s="40"/>
      <c r="CC864" s="5"/>
      <c r="CE864" s="40"/>
      <c r="CF864" s="5"/>
      <c r="CH864" s="40"/>
      <c r="CI864" s="5"/>
      <c r="CK864" s="40"/>
      <c r="CL864" s="5"/>
      <c r="CN864" s="40"/>
      <c r="CO864" s="5"/>
      <c r="CQ864" s="40"/>
      <c r="CR864" s="5"/>
    </row>
    <row r="865">
      <c r="AL865" s="40"/>
      <c r="AM865" s="5"/>
      <c r="AO865" s="40"/>
      <c r="AP865" s="5"/>
      <c r="AR865" s="40"/>
      <c r="AS865" s="5"/>
      <c r="AU865" s="40"/>
      <c r="AV865" s="5"/>
      <c r="AX865" s="40"/>
      <c r="AY865" s="5"/>
      <c r="BA865" s="40"/>
      <c r="BB865" s="5"/>
      <c r="BD865" s="40"/>
      <c r="BE865" s="5"/>
      <c r="BG865" s="40"/>
      <c r="BH865" s="5"/>
      <c r="BJ865" s="40"/>
      <c r="BK865" s="5"/>
      <c r="BM865" s="40"/>
      <c r="BN865" s="5"/>
      <c r="BP865" s="40"/>
      <c r="BQ865" s="5"/>
      <c r="BS865" s="40"/>
      <c r="BT865" s="5"/>
      <c r="BV865" s="40"/>
      <c r="BW865" s="5"/>
      <c r="BY865" s="40"/>
      <c r="BZ865" s="5"/>
      <c r="CB865" s="40"/>
      <c r="CC865" s="5"/>
      <c r="CE865" s="40"/>
      <c r="CF865" s="5"/>
      <c r="CH865" s="40"/>
      <c r="CI865" s="5"/>
      <c r="CK865" s="40"/>
      <c r="CL865" s="5"/>
      <c r="CN865" s="40"/>
      <c r="CO865" s="5"/>
      <c r="CQ865" s="40"/>
      <c r="CR865" s="5"/>
    </row>
    <row r="866">
      <c r="AL866" s="40"/>
      <c r="AM866" s="5"/>
      <c r="AO866" s="40"/>
      <c r="AP866" s="5"/>
      <c r="AR866" s="40"/>
      <c r="AS866" s="5"/>
      <c r="AU866" s="40"/>
      <c r="AV866" s="5"/>
      <c r="AX866" s="40"/>
      <c r="AY866" s="5"/>
      <c r="BA866" s="40"/>
      <c r="BB866" s="5"/>
      <c r="BD866" s="40"/>
      <c r="BE866" s="5"/>
      <c r="BG866" s="40"/>
      <c r="BH866" s="5"/>
      <c r="BJ866" s="40"/>
      <c r="BK866" s="5"/>
      <c r="BM866" s="40"/>
      <c r="BN866" s="5"/>
      <c r="BP866" s="40"/>
      <c r="BQ866" s="5"/>
      <c r="BS866" s="40"/>
      <c r="BT866" s="5"/>
      <c r="BV866" s="40"/>
      <c r="BW866" s="5"/>
      <c r="BY866" s="40"/>
      <c r="BZ866" s="5"/>
      <c r="CB866" s="40"/>
      <c r="CC866" s="5"/>
      <c r="CE866" s="40"/>
      <c r="CF866" s="5"/>
      <c r="CH866" s="40"/>
      <c r="CI866" s="5"/>
      <c r="CK866" s="40"/>
      <c r="CL866" s="5"/>
      <c r="CN866" s="40"/>
      <c r="CO866" s="5"/>
      <c r="CQ866" s="40"/>
      <c r="CR866" s="5"/>
    </row>
    <row r="867">
      <c r="AL867" s="40"/>
      <c r="AM867" s="5"/>
      <c r="AO867" s="40"/>
      <c r="AP867" s="5"/>
      <c r="AR867" s="40"/>
      <c r="AS867" s="5"/>
      <c r="AU867" s="40"/>
      <c r="AV867" s="5"/>
      <c r="AX867" s="40"/>
      <c r="AY867" s="5"/>
      <c r="BA867" s="40"/>
      <c r="BB867" s="5"/>
      <c r="BD867" s="40"/>
      <c r="BE867" s="5"/>
      <c r="BG867" s="40"/>
      <c r="BH867" s="5"/>
      <c r="BJ867" s="40"/>
      <c r="BK867" s="5"/>
      <c r="BM867" s="40"/>
      <c r="BN867" s="5"/>
      <c r="BP867" s="40"/>
      <c r="BQ867" s="5"/>
      <c r="BS867" s="40"/>
      <c r="BT867" s="5"/>
      <c r="BV867" s="40"/>
      <c r="BW867" s="5"/>
      <c r="BY867" s="40"/>
      <c r="BZ867" s="5"/>
      <c r="CB867" s="40"/>
      <c r="CC867" s="5"/>
      <c r="CE867" s="40"/>
      <c r="CF867" s="5"/>
      <c r="CH867" s="40"/>
      <c r="CI867" s="5"/>
      <c r="CK867" s="40"/>
      <c r="CL867" s="5"/>
      <c r="CN867" s="40"/>
      <c r="CO867" s="5"/>
      <c r="CQ867" s="40"/>
      <c r="CR867" s="5"/>
    </row>
    <row r="868">
      <c r="AL868" s="40"/>
      <c r="AM868" s="5"/>
      <c r="AO868" s="40"/>
      <c r="AP868" s="5"/>
      <c r="AR868" s="40"/>
      <c r="AS868" s="5"/>
      <c r="AU868" s="40"/>
      <c r="AV868" s="5"/>
      <c r="AX868" s="40"/>
      <c r="AY868" s="5"/>
      <c r="BA868" s="40"/>
      <c r="BB868" s="5"/>
      <c r="BD868" s="40"/>
      <c r="BE868" s="5"/>
      <c r="BG868" s="40"/>
      <c r="BH868" s="5"/>
      <c r="BJ868" s="40"/>
      <c r="BK868" s="5"/>
      <c r="BM868" s="40"/>
      <c r="BN868" s="5"/>
      <c r="BP868" s="40"/>
      <c r="BQ868" s="5"/>
      <c r="BS868" s="40"/>
      <c r="BT868" s="5"/>
      <c r="BV868" s="40"/>
      <c r="BW868" s="5"/>
      <c r="BY868" s="40"/>
      <c r="BZ868" s="5"/>
      <c r="CB868" s="40"/>
      <c r="CC868" s="5"/>
      <c r="CE868" s="40"/>
      <c r="CF868" s="5"/>
      <c r="CH868" s="40"/>
      <c r="CI868" s="5"/>
      <c r="CK868" s="40"/>
      <c r="CL868" s="5"/>
      <c r="CN868" s="40"/>
      <c r="CO868" s="5"/>
      <c r="CQ868" s="40"/>
      <c r="CR868" s="5"/>
    </row>
    <row r="869">
      <c r="AL869" s="40"/>
      <c r="AM869" s="5"/>
      <c r="AO869" s="40"/>
      <c r="AP869" s="5"/>
      <c r="AR869" s="40"/>
      <c r="AS869" s="5"/>
      <c r="AU869" s="40"/>
      <c r="AV869" s="5"/>
      <c r="AX869" s="40"/>
      <c r="AY869" s="5"/>
      <c r="BA869" s="40"/>
      <c r="BB869" s="5"/>
      <c r="BD869" s="40"/>
      <c r="BE869" s="5"/>
      <c r="BG869" s="40"/>
      <c r="BH869" s="5"/>
      <c r="BJ869" s="40"/>
      <c r="BK869" s="5"/>
      <c r="BM869" s="40"/>
      <c r="BN869" s="5"/>
      <c r="BP869" s="40"/>
      <c r="BQ869" s="5"/>
      <c r="BS869" s="40"/>
      <c r="BT869" s="5"/>
      <c r="BV869" s="40"/>
      <c r="BW869" s="5"/>
      <c r="BY869" s="40"/>
      <c r="BZ869" s="5"/>
      <c r="CB869" s="40"/>
      <c r="CC869" s="5"/>
      <c r="CE869" s="40"/>
      <c r="CF869" s="5"/>
      <c r="CH869" s="40"/>
      <c r="CI869" s="5"/>
      <c r="CK869" s="40"/>
      <c r="CL869" s="5"/>
      <c r="CN869" s="40"/>
      <c r="CO869" s="5"/>
      <c r="CQ869" s="40"/>
      <c r="CR869" s="5"/>
    </row>
    <row r="870">
      <c r="AL870" s="40"/>
      <c r="AM870" s="5"/>
      <c r="AO870" s="40"/>
      <c r="AP870" s="5"/>
      <c r="AR870" s="40"/>
      <c r="AS870" s="5"/>
      <c r="AU870" s="40"/>
      <c r="AV870" s="5"/>
      <c r="AX870" s="40"/>
      <c r="AY870" s="5"/>
      <c r="BA870" s="40"/>
      <c r="BB870" s="5"/>
      <c r="BD870" s="40"/>
      <c r="BE870" s="5"/>
      <c r="BG870" s="40"/>
      <c r="BH870" s="5"/>
      <c r="BJ870" s="40"/>
      <c r="BK870" s="5"/>
      <c r="BM870" s="40"/>
      <c r="BN870" s="5"/>
      <c r="BP870" s="40"/>
      <c r="BQ870" s="5"/>
      <c r="BS870" s="40"/>
      <c r="BT870" s="5"/>
      <c r="BV870" s="40"/>
      <c r="BW870" s="5"/>
      <c r="BY870" s="40"/>
      <c r="BZ870" s="5"/>
      <c r="CB870" s="40"/>
      <c r="CC870" s="5"/>
      <c r="CE870" s="40"/>
      <c r="CF870" s="5"/>
      <c r="CH870" s="40"/>
      <c r="CI870" s="5"/>
      <c r="CK870" s="40"/>
      <c r="CL870" s="5"/>
      <c r="CN870" s="40"/>
      <c r="CO870" s="5"/>
      <c r="CQ870" s="40"/>
      <c r="CR870" s="5"/>
    </row>
    <row r="871">
      <c r="AL871" s="40"/>
      <c r="AM871" s="5"/>
      <c r="AO871" s="40"/>
      <c r="AP871" s="5"/>
      <c r="AR871" s="40"/>
      <c r="AS871" s="5"/>
      <c r="AU871" s="40"/>
      <c r="AV871" s="5"/>
      <c r="AX871" s="40"/>
      <c r="AY871" s="5"/>
      <c r="BA871" s="40"/>
      <c r="BB871" s="5"/>
      <c r="BD871" s="40"/>
      <c r="BE871" s="5"/>
      <c r="BG871" s="40"/>
      <c r="BH871" s="5"/>
      <c r="BJ871" s="40"/>
      <c r="BK871" s="5"/>
      <c r="BM871" s="40"/>
      <c r="BN871" s="5"/>
      <c r="BP871" s="40"/>
      <c r="BQ871" s="5"/>
      <c r="BS871" s="40"/>
      <c r="BT871" s="5"/>
      <c r="BV871" s="40"/>
      <c r="BW871" s="5"/>
      <c r="BY871" s="40"/>
      <c r="BZ871" s="5"/>
      <c r="CB871" s="40"/>
      <c r="CC871" s="5"/>
      <c r="CE871" s="40"/>
      <c r="CF871" s="5"/>
      <c r="CH871" s="40"/>
      <c r="CI871" s="5"/>
      <c r="CK871" s="40"/>
      <c r="CL871" s="5"/>
      <c r="CN871" s="40"/>
      <c r="CO871" s="5"/>
      <c r="CQ871" s="40"/>
      <c r="CR871" s="5"/>
    </row>
    <row r="872">
      <c r="AL872" s="40"/>
      <c r="AM872" s="5"/>
      <c r="AO872" s="40"/>
      <c r="AP872" s="5"/>
      <c r="AR872" s="40"/>
      <c r="AS872" s="5"/>
      <c r="AU872" s="40"/>
      <c r="AV872" s="5"/>
      <c r="AX872" s="40"/>
      <c r="AY872" s="5"/>
      <c r="BA872" s="40"/>
      <c r="BB872" s="5"/>
      <c r="BD872" s="40"/>
      <c r="BE872" s="5"/>
      <c r="BG872" s="40"/>
      <c r="BH872" s="5"/>
      <c r="BJ872" s="40"/>
      <c r="BK872" s="5"/>
      <c r="BM872" s="40"/>
      <c r="BN872" s="5"/>
      <c r="BP872" s="40"/>
      <c r="BQ872" s="5"/>
      <c r="BS872" s="40"/>
      <c r="BT872" s="5"/>
      <c r="BV872" s="40"/>
      <c r="BW872" s="5"/>
      <c r="BY872" s="40"/>
      <c r="BZ872" s="5"/>
      <c r="CB872" s="40"/>
      <c r="CC872" s="5"/>
      <c r="CE872" s="40"/>
      <c r="CF872" s="5"/>
      <c r="CH872" s="40"/>
      <c r="CI872" s="5"/>
      <c r="CK872" s="40"/>
      <c r="CL872" s="5"/>
      <c r="CN872" s="40"/>
      <c r="CO872" s="5"/>
      <c r="CQ872" s="40"/>
      <c r="CR872" s="5"/>
    </row>
    <row r="873">
      <c r="AL873" s="40"/>
      <c r="AM873" s="5"/>
      <c r="AO873" s="40"/>
      <c r="AP873" s="5"/>
      <c r="AR873" s="40"/>
      <c r="AS873" s="5"/>
      <c r="AU873" s="40"/>
      <c r="AV873" s="5"/>
      <c r="AX873" s="40"/>
      <c r="AY873" s="5"/>
      <c r="BA873" s="40"/>
      <c r="BB873" s="5"/>
      <c r="BD873" s="40"/>
      <c r="BE873" s="5"/>
      <c r="BG873" s="40"/>
      <c r="BH873" s="5"/>
      <c r="BJ873" s="40"/>
      <c r="BK873" s="5"/>
      <c r="BM873" s="40"/>
      <c r="BN873" s="5"/>
      <c r="BP873" s="40"/>
      <c r="BQ873" s="5"/>
      <c r="BS873" s="40"/>
      <c r="BT873" s="5"/>
      <c r="BV873" s="40"/>
      <c r="BW873" s="5"/>
      <c r="BY873" s="40"/>
      <c r="BZ873" s="5"/>
      <c r="CB873" s="40"/>
      <c r="CC873" s="5"/>
      <c r="CE873" s="40"/>
      <c r="CF873" s="5"/>
      <c r="CH873" s="40"/>
      <c r="CI873" s="5"/>
      <c r="CK873" s="40"/>
      <c r="CL873" s="5"/>
      <c r="CN873" s="40"/>
      <c r="CO873" s="5"/>
      <c r="CQ873" s="40"/>
      <c r="CR873" s="5"/>
    </row>
    <row r="874">
      <c r="AL874" s="40"/>
      <c r="AM874" s="5"/>
      <c r="AO874" s="40"/>
      <c r="AP874" s="5"/>
      <c r="AR874" s="40"/>
      <c r="AS874" s="5"/>
      <c r="AU874" s="40"/>
      <c r="AV874" s="5"/>
      <c r="AX874" s="40"/>
      <c r="AY874" s="5"/>
      <c r="BA874" s="40"/>
      <c r="BB874" s="5"/>
      <c r="BD874" s="40"/>
      <c r="BE874" s="5"/>
      <c r="BG874" s="40"/>
      <c r="BH874" s="5"/>
      <c r="BJ874" s="40"/>
      <c r="BK874" s="5"/>
      <c r="BM874" s="40"/>
      <c r="BN874" s="5"/>
      <c r="BP874" s="40"/>
      <c r="BQ874" s="5"/>
      <c r="BS874" s="40"/>
      <c r="BT874" s="5"/>
      <c r="BV874" s="40"/>
      <c r="BW874" s="5"/>
      <c r="BY874" s="40"/>
      <c r="BZ874" s="5"/>
      <c r="CB874" s="40"/>
      <c r="CC874" s="5"/>
      <c r="CE874" s="40"/>
      <c r="CF874" s="5"/>
      <c r="CH874" s="40"/>
      <c r="CI874" s="5"/>
      <c r="CK874" s="40"/>
      <c r="CL874" s="5"/>
      <c r="CN874" s="40"/>
      <c r="CO874" s="5"/>
      <c r="CQ874" s="40"/>
      <c r="CR874" s="5"/>
    </row>
    <row r="875">
      <c r="AL875" s="40"/>
      <c r="AM875" s="5"/>
      <c r="AO875" s="40"/>
      <c r="AP875" s="5"/>
      <c r="AR875" s="40"/>
      <c r="AS875" s="5"/>
      <c r="AU875" s="40"/>
      <c r="AV875" s="5"/>
      <c r="AX875" s="40"/>
      <c r="AY875" s="5"/>
      <c r="BA875" s="40"/>
      <c r="BB875" s="5"/>
      <c r="BD875" s="40"/>
      <c r="BE875" s="5"/>
      <c r="BG875" s="40"/>
      <c r="BH875" s="5"/>
      <c r="BJ875" s="40"/>
      <c r="BK875" s="5"/>
      <c r="BM875" s="40"/>
      <c r="BN875" s="5"/>
      <c r="BP875" s="40"/>
      <c r="BQ875" s="5"/>
      <c r="BS875" s="40"/>
      <c r="BT875" s="5"/>
      <c r="BV875" s="40"/>
      <c r="BW875" s="5"/>
      <c r="BY875" s="40"/>
      <c r="BZ875" s="5"/>
      <c r="CB875" s="40"/>
      <c r="CC875" s="5"/>
      <c r="CE875" s="40"/>
      <c r="CF875" s="5"/>
      <c r="CH875" s="40"/>
      <c r="CI875" s="5"/>
      <c r="CK875" s="40"/>
      <c r="CL875" s="5"/>
      <c r="CN875" s="40"/>
      <c r="CO875" s="5"/>
      <c r="CQ875" s="40"/>
      <c r="CR875" s="5"/>
    </row>
    <row r="876">
      <c r="AL876" s="40"/>
      <c r="AM876" s="5"/>
      <c r="AO876" s="40"/>
      <c r="AP876" s="5"/>
      <c r="AR876" s="40"/>
      <c r="AS876" s="5"/>
      <c r="AU876" s="40"/>
      <c r="AV876" s="5"/>
      <c r="AX876" s="40"/>
      <c r="AY876" s="5"/>
      <c r="BA876" s="40"/>
      <c r="BB876" s="5"/>
      <c r="BD876" s="40"/>
      <c r="BE876" s="5"/>
      <c r="BG876" s="40"/>
      <c r="BH876" s="5"/>
      <c r="BJ876" s="40"/>
      <c r="BK876" s="5"/>
      <c r="BM876" s="40"/>
      <c r="BN876" s="5"/>
      <c r="BP876" s="40"/>
      <c r="BQ876" s="5"/>
      <c r="BS876" s="40"/>
      <c r="BT876" s="5"/>
      <c r="BV876" s="40"/>
      <c r="BW876" s="5"/>
      <c r="BY876" s="40"/>
      <c r="BZ876" s="5"/>
      <c r="CB876" s="40"/>
      <c r="CC876" s="5"/>
      <c r="CE876" s="40"/>
      <c r="CF876" s="5"/>
      <c r="CH876" s="40"/>
      <c r="CI876" s="5"/>
      <c r="CK876" s="40"/>
      <c r="CL876" s="5"/>
      <c r="CN876" s="40"/>
      <c r="CO876" s="5"/>
      <c r="CQ876" s="40"/>
      <c r="CR876" s="5"/>
    </row>
    <row r="877">
      <c r="AL877" s="40"/>
      <c r="AM877" s="5"/>
      <c r="AO877" s="40"/>
      <c r="AP877" s="5"/>
      <c r="AR877" s="40"/>
      <c r="AS877" s="5"/>
      <c r="AU877" s="40"/>
      <c r="AV877" s="5"/>
      <c r="AX877" s="40"/>
      <c r="AY877" s="5"/>
      <c r="BA877" s="40"/>
      <c r="BB877" s="5"/>
      <c r="BD877" s="40"/>
      <c r="BE877" s="5"/>
      <c r="BG877" s="40"/>
      <c r="BH877" s="5"/>
      <c r="BJ877" s="40"/>
      <c r="BK877" s="5"/>
      <c r="BM877" s="40"/>
      <c r="BN877" s="5"/>
      <c r="BP877" s="40"/>
      <c r="BQ877" s="5"/>
      <c r="BS877" s="40"/>
      <c r="BT877" s="5"/>
      <c r="BV877" s="40"/>
      <c r="BW877" s="5"/>
      <c r="BY877" s="40"/>
      <c r="BZ877" s="5"/>
      <c r="CB877" s="40"/>
      <c r="CC877" s="5"/>
      <c r="CE877" s="40"/>
      <c r="CF877" s="5"/>
      <c r="CH877" s="40"/>
      <c r="CI877" s="5"/>
      <c r="CK877" s="40"/>
      <c r="CL877" s="5"/>
      <c r="CN877" s="40"/>
      <c r="CO877" s="5"/>
      <c r="CQ877" s="40"/>
      <c r="CR877" s="5"/>
    </row>
    <row r="878">
      <c r="AL878" s="40"/>
      <c r="AM878" s="5"/>
      <c r="AO878" s="40"/>
      <c r="AP878" s="5"/>
      <c r="AR878" s="40"/>
      <c r="AS878" s="5"/>
      <c r="AU878" s="40"/>
      <c r="AV878" s="5"/>
      <c r="AX878" s="40"/>
      <c r="AY878" s="5"/>
      <c r="BA878" s="40"/>
      <c r="BB878" s="5"/>
      <c r="BD878" s="40"/>
      <c r="BE878" s="5"/>
      <c r="BG878" s="40"/>
      <c r="BH878" s="5"/>
      <c r="BJ878" s="40"/>
      <c r="BK878" s="5"/>
      <c r="BM878" s="40"/>
      <c r="BN878" s="5"/>
      <c r="BP878" s="40"/>
      <c r="BQ878" s="5"/>
      <c r="BS878" s="40"/>
      <c r="BT878" s="5"/>
      <c r="BV878" s="40"/>
      <c r="BW878" s="5"/>
      <c r="BY878" s="40"/>
      <c r="BZ878" s="5"/>
      <c r="CB878" s="40"/>
      <c r="CC878" s="5"/>
      <c r="CE878" s="40"/>
      <c r="CF878" s="5"/>
      <c r="CH878" s="40"/>
      <c r="CI878" s="5"/>
      <c r="CK878" s="40"/>
      <c r="CL878" s="5"/>
      <c r="CN878" s="40"/>
      <c r="CO878" s="5"/>
      <c r="CQ878" s="40"/>
      <c r="CR878" s="5"/>
    </row>
    <row r="879">
      <c r="AL879" s="40"/>
      <c r="AM879" s="5"/>
      <c r="AO879" s="40"/>
      <c r="AP879" s="5"/>
      <c r="AR879" s="40"/>
      <c r="AS879" s="5"/>
      <c r="AU879" s="40"/>
      <c r="AV879" s="5"/>
      <c r="AX879" s="40"/>
      <c r="AY879" s="5"/>
      <c r="BA879" s="40"/>
      <c r="BB879" s="5"/>
      <c r="BD879" s="40"/>
      <c r="BE879" s="5"/>
      <c r="BG879" s="40"/>
      <c r="BH879" s="5"/>
      <c r="BJ879" s="40"/>
      <c r="BK879" s="5"/>
      <c r="BM879" s="40"/>
      <c r="BN879" s="5"/>
      <c r="BP879" s="40"/>
      <c r="BQ879" s="5"/>
      <c r="BS879" s="40"/>
      <c r="BT879" s="5"/>
      <c r="BV879" s="40"/>
      <c r="BW879" s="5"/>
      <c r="BY879" s="40"/>
      <c r="BZ879" s="5"/>
      <c r="CB879" s="40"/>
      <c r="CC879" s="5"/>
      <c r="CE879" s="40"/>
      <c r="CF879" s="5"/>
      <c r="CH879" s="40"/>
      <c r="CI879" s="5"/>
      <c r="CK879" s="40"/>
      <c r="CL879" s="5"/>
      <c r="CN879" s="40"/>
      <c r="CO879" s="5"/>
      <c r="CQ879" s="40"/>
      <c r="CR879" s="5"/>
    </row>
    <row r="880">
      <c r="AL880" s="40"/>
      <c r="AM880" s="5"/>
      <c r="AO880" s="40"/>
      <c r="AP880" s="5"/>
      <c r="AR880" s="40"/>
      <c r="AS880" s="5"/>
      <c r="AU880" s="40"/>
      <c r="AV880" s="5"/>
      <c r="AX880" s="40"/>
      <c r="AY880" s="5"/>
      <c r="BA880" s="40"/>
      <c r="BB880" s="5"/>
      <c r="BD880" s="40"/>
      <c r="BE880" s="5"/>
      <c r="BG880" s="40"/>
      <c r="BH880" s="5"/>
      <c r="BJ880" s="40"/>
      <c r="BK880" s="5"/>
      <c r="BM880" s="40"/>
      <c r="BN880" s="5"/>
      <c r="BP880" s="40"/>
      <c r="BQ880" s="5"/>
      <c r="BS880" s="40"/>
      <c r="BT880" s="5"/>
      <c r="BV880" s="40"/>
      <c r="BW880" s="5"/>
      <c r="BY880" s="40"/>
      <c r="BZ880" s="5"/>
      <c r="CB880" s="40"/>
      <c r="CC880" s="5"/>
      <c r="CE880" s="40"/>
      <c r="CF880" s="5"/>
      <c r="CH880" s="40"/>
      <c r="CI880" s="5"/>
      <c r="CK880" s="40"/>
      <c r="CL880" s="5"/>
      <c r="CN880" s="40"/>
      <c r="CO880" s="5"/>
      <c r="CQ880" s="40"/>
      <c r="CR880" s="5"/>
    </row>
    <row r="881">
      <c r="AL881" s="40"/>
      <c r="AM881" s="5"/>
      <c r="AO881" s="40"/>
      <c r="AP881" s="5"/>
      <c r="AR881" s="40"/>
      <c r="AS881" s="5"/>
      <c r="AU881" s="40"/>
      <c r="AV881" s="5"/>
      <c r="AX881" s="40"/>
      <c r="AY881" s="5"/>
      <c r="BA881" s="40"/>
      <c r="BB881" s="5"/>
      <c r="BD881" s="40"/>
      <c r="BE881" s="5"/>
      <c r="BG881" s="40"/>
      <c r="BH881" s="5"/>
      <c r="BJ881" s="40"/>
      <c r="BK881" s="5"/>
      <c r="BM881" s="40"/>
      <c r="BN881" s="5"/>
      <c r="BP881" s="40"/>
      <c r="BQ881" s="5"/>
      <c r="BS881" s="40"/>
      <c r="BT881" s="5"/>
      <c r="BV881" s="40"/>
      <c r="BW881" s="5"/>
      <c r="BY881" s="40"/>
      <c r="BZ881" s="5"/>
      <c r="CB881" s="40"/>
      <c r="CC881" s="5"/>
      <c r="CE881" s="40"/>
      <c r="CF881" s="5"/>
      <c r="CH881" s="40"/>
      <c r="CI881" s="5"/>
      <c r="CK881" s="40"/>
      <c r="CL881" s="5"/>
      <c r="CN881" s="40"/>
      <c r="CO881" s="5"/>
      <c r="CQ881" s="40"/>
      <c r="CR881" s="5"/>
    </row>
    <row r="882">
      <c r="AL882" s="40"/>
      <c r="AM882" s="5"/>
      <c r="AO882" s="40"/>
      <c r="AP882" s="5"/>
      <c r="AR882" s="40"/>
      <c r="AS882" s="5"/>
      <c r="AU882" s="40"/>
      <c r="AV882" s="5"/>
      <c r="AX882" s="40"/>
      <c r="AY882" s="5"/>
      <c r="BA882" s="40"/>
      <c r="BB882" s="5"/>
      <c r="BD882" s="40"/>
      <c r="BE882" s="5"/>
      <c r="BG882" s="40"/>
      <c r="BH882" s="5"/>
      <c r="BJ882" s="40"/>
      <c r="BK882" s="5"/>
      <c r="BM882" s="40"/>
      <c r="BN882" s="5"/>
      <c r="BP882" s="40"/>
      <c r="BQ882" s="5"/>
      <c r="BS882" s="40"/>
      <c r="BT882" s="5"/>
      <c r="BV882" s="40"/>
      <c r="BW882" s="5"/>
      <c r="BY882" s="40"/>
      <c r="BZ882" s="5"/>
      <c r="CB882" s="40"/>
      <c r="CC882" s="5"/>
      <c r="CE882" s="40"/>
      <c r="CF882" s="5"/>
      <c r="CH882" s="40"/>
      <c r="CI882" s="5"/>
      <c r="CK882" s="40"/>
      <c r="CL882" s="5"/>
      <c r="CN882" s="40"/>
      <c r="CO882" s="5"/>
      <c r="CQ882" s="40"/>
      <c r="CR882" s="5"/>
    </row>
    <row r="883">
      <c r="AL883" s="40"/>
      <c r="AM883" s="5"/>
      <c r="AO883" s="40"/>
      <c r="AP883" s="5"/>
      <c r="AR883" s="40"/>
      <c r="AS883" s="5"/>
      <c r="AU883" s="40"/>
      <c r="AV883" s="5"/>
      <c r="AX883" s="40"/>
      <c r="AY883" s="5"/>
      <c r="BA883" s="40"/>
      <c r="BB883" s="5"/>
      <c r="BD883" s="40"/>
      <c r="BE883" s="5"/>
      <c r="BG883" s="40"/>
      <c r="BH883" s="5"/>
      <c r="BJ883" s="40"/>
      <c r="BK883" s="5"/>
      <c r="BM883" s="40"/>
      <c r="BN883" s="5"/>
      <c r="BP883" s="40"/>
      <c r="BQ883" s="5"/>
      <c r="BS883" s="40"/>
      <c r="BT883" s="5"/>
      <c r="BV883" s="40"/>
      <c r="BW883" s="5"/>
      <c r="BY883" s="40"/>
      <c r="BZ883" s="5"/>
      <c r="CB883" s="40"/>
      <c r="CC883" s="5"/>
      <c r="CE883" s="40"/>
      <c r="CF883" s="5"/>
      <c r="CH883" s="40"/>
      <c r="CI883" s="5"/>
      <c r="CK883" s="40"/>
      <c r="CL883" s="5"/>
      <c r="CN883" s="40"/>
      <c r="CO883" s="5"/>
      <c r="CQ883" s="40"/>
      <c r="CR883" s="5"/>
    </row>
    <row r="884">
      <c r="AL884" s="40"/>
      <c r="AM884" s="5"/>
      <c r="AO884" s="40"/>
      <c r="AP884" s="5"/>
      <c r="AR884" s="40"/>
      <c r="AS884" s="5"/>
      <c r="AU884" s="40"/>
      <c r="AV884" s="5"/>
      <c r="AX884" s="40"/>
      <c r="AY884" s="5"/>
      <c r="BA884" s="40"/>
      <c r="BB884" s="5"/>
      <c r="BD884" s="40"/>
      <c r="BE884" s="5"/>
      <c r="BG884" s="40"/>
      <c r="BH884" s="5"/>
      <c r="BJ884" s="40"/>
      <c r="BK884" s="5"/>
      <c r="BM884" s="40"/>
      <c r="BN884" s="5"/>
      <c r="BP884" s="40"/>
      <c r="BQ884" s="5"/>
      <c r="BS884" s="40"/>
      <c r="BT884" s="5"/>
      <c r="BV884" s="40"/>
      <c r="BW884" s="5"/>
      <c r="BY884" s="40"/>
      <c r="BZ884" s="5"/>
      <c r="CB884" s="40"/>
      <c r="CC884" s="5"/>
      <c r="CE884" s="40"/>
      <c r="CF884" s="5"/>
      <c r="CH884" s="40"/>
      <c r="CI884" s="5"/>
      <c r="CK884" s="40"/>
      <c r="CL884" s="5"/>
      <c r="CN884" s="40"/>
      <c r="CO884" s="5"/>
      <c r="CQ884" s="40"/>
      <c r="CR884" s="5"/>
    </row>
    <row r="885">
      <c r="AL885" s="40"/>
      <c r="AM885" s="5"/>
      <c r="AO885" s="40"/>
      <c r="AP885" s="5"/>
      <c r="AR885" s="40"/>
      <c r="AS885" s="5"/>
      <c r="AU885" s="40"/>
      <c r="AV885" s="5"/>
      <c r="AX885" s="40"/>
      <c r="AY885" s="5"/>
      <c r="BA885" s="40"/>
      <c r="BB885" s="5"/>
      <c r="BD885" s="40"/>
      <c r="BE885" s="5"/>
      <c r="BG885" s="40"/>
      <c r="BH885" s="5"/>
      <c r="BJ885" s="40"/>
      <c r="BK885" s="5"/>
      <c r="BM885" s="40"/>
      <c r="BN885" s="5"/>
      <c r="BP885" s="40"/>
      <c r="BQ885" s="5"/>
      <c r="BS885" s="40"/>
      <c r="BT885" s="5"/>
      <c r="BV885" s="40"/>
      <c r="BW885" s="5"/>
      <c r="BY885" s="40"/>
      <c r="BZ885" s="5"/>
      <c r="CB885" s="40"/>
      <c r="CC885" s="5"/>
      <c r="CE885" s="40"/>
      <c r="CF885" s="5"/>
      <c r="CH885" s="40"/>
      <c r="CI885" s="5"/>
      <c r="CK885" s="40"/>
      <c r="CL885" s="5"/>
      <c r="CN885" s="40"/>
      <c r="CO885" s="5"/>
      <c r="CQ885" s="40"/>
      <c r="CR885" s="5"/>
    </row>
    <row r="886">
      <c r="AL886" s="40"/>
      <c r="AM886" s="5"/>
      <c r="AO886" s="40"/>
      <c r="AP886" s="5"/>
      <c r="AR886" s="40"/>
      <c r="AS886" s="5"/>
      <c r="AU886" s="40"/>
      <c r="AV886" s="5"/>
      <c r="AX886" s="40"/>
      <c r="AY886" s="5"/>
      <c r="BA886" s="40"/>
      <c r="BB886" s="5"/>
      <c r="BD886" s="40"/>
      <c r="BE886" s="5"/>
      <c r="BG886" s="40"/>
      <c r="BH886" s="5"/>
      <c r="BJ886" s="40"/>
      <c r="BK886" s="5"/>
      <c r="BM886" s="40"/>
      <c r="BN886" s="5"/>
      <c r="BP886" s="40"/>
      <c r="BQ886" s="5"/>
      <c r="BS886" s="40"/>
      <c r="BT886" s="5"/>
      <c r="BV886" s="40"/>
      <c r="BW886" s="5"/>
      <c r="BY886" s="40"/>
      <c r="BZ886" s="5"/>
      <c r="CB886" s="40"/>
      <c r="CC886" s="5"/>
      <c r="CE886" s="40"/>
      <c r="CF886" s="5"/>
      <c r="CH886" s="40"/>
      <c r="CI886" s="5"/>
      <c r="CK886" s="40"/>
      <c r="CL886" s="5"/>
      <c r="CN886" s="40"/>
      <c r="CO886" s="5"/>
      <c r="CQ886" s="40"/>
      <c r="CR886" s="5"/>
    </row>
    <row r="887">
      <c r="AL887" s="40"/>
      <c r="AM887" s="5"/>
      <c r="AO887" s="40"/>
      <c r="AP887" s="5"/>
      <c r="AR887" s="40"/>
      <c r="AS887" s="5"/>
      <c r="AU887" s="40"/>
      <c r="AV887" s="5"/>
      <c r="AX887" s="40"/>
      <c r="AY887" s="5"/>
      <c r="BA887" s="40"/>
      <c r="BB887" s="5"/>
      <c r="BD887" s="40"/>
      <c r="BE887" s="5"/>
      <c r="BG887" s="40"/>
      <c r="BH887" s="5"/>
      <c r="BJ887" s="40"/>
      <c r="BK887" s="5"/>
      <c r="BM887" s="40"/>
      <c r="BN887" s="5"/>
      <c r="BP887" s="40"/>
      <c r="BQ887" s="5"/>
      <c r="BS887" s="40"/>
      <c r="BT887" s="5"/>
      <c r="BV887" s="40"/>
      <c r="BW887" s="5"/>
      <c r="BY887" s="40"/>
      <c r="BZ887" s="5"/>
      <c r="CB887" s="40"/>
      <c r="CC887" s="5"/>
      <c r="CE887" s="40"/>
      <c r="CF887" s="5"/>
      <c r="CH887" s="40"/>
      <c r="CI887" s="5"/>
      <c r="CK887" s="40"/>
      <c r="CL887" s="5"/>
      <c r="CN887" s="40"/>
      <c r="CO887" s="5"/>
      <c r="CQ887" s="40"/>
      <c r="CR887" s="5"/>
    </row>
    <row r="888">
      <c r="AL888" s="40"/>
      <c r="AM888" s="5"/>
      <c r="AO888" s="40"/>
      <c r="AP888" s="5"/>
      <c r="AR888" s="40"/>
      <c r="AS888" s="5"/>
      <c r="AU888" s="40"/>
      <c r="AV888" s="5"/>
      <c r="AX888" s="40"/>
      <c r="AY888" s="5"/>
      <c r="BA888" s="40"/>
      <c r="BB888" s="5"/>
      <c r="BD888" s="40"/>
      <c r="BE888" s="5"/>
      <c r="BG888" s="40"/>
      <c r="BH888" s="5"/>
      <c r="BJ888" s="40"/>
      <c r="BK888" s="5"/>
      <c r="BM888" s="40"/>
      <c r="BN888" s="5"/>
      <c r="BP888" s="40"/>
      <c r="BQ888" s="5"/>
      <c r="BS888" s="40"/>
      <c r="BT888" s="5"/>
      <c r="BV888" s="40"/>
      <c r="BW888" s="5"/>
      <c r="BY888" s="40"/>
      <c r="BZ888" s="5"/>
      <c r="CB888" s="40"/>
      <c r="CC888" s="5"/>
      <c r="CE888" s="40"/>
      <c r="CF888" s="5"/>
      <c r="CH888" s="40"/>
      <c r="CI888" s="5"/>
      <c r="CK888" s="40"/>
      <c r="CL888" s="5"/>
      <c r="CN888" s="40"/>
      <c r="CO888" s="5"/>
      <c r="CQ888" s="40"/>
      <c r="CR888" s="5"/>
    </row>
    <row r="889">
      <c r="AL889" s="40"/>
      <c r="AM889" s="5"/>
      <c r="AO889" s="40"/>
      <c r="AP889" s="5"/>
      <c r="AR889" s="40"/>
      <c r="AS889" s="5"/>
      <c r="AU889" s="40"/>
      <c r="AV889" s="5"/>
      <c r="AX889" s="40"/>
      <c r="AY889" s="5"/>
      <c r="BA889" s="40"/>
      <c r="BB889" s="5"/>
      <c r="BD889" s="40"/>
      <c r="BE889" s="5"/>
      <c r="BG889" s="40"/>
      <c r="BH889" s="5"/>
      <c r="BJ889" s="40"/>
      <c r="BK889" s="5"/>
      <c r="BM889" s="40"/>
      <c r="BN889" s="5"/>
      <c r="BP889" s="40"/>
      <c r="BQ889" s="5"/>
      <c r="BS889" s="40"/>
      <c r="BT889" s="5"/>
      <c r="BV889" s="40"/>
      <c r="BW889" s="5"/>
      <c r="BY889" s="40"/>
      <c r="BZ889" s="5"/>
      <c r="CB889" s="40"/>
      <c r="CC889" s="5"/>
      <c r="CE889" s="40"/>
      <c r="CF889" s="5"/>
      <c r="CH889" s="40"/>
      <c r="CI889" s="5"/>
      <c r="CK889" s="40"/>
      <c r="CL889" s="5"/>
      <c r="CN889" s="40"/>
      <c r="CO889" s="5"/>
      <c r="CQ889" s="40"/>
      <c r="CR889" s="5"/>
    </row>
    <row r="890">
      <c r="AL890" s="40"/>
      <c r="AM890" s="5"/>
      <c r="AO890" s="40"/>
      <c r="AP890" s="5"/>
      <c r="AR890" s="40"/>
      <c r="AS890" s="5"/>
      <c r="AU890" s="40"/>
      <c r="AV890" s="5"/>
      <c r="AX890" s="40"/>
      <c r="AY890" s="5"/>
      <c r="BA890" s="40"/>
      <c r="BB890" s="5"/>
      <c r="BD890" s="40"/>
      <c r="BE890" s="5"/>
      <c r="BG890" s="40"/>
      <c r="BH890" s="5"/>
      <c r="BJ890" s="40"/>
      <c r="BK890" s="5"/>
      <c r="BM890" s="40"/>
      <c r="BN890" s="5"/>
      <c r="BP890" s="40"/>
      <c r="BQ890" s="5"/>
      <c r="BS890" s="40"/>
      <c r="BT890" s="5"/>
      <c r="BV890" s="40"/>
      <c r="BW890" s="5"/>
      <c r="BY890" s="40"/>
      <c r="BZ890" s="5"/>
      <c r="CB890" s="40"/>
      <c r="CC890" s="5"/>
      <c r="CE890" s="40"/>
      <c r="CF890" s="5"/>
      <c r="CH890" s="40"/>
      <c r="CI890" s="5"/>
      <c r="CK890" s="40"/>
      <c r="CL890" s="5"/>
      <c r="CN890" s="40"/>
      <c r="CO890" s="5"/>
      <c r="CQ890" s="40"/>
      <c r="CR890" s="5"/>
    </row>
    <row r="891">
      <c r="AL891" s="40"/>
      <c r="AM891" s="5"/>
      <c r="AO891" s="40"/>
      <c r="AP891" s="5"/>
      <c r="AR891" s="40"/>
      <c r="AS891" s="5"/>
      <c r="AU891" s="40"/>
      <c r="AV891" s="5"/>
      <c r="AX891" s="40"/>
      <c r="AY891" s="5"/>
      <c r="BA891" s="40"/>
      <c r="BB891" s="5"/>
      <c r="BD891" s="40"/>
      <c r="BE891" s="5"/>
      <c r="BG891" s="40"/>
      <c r="BH891" s="5"/>
      <c r="BJ891" s="40"/>
      <c r="BK891" s="5"/>
      <c r="BM891" s="40"/>
      <c r="BN891" s="5"/>
      <c r="BP891" s="40"/>
      <c r="BQ891" s="5"/>
      <c r="BS891" s="40"/>
      <c r="BT891" s="5"/>
      <c r="BV891" s="40"/>
      <c r="BW891" s="5"/>
      <c r="BY891" s="40"/>
      <c r="BZ891" s="5"/>
      <c r="CB891" s="40"/>
      <c r="CC891" s="5"/>
      <c r="CE891" s="40"/>
      <c r="CF891" s="5"/>
      <c r="CH891" s="40"/>
      <c r="CI891" s="5"/>
      <c r="CK891" s="40"/>
      <c r="CL891" s="5"/>
      <c r="CN891" s="40"/>
      <c r="CO891" s="5"/>
      <c r="CQ891" s="40"/>
      <c r="CR891" s="5"/>
    </row>
    <row r="892">
      <c r="AL892" s="40"/>
      <c r="AM892" s="5"/>
      <c r="AO892" s="40"/>
      <c r="AP892" s="5"/>
      <c r="AR892" s="40"/>
      <c r="AS892" s="5"/>
      <c r="AU892" s="40"/>
      <c r="AV892" s="5"/>
      <c r="AX892" s="40"/>
      <c r="AY892" s="5"/>
      <c r="BA892" s="40"/>
      <c r="BB892" s="5"/>
      <c r="BD892" s="40"/>
      <c r="BE892" s="5"/>
      <c r="BG892" s="40"/>
      <c r="BH892" s="5"/>
      <c r="BJ892" s="40"/>
      <c r="BK892" s="5"/>
      <c r="BM892" s="40"/>
      <c r="BN892" s="5"/>
      <c r="BP892" s="40"/>
      <c r="BQ892" s="5"/>
      <c r="BS892" s="40"/>
      <c r="BT892" s="5"/>
      <c r="BV892" s="40"/>
      <c r="BW892" s="5"/>
      <c r="BY892" s="40"/>
      <c r="BZ892" s="5"/>
      <c r="CB892" s="40"/>
      <c r="CC892" s="5"/>
      <c r="CE892" s="40"/>
      <c r="CF892" s="5"/>
      <c r="CH892" s="40"/>
      <c r="CI892" s="5"/>
      <c r="CK892" s="40"/>
      <c r="CL892" s="5"/>
      <c r="CN892" s="40"/>
      <c r="CO892" s="5"/>
      <c r="CQ892" s="40"/>
      <c r="CR892" s="5"/>
    </row>
    <row r="893">
      <c r="AL893" s="40"/>
      <c r="AM893" s="5"/>
      <c r="AO893" s="40"/>
      <c r="AP893" s="5"/>
      <c r="AR893" s="40"/>
      <c r="AS893" s="5"/>
      <c r="AU893" s="40"/>
      <c r="AV893" s="5"/>
      <c r="AX893" s="40"/>
      <c r="AY893" s="5"/>
      <c r="BA893" s="40"/>
      <c r="BB893" s="5"/>
      <c r="BD893" s="40"/>
      <c r="BE893" s="5"/>
      <c r="BG893" s="40"/>
      <c r="BH893" s="5"/>
      <c r="BJ893" s="40"/>
      <c r="BK893" s="5"/>
      <c r="BM893" s="40"/>
      <c r="BN893" s="5"/>
      <c r="BP893" s="40"/>
      <c r="BQ893" s="5"/>
      <c r="BS893" s="40"/>
      <c r="BT893" s="5"/>
      <c r="BV893" s="40"/>
      <c r="BW893" s="5"/>
      <c r="BY893" s="40"/>
      <c r="BZ893" s="5"/>
      <c r="CB893" s="40"/>
      <c r="CC893" s="5"/>
      <c r="CE893" s="40"/>
      <c r="CF893" s="5"/>
      <c r="CH893" s="40"/>
      <c r="CI893" s="5"/>
      <c r="CK893" s="40"/>
      <c r="CL893" s="5"/>
      <c r="CN893" s="40"/>
      <c r="CO893" s="5"/>
      <c r="CQ893" s="40"/>
      <c r="CR893" s="5"/>
    </row>
    <row r="894">
      <c r="AL894" s="40"/>
      <c r="AM894" s="5"/>
      <c r="AO894" s="40"/>
      <c r="AP894" s="5"/>
      <c r="AR894" s="40"/>
      <c r="AS894" s="5"/>
      <c r="AU894" s="40"/>
      <c r="AV894" s="5"/>
      <c r="AX894" s="40"/>
      <c r="AY894" s="5"/>
      <c r="BA894" s="40"/>
      <c r="BB894" s="5"/>
      <c r="BD894" s="40"/>
      <c r="BE894" s="5"/>
      <c r="BG894" s="40"/>
      <c r="BH894" s="5"/>
      <c r="BJ894" s="40"/>
      <c r="BK894" s="5"/>
      <c r="BM894" s="40"/>
      <c r="BN894" s="5"/>
      <c r="BP894" s="40"/>
      <c r="BQ894" s="5"/>
      <c r="BS894" s="40"/>
      <c r="BT894" s="5"/>
      <c r="BV894" s="40"/>
      <c r="BW894" s="5"/>
      <c r="BY894" s="40"/>
      <c r="BZ894" s="5"/>
      <c r="CB894" s="40"/>
      <c r="CC894" s="5"/>
      <c r="CE894" s="40"/>
      <c r="CF894" s="5"/>
      <c r="CH894" s="40"/>
      <c r="CI894" s="5"/>
      <c r="CK894" s="40"/>
      <c r="CL894" s="5"/>
      <c r="CN894" s="40"/>
      <c r="CO894" s="5"/>
      <c r="CQ894" s="40"/>
      <c r="CR894" s="5"/>
    </row>
    <row r="895">
      <c r="AL895" s="40"/>
      <c r="AM895" s="5"/>
      <c r="AO895" s="40"/>
      <c r="AP895" s="5"/>
      <c r="AR895" s="40"/>
      <c r="AS895" s="5"/>
      <c r="AU895" s="40"/>
      <c r="AV895" s="5"/>
      <c r="AX895" s="40"/>
      <c r="AY895" s="5"/>
      <c r="BA895" s="40"/>
      <c r="BB895" s="5"/>
      <c r="BD895" s="40"/>
      <c r="BE895" s="5"/>
      <c r="BG895" s="40"/>
      <c r="BH895" s="5"/>
      <c r="BJ895" s="40"/>
      <c r="BK895" s="5"/>
      <c r="BM895" s="40"/>
      <c r="BN895" s="5"/>
      <c r="BP895" s="40"/>
      <c r="BQ895" s="5"/>
      <c r="BS895" s="40"/>
      <c r="BT895" s="5"/>
      <c r="BV895" s="40"/>
      <c r="BW895" s="5"/>
      <c r="BY895" s="40"/>
      <c r="BZ895" s="5"/>
      <c r="CB895" s="40"/>
      <c r="CC895" s="5"/>
      <c r="CE895" s="40"/>
      <c r="CF895" s="5"/>
      <c r="CH895" s="40"/>
      <c r="CI895" s="5"/>
      <c r="CK895" s="40"/>
      <c r="CL895" s="5"/>
      <c r="CN895" s="40"/>
      <c r="CO895" s="5"/>
      <c r="CQ895" s="40"/>
      <c r="CR895" s="5"/>
    </row>
    <row r="896">
      <c r="AL896" s="40"/>
      <c r="AM896" s="5"/>
      <c r="AO896" s="40"/>
      <c r="AP896" s="5"/>
      <c r="AR896" s="40"/>
      <c r="AS896" s="5"/>
      <c r="AU896" s="40"/>
      <c r="AV896" s="5"/>
      <c r="AX896" s="40"/>
      <c r="AY896" s="5"/>
      <c r="BA896" s="40"/>
      <c r="BB896" s="5"/>
      <c r="BD896" s="40"/>
      <c r="BE896" s="5"/>
      <c r="BG896" s="40"/>
      <c r="BH896" s="5"/>
      <c r="BJ896" s="40"/>
      <c r="BK896" s="5"/>
      <c r="BM896" s="40"/>
      <c r="BN896" s="5"/>
      <c r="BP896" s="40"/>
      <c r="BQ896" s="5"/>
      <c r="BS896" s="40"/>
      <c r="BT896" s="5"/>
      <c r="BV896" s="40"/>
      <c r="BW896" s="5"/>
      <c r="BY896" s="40"/>
      <c r="BZ896" s="5"/>
      <c r="CB896" s="40"/>
      <c r="CC896" s="5"/>
      <c r="CE896" s="40"/>
      <c r="CF896" s="5"/>
      <c r="CH896" s="40"/>
      <c r="CI896" s="5"/>
      <c r="CK896" s="40"/>
      <c r="CL896" s="5"/>
      <c r="CN896" s="40"/>
      <c r="CO896" s="5"/>
      <c r="CQ896" s="40"/>
      <c r="CR896" s="5"/>
    </row>
    <row r="897">
      <c r="AL897" s="40"/>
      <c r="AM897" s="5"/>
      <c r="AO897" s="40"/>
      <c r="AP897" s="5"/>
      <c r="AR897" s="40"/>
      <c r="AS897" s="5"/>
      <c r="AU897" s="40"/>
      <c r="AV897" s="5"/>
      <c r="AX897" s="40"/>
      <c r="AY897" s="5"/>
      <c r="BA897" s="40"/>
      <c r="BB897" s="5"/>
      <c r="BD897" s="40"/>
      <c r="BE897" s="5"/>
      <c r="BG897" s="40"/>
      <c r="BH897" s="5"/>
      <c r="BJ897" s="40"/>
      <c r="BK897" s="5"/>
      <c r="BM897" s="40"/>
      <c r="BN897" s="5"/>
      <c r="BP897" s="40"/>
      <c r="BQ897" s="5"/>
      <c r="BS897" s="40"/>
      <c r="BT897" s="5"/>
      <c r="BV897" s="40"/>
      <c r="BW897" s="5"/>
      <c r="BY897" s="40"/>
      <c r="BZ897" s="5"/>
      <c r="CB897" s="40"/>
      <c r="CC897" s="5"/>
      <c r="CE897" s="40"/>
      <c r="CF897" s="5"/>
      <c r="CH897" s="40"/>
      <c r="CI897" s="5"/>
      <c r="CK897" s="40"/>
      <c r="CL897" s="5"/>
      <c r="CN897" s="40"/>
      <c r="CO897" s="5"/>
      <c r="CQ897" s="40"/>
      <c r="CR897" s="5"/>
    </row>
    <row r="898">
      <c r="AL898" s="40"/>
      <c r="AM898" s="5"/>
      <c r="AO898" s="40"/>
      <c r="AP898" s="5"/>
      <c r="AR898" s="40"/>
      <c r="AS898" s="5"/>
      <c r="AU898" s="40"/>
      <c r="AV898" s="5"/>
      <c r="AX898" s="40"/>
      <c r="AY898" s="5"/>
      <c r="BA898" s="40"/>
      <c r="BB898" s="5"/>
      <c r="BD898" s="40"/>
      <c r="BE898" s="5"/>
      <c r="BG898" s="40"/>
      <c r="BH898" s="5"/>
      <c r="BJ898" s="40"/>
      <c r="BK898" s="5"/>
      <c r="BM898" s="40"/>
      <c r="BN898" s="5"/>
      <c r="BP898" s="40"/>
      <c r="BQ898" s="5"/>
      <c r="BS898" s="40"/>
      <c r="BT898" s="5"/>
      <c r="BV898" s="40"/>
      <c r="BW898" s="5"/>
      <c r="BY898" s="40"/>
      <c r="BZ898" s="5"/>
      <c r="CB898" s="40"/>
      <c r="CC898" s="5"/>
      <c r="CE898" s="40"/>
      <c r="CF898" s="5"/>
      <c r="CH898" s="40"/>
      <c r="CI898" s="5"/>
      <c r="CK898" s="40"/>
      <c r="CL898" s="5"/>
      <c r="CN898" s="40"/>
      <c r="CO898" s="5"/>
      <c r="CQ898" s="40"/>
      <c r="CR898" s="5"/>
    </row>
    <row r="899">
      <c r="AL899" s="40"/>
      <c r="AM899" s="5"/>
      <c r="AO899" s="40"/>
      <c r="AP899" s="5"/>
      <c r="AR899" s="40"/>
      <c r="AS899" s="5"/>
      <c r="AU899" s="40"/>
      <c r="AV899" s="5"/>
      <c r="AX899" s="40"/>
      <c r="AY899" s="5"/>
      <c r="BA899" s="40"/>
      <c r="BB899" s="5"/>
      <c r="BD899" s="40"/>
      <c r="BE899" s="5"/>
      <c r="BG899" s="40"/>
      <c r="BH899" s="5"/>
      <c r="BJ899" s="40"/>
      <c r="BK899" s="5"/>
      <c r="BM899" s="40"/>
      <c r="BN899" s="5"/>
      <c r="BP899" s="40"/>
      <c r="BQ899" s="5"/>
      <c r="BS899" s="40"/>
      <c r="BT899" s="5"/>
      <c r="BV899" s="40"/>
      <c r="BW899" s="5"/>
      <c r="BY899" s="40"/>
      <c r="BZ899" s="5"/>
      <c r="CB899" s="40"/>
      <c r="CC899" s="5"/>
      <c r="CE899" s="40"/>
      <c r="CF899" s="5"/>
      <c r="CH899" s="40"/>
      <c r="CI899" s="5"/>
      <c r="CK899" s="40"/>
      <c r="CL899" s="5"/>
      <c r="CN899" s="40"/>
      <c r="CO899" s="5"/>
      <c r="CQ899" s="40"/>
      <c r="CR899" s="5"/>
    </row>
    <row r="900">
      <c r="AL900" s="40"/>
      <c r="AM900" s="5"/>
      <c r="AO900" s="40"/>
      <c r="AP900" s="5"/>
      <c r="AR900" s="40"/>
      <c r="AS900" s="5"/>
      <c r="AU900" s="40"/>
      <c r="AV900" s="5"/>
      <c r="AX900" s="40"/>
      <c r="AY900" s="5"/>
      <c r="BA900" s="40"/>
      <c r="BB900" s="5"/>
      <c r="BD900" s="40"/>
      <c r="BE900" s="5"/>
      <c r="BG900" s="40"/>
      <c r="BH900" s="5"/>
      <c r="BJ900" s="40"/>
      <c r="BK900" s="5"/>
      <c r="BM900" s="40"/>
      <c r="BN900" s="5"/>
      <c r="BP900" s="40"/>
      <c r="BQ900" s="5"/>
      <c r="BS900" s="40"/>
      <c r="BT900" s="5"/>
      <c r="BV900" s="40"/>
      <c r="BW900" s="5"/>
      <c r="BY900" s="40"/>
      <c r="BZ900" s="5"/>
      <c r="CB900" s="40"/>
      <c r="CC900" s="5"/>
      <c r="CE900" s="40"/>
      <c r="CF900" s="5"/>
      <c r="CH900" s="40"/>
      <c r="CI900" s="5"/>
      <c r="CK900" s="40"/>
      <c r="CL900" s="5"/>
      <c r="CN900" s="40"/>
      <c r="CO900" s="5"/>
      <c r="CQ900" s="40"/>
      <c r="CR900" s="5"/>
    </row>
    <row r="901">
      <c r="AL901" s="40"/>
      <c r="AM901" s="5"/>
      <c r="AO901" s="40"/>
      <c r="AP901" s="5"/>
      <c r="AR901" s="40"/>
      <c r="AS901" s="5"/>
      <c r="AU901" s="40"/>
      <c r="AV901" s="5"/>
      <c r="AX901" s="40"/>
      <c r="AY901" s="5"/>
      <c r="BA901" s="40"/>
      <c r="BB901" s="5"/>
      <c r="BD901" s="40"/>
      <c r="BE901" s="5"/>
      <c r="BG901" s="40"/>
      <c r="BH901" s="5"/>
      <c r="BJ901" s="40"/>
      <c r="BK901" s="5"/>
      <c r="BM901" s="40"/>
      <c r="BN901" s="5"/>
      <c r="BP901" s="40"/>
      <c r="BQ901" s="5"/>
      <c r="BS901" s="40"/>
      <c r="BT901" s="5"/>
      <c r="BV901" s="40"/>
      <c r="BW901" s="5"/>
      <c r="BY901" s="40"/>
      <c r="BZ901" s="5"/>
      <c r="CB901" s="40"/>
      <c r="CC901" s="5"/>
      <c r="CE901" s="40"/>
      <c r="CF901" s="5"/>
      <c r="CH901" s="40"/>
      <c r="CI901" s="5"/>
      <c r="CK901" s="40"/>
      <c r="CL901" s="5"/>
      <c r="CN901" s="40"/>
      <c r="CO901" s="5"/>
      <c r="CQ901" s="40"/>
      <c r="CR901" s="5"/>
    </row>
    <row r="902">
      <c r="AL902" s="40"/>
      <c r="AM902" s="5"/>
      <c r="AO902" s="40"/>
      <c r="AP902" s="5"/>
      <c r="AR902" s="40"/>
      <c r="AS902" s="5"/>
      <c r="AU902" s="40"/>
      <c r="AV902" s="5"/>
      <c r="AX902" s="40"/>
      <c r="AY902" s="5"/>
      <c r="BA902" s="40"/>
      <c r="BB902" s="5"/>
      <c r="BD902" s="40"/>
      <c r="BE902" s="5"/>
      <c r="BG902" s="40"/>
      <c r="BH902" s="5"/>
      <c r="BJ902" s="40"/>
      <c r="BK902" s="5"/>
      <c r="BM902" s="40"/>
      <c r="BN902" s="5"/>
      <c r="BP902" s="40"/>
      <c r="BQ902" s="5"/>
      <c r="BS902" s="40"/>
      <c r="BT902" s="5"/>
      <c r="BV902" s="40"/>
      <c r="BW902" s="5"/>
      <c r="BY902" s="40"/>
      <c r="BZ902" s="5"/>
      <c r="CB902" s="40"/>
      <c r="CC902" s="5"/>
      <c r="CE902" s="40"/>
      <c r="CF902" s="5"/>
      <c r="CH902" s="40"/>
      <c r="CI902" s="5"/>
      <c r="CK902" s="40"/>
      <c r="CL902" s="5"/>
      <c r="CN902" s="40"/>
      <c r="CO902" s="5"/>
      <c r="CQ902" s="40"/>
      <c r="CR902" s="5"/>
    </row>
    <row r="903">
      <c r="AL903" s="40"/>
      <c r="AM903" s="5"/>
      <c r="AO903" s="40"/>
      <c r="AP903" s="5"/>
      <c r="AR903" s="40"/>
      <c r="AS903" s="5"/>
      <c r="AU903" s="40"/>
      <c r="AV903" s="5"/>
      <c r="AX903" s="40"/>
      <c r="AY903" s="5"/>
      <c r="BA903" s="40"/>
      <c r="BB903" s="5"/>
      <c r="BD903" s="40"/>
      <c r="BE903" s="5"/>
      <c r="BG903" s="40"/>
      <c r="BH903" s="5"/>
      <c r="BJ903" s="40"/>
      <c r="BK903" s="5"/>
      <c r="BM903" s="40"/>
      <c r="BN903" s="5"/>
      <c r="BP903" s="40"/>
      <c r="BQ903" s="5"/>
      <c r="BS903" s="40"/>
      <c r="BT903" s="5"/>
      <c r="BV903" s="40"/>
      <c r="BW903" s="5"/>
      <c r="BY903" s="40"/>
      <c r="BZ903" s="5"/>
      <c r="CB903" s="40"/>
      <c r="CC903" s="5"/>
      <c r="CE903" s="40"/>
      <c r="CF903" s="5"/>
      <c r="CH903" s="40"/>
      <c r="CI903" s="5"/>
      <c r="CK903" s="40"/>
      <c r="CL903" s="5"/>
      <c r="CN903" s="40"/>
      <c r="CO903" s="5"/>
      <c r="CQ903" s="40"/>
      <c r="CR903" s="5"/>
    </row>
    <row r="904">
      <c r="AL904" s="40"/>
      <c r="AM904" s="5"/>
      <c r="AO904" s="40"/>
      <c r="AP904" s="5"/>
      <c r="AR904" s="40"/>
      <c r="AS904" s="5"/>
      <c r="AU904" s="40"/>
      <c r="AV904" s="5"/>
      <c r="AX904" s="40"/>
      <c r="AY904" s="5"/>
      <c r="BA904" s="40"/>
      <c r="BB904" s="5"/>
      <c r="BD904" s="40"/>
      <c r="BE904" s="5"/>
      <c r="BG904" s="40"/>
      <c r="BH904" s="5"/>
      <c r="BJ904" s="40"/>
      <c r="BK904" s="5"/>
      <c r="BM904" s="40"/>
      <c r="BN904" s="5"/>
      <c r="BP904" s="40"/>
      <c r="BQ904" s="5"/>
      <c r="BS904" s="40"/>
      <c r="BT904" s="5"/>
      <c r="BV904" s="40"/>
      <c r="BW904" s="5"/>
      <c r="BY904" s="40"/>
      <c r="BZ904" s="5"/>
      <c r="CB904" s="40"/>
      <c r="CC904" s="5"/>
      <c r="CE904" s="40"/>
      <c r="CF904" s="5"/>
      <c r="CH904" s="40"/>
      <c r="CI904" s="5"/>
      <c r="CK904" s="40"/>
      <c r="CL904" s="5"/>
      <c r="CN904" s="40"/>
      <c r="CO904" s="5"/>
      <c r="CQ904" s="40"/>
      <c r="CR904" s="5"/>
    </row>
    <row r="905">
      <c r="AL905" s="40"/>
      <c r="AM905" s="5"/>
      <c r="AO905" s="40"/>
      <c r="AP905" s="5"/>
      <c r="AR905" s="40"/>
      <c r="AS905" s="5"/>
      <c r="AU905" s="40"/>
      <c r="AV905" s="5"/>
      <c r="AX905" s="40"/>
      <c r="AY905" s="5"/>
      <c r="BA905" s="40"/>
      <c r="BB905" s="5"/>
      <c r="BD905" s="40"/>
      <c r="BE905" s="5"/>
      <c r="BG905" s="40"/>
      <c r="BH905" s="5"/>
      <c r="BJ905" s="40"/>
      <c r="BK905" s="5"/>
      <c r="BM905" s="40"/>
      <c r="BN905" s="5"/>
      <c r="BP905" s="40"/>
      <c r="BQ905" s="5"/>
      <c r="BS905" s="40"/>
      <c r="BT905" s="5"/>
      <c r="BV905" s="40"/>
      <c r="BW905" s="5"/>
      <c r="BY905" s="40"/>
      <c r="BZ905" s="5"/>
      <c r="CB905" s="40"/>
      <c r="CC905" s="5"/>
      <c r="CE905" s="40"/>
      <c r="CF905" s="5"/>
      <c r="CH905" s="40"/>
      <c r="CI905" s="5"/>
      <c r="CK905" s="40"/>
      <c r="CL905" s="5"/>
      <c r="CN905" s="40"/>
      <c r="CO905" s="5"/>
      <c r="CQ905" s="40"/>
      <c r="CR905" s="5"/>
    </row>
    <row r="906">
      <c r="AL906" s="40"/>
      <c r="AM906" s="5"/>
      <c r="AO906" s="40"/>
      <c r="AP906" s="5"/>
      <c r="AR906" s="40"/>
      <c r="AS906" s="5"/>
      <c r="AU906" s="40"/>
      <c r="AV906" s="5"/>
      <c r="AX906" s="40"/>
      <c r="AY906" s="5"/>
      <c r="BA906" s="40"/>
      <c r="BB906" s="5"/>
      <c r="BD906" s="40"/>
      <c r="BE906" s="5"/>
      <c r="BG906" s="40"/>
      <c r="BH906" s="5"/>
      <c r="BJ906" s="40"/>
      <c r="BK906" s="5"/>
      <c r="BM906" s="40"/>
      <c r="BN906" s="5"/>
      <c r="BP906" s="40"/>
      <c r="BQ906" s="5"/>
      <c r="BS906" s="40"/>
      <c r="BT906" s="5"/>
      <c r="BV906" s="40"/>
      <c r="BW906" s="5"/>
      <c r="BY906" s="40"/>
      <c r="BZ906" s="5"/>
      <c r="CB906" s="40"/>
      <c r="CC906" s="5"/>
      <c r="CE906" s="40"/>
      <c r="CF906" s="5"/>
      <c r="CH906" s="40"/>
      <c r="CI906" s="5"/>
      <c r="CK906" s="40"/>
      <c r="CL906" s="5"/>
      <c r="CN906" s="40"/>
      <c r="CO906" s="5"/>
      <c r="CQ906" s="40"/>
      <c r="CR906" s="5"/>
    </row>
    <row r="907">
      <c r="AL907" s="40"/>
      <c r="AM907" s="5"/>
      <c r="AO907" s="40"/>
      <c r="AP907" s="5"/>
      <c r="AR907" s="40"/>
      <c r="AS907" s="5"/>
      <c r="AU907" s="40"/>
      <c r="AV907" s="5"/>
      <c r="AX907" s="40"/>
      <c r="AY907" s="5"/>
      <c r="BA907" s="40"/>
      <c r="BB907" s="5"/>
      <c r="BD907" s="40"/>
      <c r="BE907" s="5"/>
      <c r="BG907" s="40"/>
      <c r="BH907" s="5"/>
      <c r="BJ907" s="40"/>
      <c r="BK907" s="5"/>
      <c r="BM907" s="40"/>
      <c r="BN907" s="5"/>
      <c r="BP907" s="40"/>
      <c r="BQ907" s="5"/>
      <c r="BS907" s="40"/>
      <c r="BT907" s="5"/>
      <c r="BV907" s="40"/>
      <c r="BW907" s="5"/>
      <c r="BY907" s="40"/>
      <c r="BZ907" s="5"/>
      <c r="CB907" s="40"/>
      <c r="CC907" s="5"/>
      <c r="CE907" s="40"/>
      <c r="CF907" s="5"/>
      <c r="CH907" s="40"/>
      <c r="CI907" s="5"/>
      <c r="CK907" s="40"/>
      <c r="CL907" s="5"/>
      <c r="CN907" s="40"/>
      <c r="CO907" s="5"/>
      <c r="CQ907" s="40"/>
      <c r="CR907" s="5"/>
    </row>
    <row r="908">
      <c r="AL908" s="40"/>
      <c r="AM908" s="5"/>
      <c r="AO908" s="40"/>
      <c r="AP908" s="5"/>
      <c r="AR908" s="40"/>
      <c r="AS908" s="5"/>
      <c r="AU908" s="40"/>
      <c r="AV908" s="5"/>
      <c r="AX908" s="40"/>
      <c r="AY908" s="5"/>
      <c r="BA908" s="40"/>
      <c r="BB908" s="5"/>
      <c r="BD908" s="40"/>
      <c r="BE908" s="5"/>
      <c r="BG908" s="40"/>
      <c r="BH908" s="5"/>
      <c r="BJ908" s="40"/>
      <c r="BK908" s="5"/>
      <c r="BM908" s="40"/>
      <c r="BN908" s="5"/>
      <c r="BP908" s="40"/>
      <c r="BQ908" s="5"/>
      <c r="BS908" s="40"/>
      <c r="BT908" s="5"/>
      <c r="BV908" s="40"/>
      <c r="BW908" s="5"/>
      <c r="BY908" s="40"/>
      <c r="BZ908" s="5"/>
      <c r="CB908" s="40"/>
      <c r="CC908" s="5"/>
      <c r="CE908" s="40"/>
      <c r="CF908" s="5"/>
      <c r="CH908" s="40"/>
      <c r="CI908" s="5"/>
      <c r="CK908" s="40"/>
      <c r="CL908" s="5"/>
      <c r="CN908" s="40"/>
      <c r="CO908" s="5"/>
      <c r="CQ908" s="40"/>
      <c r="CR908" s="5"/>
    </row>
    <row r="909">
      <c r="AL909" s="40"/>
      <c r="AM909" s="5"/>
      <c r="AO909" s="40"/>
      <c r="AP909" s="5"/>
      <c r="AR909" s="40"/>
      <c r="AS909" s="5"/>
      <c r="AU909" s="40"/>
      <c r="AV909" s="5"/>
      <c r="AX909" s="40"/>
      <c r="AY909" s="5"/>
      <c r="BA909" s="40"/>
      <c r="BB909" s="5"/>
      <c r="BD909" s="40"/>
      <c r="BE909" s="5"/>
      <c r="BG909" s="40"/>
      <c r="BH909" s="5"/>
      <c r="BJ909" s="40"/>
      <c r="BK909" s="5"/>
      <c r="BM909" s="40"/>
      <c r="BN909" s="5"/>
      <c r="BP909" s="40"/>
      <c r="BQ909" s="5"/>
      <c r="BS909" s="40"/>
      <c r="BT909" s="5"/>
      <c r="BV909" s="40"/>
      <c r="BW909" s="5"/>
      <c r="BY909" s="40"/>
      <c r="BZ909" s="5"/>
      <c r="CB909" s="40"/>
      <c r="CC909" s="5"/>
      <c r="CE909" s="40"/>
      <c r="CF909" s="5"/>
      <c r="CH909" s="40"/>
      <c r="CI909" s="5"/>
      <c r="CK909" s="40"/>
      <c r="CL909" s="5"/>
      <c r="CN909" s="40"/>
      <c r="CO909" s="5"/>
      <c r="CQ909" s="40"/>
      <c r="CR909" s="5"/>
    </row>
    <row r="910">
      <c r="AL910" s="40"/>
      <c r="AM910" s="5"/>
      <c r="AO910" s="40"/>
      <c r="AP910" s="5"/>
      <c r="AR910" s="40"/>
      <c r="AS910" s="5"/>
      <c r="AU910" s="40"/>
      <c r="AV910" s="5"/>
      <c r="AX910" s="40"/>
      <c r="AY910" s="5"/>
      <c r="BA910" s="40"/>
      <c r="BB910" s="5"/>
      <c r="BD910" s="40"/>
      <c r="BE910" s="5"/>
      <c r="BG910" s="40"/>
      <c r="BH910" s="5"/>
      <c r="BJ910" s="40"/>
      <c r="BK910" s="5"/>
      <c r="BM910" s="40"/>
      <c r="BN910" s="5"/>
      <c r="BP910" s="40"/>
      <c r="BQ910" s="5"/>
      <c r="BS910" s="40"/>
      <c r="BT910" s="5"/>
      <c r="BV910" s="40"/>
      <c r="BW910" s="5"/>
      <c r="BY910" s="40"/>
      <c r="BZ910" s="5"/>
      <c r="CB910" s="40"/>
      <c r="CC910" s="5"/>
      <c r="CE910" s="40"/>
      <c r="CF910" s="5"/>
      <c r="CH910" s="40"/>
      <c r="CI910" s="5"/>
      <c r="CK910" s="40"/>
      <c r="CL910" s="5"/>
      <c r="CN910" s="40"/>
      <c r="CO910" s="5"/>
      <c r="CQ910" s="40"/>
      <c r="CR910" s="5"/>
    </row>
    <row r="911">
      <c r="AL911" s="40"/>
      <c r="AM911" s="5"/>
      <c r="AO911" s="40"/>
      <c r="AP911" s="5"/>
      <c r="AR911" s="40"/>
      <c r="AS911" s="5"/>
      <c r="AU911" s="40"/>
      <c r="AV911" s="5"/>
      <c r="AX911" s="40"/>
      <c r="AY911" s="5"/>
      <c r="BA911" s="40"/>
      <c r="BB911" s="5"/>
      <c r="BD911" s="40"/>
      <c r="BE911" s="5"/>
      <c r="BG911" s="40"/>
      <c r="BH911" s="5"/>
      <c r="BJ911" s="40"/>
      <c r="BK911" s="5"/>
      <c r="BM911" s="40"/>
      <c r="BN911" s="5"/>
      <c r="BP911" s="40"/>
      <c r="BQ911" s="5"/>
      <c r="BS911" s="40"/>
      <c r="BT911" s="5"/>
      <c r="BV911" s="40"/>
      <c r="BW911" s="5"/>
      <c r="BY911" s="40"/>
      <c r="BZ911" s="5"/>
      <c r="CB911" s="40"/>
      <c r="CC911" s="5"/>
      <c r="CE911" s="40"/>
      <c r="CF911" s="5"/>
      <c r="CH911" s="40"/>
      <c r="CI911" s="5"/>
      <c r="CK911" s="40"/>
      <c r="CL911" s="5"/>
      <c r="CN911" s="40"/>
      <c r="CO911" s="5"/>
      <c r="CQ911" s="40"/>
      <c r="CR911" s="5"/>
    </row>
    <row r="912">
      <c r="AL912" s="40"/>
      <c r="AM912" s="5"/>
      <c r="AO912" s="40"/>
      <c r="AP912" s="5"/>
      <c r="AR912" s="40"/>
      <c r="AS912" s="5"/>
      <c r="AU912" s="40"/>
      <c r="AV912" s="5"/>
      <c r="AX912" s="40"/>
      <c r="AY912" s="5"/>
      <c r="BA912" s="40"/>
      <c r="BB912" s="5"/>
      <c r="BD912" s="40"/>
      <c r="BE912" s="5"/>
      <c r="BG912" s="40"/>
      <c r="BH912" s="5"/>
      <c r="BJ912" s="40"/>
      <c r="BK912" s="5"/>
      <c r="BM912" s="40"/>
      <c r="BN912" s="5"/>
      <c r="BP912" s="40"/>
      <c r="BQ912" s="5"/>
      <c r="BS912" s="40"/>
      <c r="BT912" s="5"/>
      <c r="BV912" s="40"/>
      <c r="BW912" s="5"/>
      <c r="BY912" s="40"/>
      <c r="BZ912" s="5"/>
      <c r="CB912" s="40"/>
      <c r="CC912" s="5"/>
      <c r="CE912" s="40"/>
      <c r="CF912" s="5"/>
      <c r="CH912" s="40"/>
      <c r="CI912" s="5"/>
      <c r="CK912" s="40"/>
      <c r="CL912" s="5"/>
      <c r="CN912" s="40"/>
      <c r="CO912" s="5"/>
      <c r="CQ912" s="40"/>
      <c r="CR912" s="5"/>
    </row>
    <row r="913">
      <c r="AL913" s="40"/>
      <c r="AM913" s="5"/>
      <c r="AO913" s="40"/>
      <c r="AP913" s="5"/>
      <c r="AR913" s="40"/>
      <c r="AS913" s="5"/>
      <c r="AU913" s="40"/>
      <c r="AV913" s="5"/>
      <c r="AX913" s="40"/>
      <c r="AY913" s="5"/>
      <c r="BA913" s="40"/>
      <c r="BB913" s="5"/>
      <c r="BD913" s="40"/>
      <c r="BE913" s="5"/>
      <c r="BG913" s="40"/>
      <c r="BH913" s="5"/>
      <c r="BJ913" s="40"/>
      <c r="BK913" s="5"/>
      <c r="BM913" s="40"/>
      <c r="BN913" s="5"/>
      <c r="BP913" s="40"/>
      <c r="BQ913" s="5"/>
      <c r="BS913" s="40"/>
      <c r="BT913" s="5"/>
      <c r="BV913" s="40"/>
      <c r="BW913" s="5"/>
      <c r="BY913" s="40"/>
      <c r="BZ913" s="5"/>
      <c r="CB913" s="40"/>
      <c r="CC913" s="5"/>
      <c r="CE913" s="40"/>
      <c r="CF913" s="5"/>
      <c r="CH913" s="40"/>
      <c r="CI913" s="5"/>
      <c r="CK913" s="40"/>
      <c r="CL913" s="5"/>
      <c r="CN913" s="40"/>
      <c r="CO913" s="5"/>
      <c r="CQ913" s="40"/>
      <c r="CR913" s="5"/>
    </row>
    <row r="914">
      <c r="AL914" s="40"/>
      <c r="AM914" s="5"/>
      <c r="AO914" s="40"/>
      <c r="AP914" s="5"/>
      <c r="AR914" s="40"/>
      <c r="AS914" s="5"/>
      <c r="AU914" s="40"/>
      <c r="AV914" s="5"/>
      <c r="AX914" s="40"/>
      <c r="AY914" s="5"/>
      <c r="BA914" s="40"/>
      <c r="BB914" s="5"/>
      <c r="BD914" s="40"/>
      <c r="BE914" s="5"/>
      <c r="BG914" s="40"/>
      <c r="BH914" s="5"/>
      <c r="BJ914" s="40"/>
      <c r="BK914" s="5"/>
      <c r="BM914" s="40"/>
      <c r="BN914" s="5"/>
      <c r="BP914" s="40"/>
      <c r="BQ914" s="5"/>
      <c r="BS914" s="40"/>
      <c r="BT914" s="5"/>
      <c r="BV914" s="40"/>
      <c r="BW914" s="5"/>
      <c r="BY914" s="40"/>
      <c r="BZ914" s="5"/>
      <c r="CB914" s="40"/>
      <c r="CC914" s="5"/>
      <c r="CE914" s="40"/>
      <c r="CF914" s="5"/>
      <c r="CH914" s="40"/>
      <c r="CI914" s="5"/>
      <c r="CK914" s="40"/>
      <c r="CL914" s="5"/>
      <c r="CN914" s="40"/>
      <c r="CO914" s="5"/>
      <c r="CQ914" s="40"/>
      <c r="CR914" s="5"/>
    </row>
    <row r="915">
      <c r="AL915" s="40"/>
      <c r="AM915" s="5"/>
      <c r="AO915" s="40"/>
      <c r="AP915" s="5"/>
      <c r="AR915" s="40"/>
      <c r="AS915" s="5"/>
      <c r="AU915" s="40"/>
      <c r="AV915" s="5"/>
      <c r="AX915" s="40"/>
      <c r="AY915" s="5"/>
      <c r="BA915" s="40"/>
      <c r="BB915" s="5"/>
      <c r="BD915" s="40"/>
      <c r="BE915" s="5"/>
      <c r="BG915" s="40"/>
      <c r="BH915" s="5"/>
      <c r="BJ915" s="40"/>
      <c r="BK915" s="5"/>
      <c r="BM915" s="40"/>
      <c r="BN915" s="5"/>
      <c r="BP915" s="40"/>
      <c r="BQ915" s="5"/>
      <c r="BS915" s="40"/>
      <c r="BT915" s="5"/>
      <c r="BV915" s="40"/>
      <c r="BW915" s="5"/>
      <c r="BY915" s="40"/>
      <c r="BZ915" s="5"/>
      <c r="CB915" s="40"/>
      <c r="CC915" s="5"/>
      <c r="CE915" s="40"/>
      <c r="CF915" s="5"/>
      <c r="CH915" s="40"/>
      <c r="CI915" s="5"/>
      <c r="CK915" s="40"/>
      <c r="CL915" s="5"/>
      <c r="CN915" s="40"/>
      <c r="CO915" s="5"/>
      <c r="CQ915" s="40"/>
      <c r="CR915" s="5"/>
    </row>
    <row r="916">
      <c r="AL916" s="40"/>
      <c r="AM916" s="5"/>
      <c r="AO916" s="40"/>
      <c r="AP916" s="5"/>
      <c r="AR916" s="40"/>
      <c r="AS916" s="5"/>
      <c r="AU916" s="40"/>
      <c r="AV916" s="5"/>
      <c r="AX916" s="40"/>
      <c r="AY916" s="5"/>
      <c r="BA916" s="40"/>
      <c r="BB916" s="5"/>
      <c r="BD916" s="40"/>
      <c r="BE916" s="5"/>
      <c r="BG916" s="40"/>
      <c r="BH916" s="5"/>
      <c r="BJ916" s="40"/>
      <c r="BK916" s="5"/>
      <c r="BM916" s="40"/>
      <c r="BN916" s="5"/>
      <c r="BP916" s="40"/>
      <c r="BQ916" s="5"/>
      <c r="BS916" s="40"/>
      <c r="BT916" s="5"/>
      <c r="BV916" s="40"/>
      <c r="BW916" s="5"/>
      <c r="BY916" s="40"/>
      <c r="BZ916" s="5"/>
      <c r="CB916" s="40"/>
      <c r="CC916" s="5"/>
      <c r="CE916" s="40"/>
      <c r="CF916" s="5"/>
      <c r="CH916" s="40"/>
      <c r="CI916" s="5"/>
      <c r="CK916" s="40"/>
      <c r="CL916" s="5"/>
      <c r="CN916" s="40"/>
      <c r="CO916" s="5"/>
      <c r="CQ916" s="40"/>
      <c r="CR916" s="5"/>
    </row>
    <row r="917">
      <c r="AL917" s="40"/>
      <c r="AM917" s="5"/>
      <c r="AO917" s="40"/>
      <c r="AP917" s="5"/>
      <c r="AR917" s="40"/>
      <c r="AS917" s="5"/>
      <c r="AU917" s="40"/>
      <c r="AV917" s="5"/>
      <c r="AX917" s="40"/>
      <c r="AY917" s="5"/>
      <c r="BA917" s="40"/>
      <c r="BB917" s="5"/>
      <c r="BD917" s="40"/>
      <c r="BE917" s="5"/>
      <c r="BG917" s="40"/>
      <c r="BH917" s="5"/>
      <c r="BJ917" s="40"/>
      <c r="BK917" s="5"/>
      <c r="BM917" s="40"/>
      <c r="BN917" s="5"/>
      <c r="BP917" s="40"/>
      <c r="BQ917" s="5"/>
      <c r="BS917" s="40"/>
      <c r="BT917" s="5"/>
      <c r="BV917" s="40"/>
      <c r="BW917" s="5"/>
      <c r="BY917" s="40"/>
      <c r="BZ917" s="5"/>
      <c r="CB917" s="40"/>
      <c r="CC917" s="5"/>
      <c r="CE917" s="40"/>
      <c r="CF917" s="5"/>
      <c r="CH917" s="40"/>
      <c r="CI917" s="5"/>
      <c r="CK917" s="40"/>
      <c r="CL917" s="5"/>
      <c r="CN917" s="40"/>
      <c r="CO917" s="5"/>
      <c r="CQ917" s="40"/>
      <c r="CR917" s="5"/>
    </row>
    <row r="918">
      <c r="AL918" s="40"/>
      <c r="AM918" s="5"/>
      <c r="AO918" s="40"/>
      <c r="AP918" s="5"/>
      <c r="AR918" s="40"/>
      <c r="AS918" s="5"/>
      <c r="AU918" s="40"/>
      <c r="AV918" s="5"/>
      <c r="AX918" s="40"/>
      <c r="AY918" s="5"/>
      <c r="BA918" s="40"/>
      <c r="BB918" s="5"/>
      <c r="BD918" s="40"/>
      <c r="BE918" s="5"/>
      <c r="BG918" s="40"/>
      <c r="BH918" s="5"/>
      <c r="BJ918" s="40"/>
      <c r="BK918" s="5"/>
      <c r="BM918" s="40"/>
      <c r="BN918" s="5"/>
      <c r="BP918" s="40"/>
      <c r="BQ918" s="5"/>
      <c r="BS918" s="40"/>
      <c r="BT918" s="5"/>
      <c r="BV918" s="40"/>
      <c r="BW918" s="5"/>
      <c r="BY918" s="40"/>
      <c r="BZ918" s="5"/>
      <c r="CB918" s="40"/>
      <c r="CC918" s="5"/>
      <c r="CE918" s="40"/>
      <c r="CF918" s="5"/>
      <c r="CH918" s="40"/>
      <c r="CI918" s="5"/>
      <c r="CK918" s="40"/>
      <c r="CL918" s="5"/>
      <c r="CN918" s="40"/>
      <c r="CO918" s="5"/>
      <c r="CQ918" s="40"/>
      <c r="CR918" s="5"/>
    </row>
    <row r="919">
      <c r="AL919" s="40"/>
      <c r="AM919" s="5"/>
      <c r="AO919" s="40"/>
      <c r="AP919" s="5"/>
      <c r="AR919" s="40"/>
      <c r="AS919" s="5"/>
      <c r="AU919" s="40"/>
      <c r="AV919" s="5"/>
      <c r="AX919" s="40"/>
      <c r="AY919" s="5"/>
      <c r="BA919" s="40"/>
      <c r="BB919" s="5"/>
      <c r="BD919" s="40"/>
      <c r="BE919" s="5"/>
      <c r="BG919" s="40"/>
      <c r="BH919" s="5"/>
      <c r="BJ919" s="40"/>
      <c r="BK919" s="5"/>
      <c r="BM919" s="40"/>
      <c r="BN919" s="5"/>
      <c r="BP919" s="40"/>
      <c r="BQ919" s="5"/>
      <c r="BS919" s="40"/>
      <c r="BT919" s="5"/>
      <c r="BV919" s="40"/>
      <c r="BW919" s="5"/>
      <c r="BY919" s="40"/>
      <c r="BZ919" s="5"/>
      <c r="CB919" s="40"/>
      <c r="CC919" s="5"/>
      <c r="CE919" s="40"/>
      <c r="CF919" s="5"/>
      <c r="CH919" s="40"/>
      <c r="CI919" s="5"/>
      <c r="CK919" s="40"/>
      <c r="CL919" s="5"/>
      <c r="CN919" s="40"/>
      <c r="CO919" s="5"/>
      <c r="CQ919" s="40"/>
      <c r="CR919" s="5"/>
    </row>
    <row r="920">
      <c r="AL920" s="40"/>
      <c r="AM920" s="5"/>
      <c r="AO920" s="40"/>
      <c r="AP920" s="5"/>
      <c r="AR920" s="40"/>
      <c r="AS920" s="5"/>
      <c r="AU920" s="40"/>
      <c r="AV920" s="5"/>
      <c r="AX920" s="40"/>
      <c r="AY920" s="5"/>
      <c r="BA920" s="40"/>
      <c r="BB920" s="5"/>
      <c r="BD920" s="40"/>
      <c r="BE920" s="5"/>
      <c r="BG920" s="40"/>
      <c r="BH920" s="5"/>
      <c r="BJ920" s="40"/>
      <c r="BK920" s="5"/>
      <c r="BM920" s="40"/>
      <c r="BN920" s="5"/>
      <c r="BP920" s="40"/>
      <c r="BQ920" s="5"/>
      <c r="BS920" s="40"/>
      <c r="BT920" s="5"/>
      <c r="BV920" s="40"/>
      <c r="BW920" s="5"/>
      <c r="BY920" s="40"/>
      <c r="BZ920" s="5"/>
      <c r="CB920" s="40"/>
      <c r="CC920" s="5"/>
      <c r="CE920" s="40"/>
      <c r="CF920" s="5"/>
      <c r="CH920" s="40"/>
      <c r="CI920" s="5"/>
      <c r="CK920" s="40"/>
      <c r="CL920" s="5"/>
      <c r="CN920" s="40"/>
      <c r="CO920" s="5"/>
      <c r="CQ920" s="40"/>
      <c r="CR920" s="5"/>
    </row>
    <row r="921">
      <c r="AL921" s="40"/>
      <c r="AM921" s="5"/>
      <c r="AO921" s="40"/>
      <c r="AP921" s="5"/>
      <c r="AR921" s="40"/>
      <c r="AS921" s="5"/>
      <c r="AU921" s="40"/>
      <c r="AV921" s="5"/>
      <c r="AX921" s="40"/>
      <c r="AY921" s="5"/>
      <c r="BA921" s="40"/>
      <c r="BB921" s="5"/>
      <c r="BD921" s="40"/>
      <c r="BE921" s="5"/>
      <c r="BG921" s="40"/>
      <c r="BH921" s="5"/>
      <c r="BJ921" s="40"/>
      <c r="BK921" s="5"/>
      <c r="BM921" s="40"/>
      <c r="BN921" s="5"/>
      <c r="BP921" s="40"/>
      <c r="BQ921" s="5"/>
      <c r="BS921" s="40"/>
      <c r="BT921" s="5"/>
      <c r="BV921" s="40"/>
      <c r="BW921" s="5"/>
      <c r="BY921" s="40"/>
      <c r="BZ921" s="5"/>
      <c r="CB921" s="40"/>
      <c r="CC921" s="5"/>
      <c r="CE921" s="40"/>
      <c r="CF921" s="5"/>
      <c r="CH921" s="40"/>
      <c r="CI921" s="5"/>
      <c r="CK921" s="40"/>
      <c r="CL921" s="5"/>
      <c r="CN921" s="40"/>
      <c r="CO921" s="5"/>
      <c r="CQ921" s="40"/>
      <c r="CR921" s="5"/>
    </row>
    <row r="922">
      <c r="AL922" s="40"/>
      <c r="AM922" s="5"/>
      <c r="AO922" s="40"/>
      <c r="AP922" s="5"/>
      <c r="AR922" s="40"/>
      <c r="AS922" s="5"/>
      <c r="AU922" s="40"/>
      <c r="AV922" s="5"/>
      <c r="AX922" s="40"/>
      <c r="AY922" s="5"/>
      <c r="BA922" s="40"/>
      <c r="BB922" s="5"/>
      <c r="BD922" s="40"/>
      <c r="BE922" s="5"/>
      <c r="BG922" s="40"/>
      <c r="BH922" s="5"/>
      <c r="BJ922" s="40"/>
      <c r="BK922" s="5"/>
      <c r="BM922" s="40"/>
      <c r="BN922" s="5"/>
      <c r="BP922" s="40"/>
      <c r="BQ922" s="5"/>
      <c r="BS922" s="40"/>
      <c r="BT922" s="5"/>
      <c r="BV922" s="40"/>
      <c r="BW922" s="5"/>
      <c r="BY922" s="40"/>
      <c r="BZ922" s="5"/>
      <c r="CB922" s="40"/>
      <c r="CC922" s="5"/>
      <c r="CE922" s="40"/>
      <c r="CF922" s="5"/>
      <c r="CH922" s="40"/>
      <c r="CI922" s="5"/>
      <c r="CK922" s="40"/>
      <c r="CL922" s="5"/>
      <c r="CN922" s="40"/>
      <c r="CO922" s="5"/>
      <c r="CQ922" s="40"/>
      <c r="CR922" s="5"/>
    </row>
    <row r="923">
      <c r="AL923" s="40"/>
      <c r="AM923" s="5"/>
      <c r="AO923" s="40"/>
      <c r="AP923" s="5"/>
      <c r="AR923" s="40"/>
      <c r="AS923" s="5"/>
      <c r="AU923" s="40"/>
      <c r="AV923" s="5"/>
      <c r="AX923" s="40"/>
      <c r="AY923" s="5"/>
      <c r="BA923" s="40"/>
      <c r="BB923" s="5"/>
      <c r="BD923" s="40"/>
      <c r="BE923" s="5"/>
      <c r="BG923" s="40"/>
      <c r="BH923" s="5"/>
      <c r="BJ923" s="40"/>
      <c r="BK923" s="5"/>
      <c r="BM923" s="40"/>
      <c r="BN923" s="5"/>
      <c r="BP923" s="40"/>
      <c r="BQ923" s="5"/>
      <c r="BS923" s="40"/>
      <c r="BT923" s="5"/>
      <c r="BV923" s="40"/>
      <c r="BW923" s="5"/>
      <c r="BY923" s="40"/>
      <c r="BZ923" s="5"/>
      <c r="CB923" s="40"/>
      <c r="CC923" s="5"/>
      <c r="CE923" s="40"/>
      <c r="CF923" s="5"/>
      <c r="CH923" s="40"/>
      <c r="CI923" s="5"/>
      <c r="CK923" s="40"/>
      <c r="CL923" s="5"/>
      <c r="CN923" s="40"/>
      <c r="CO923" s="5"/>
      <c r="CQ923" s="40"/>
      <c r="CR923" s="5"/>
    </row>
    <row r="924">
      <c r="AL924" s="40"/>
      <c r="AM924" s="5"/>
      <c r="AO924" s="40"/>
      <c r="AP924" s="5"/>
      <c r="AR924" s="40"/>
      <c r="AS924" s="5"/>
      <c r="AU924" s="40"/>
      <c r="AV924" s="5"/>
      <c r="AX924" s="40"/>
      <c r="AY924" s="5"/>
      <c r="BA924" s="40"/>
      <c r="BB924" s="5"/>
      <c r="BD924" s="40"/>
      <c r="BE924" s="5"/>
      <c r="BG924" s="40"/>
      <c r="BH924" s="5"/>
      <c r="BJ924" s="40"/>
      <c r="BK924" s="5"/>
      <c r="BM924" s="40"/>
      <c r="BN924" s="5"/>
      <c r="BP924" s="40"/>
      <c r="BQ924" s="5"/>
      <c r="BS924" s="40"/>
      <c r="BT924" s="5"/>
      <c r="BV924" s="40"/>
      <c r="BW924" s="5"/>
      <c r="BY924" s="40"/>
      <c r="BZ924" s="5"/>
      <c r="CB924" s="40"/>
      <c r="CC924" s="5"/>
      <c r="CE924" s="40"/>
      <c r="CF924" s="5"/>
      <c r="CH924" s="40"/>
      <c r="CI924" s="5"/>
      <c r="CK924" s="40"/>
      <c r="CL924" s="5"/>
      <c r="CN924" s="40"/>
      <c r="CO924" s="5"/>
      <c r="CQ924" s="40"/>
      <c r="CR924" s="5"/>
    </row>
    <row r="925">
      <c r="AL925" s="40"/>
      <c r="AM925" s="5"/>
      <c r="AO925" s="40"/>
      <c r="AP925" s="5"/>
      <c r="AR925" s="40"/>
      <c r="AS925" s="5"/>
      <c r="AU925" s="40"/>
      <c r="AV925" s="5"/>
      <c r="AX925" s="40"/>
      <c r="AY925" s="5"/>
      <c r="BA925" s="40"/>
      <c r="BB925" s="5"/>
      <c r="BD925" s="40"/>
      <c r="BE925" s="5"/>
      <c r="BG925" s="40"/>
      <c r="BH925" s="5"/>
      <c r="BJ925" s="40"/>
      <c r="BK925" s="5"/>
      <c r="BM925" s="40"/>
      <c r="BN925" s="5"/>
      <c r="BP925" s="40"/>
      <c r="BQ925" s="5"/>
      <c r="BS925" s="40"/>
      <c r="BT925" s="5"/>
      <c r="BV925" s="40"/>
      <c r="BW925" s="5"/>
      <c r="BY925" s="40"/>
      <c r="BZ925" s="5"/>
      <c r="CB925" s="40"/>
      <c r="CC925" s="5"/>
      <c r="CE925" s="40"/>
      <c r="CF925" s="5"/>
      <c r="CH925" s="40"/>
      <c r="CI925" s="5"/>
      <c r="CK925" s="40"/>
      <c r="CL925" s="5"/>
      <c r="CN925" s="40"/>
      <c r="CO925" s="5"/>
      <c r="CQ925" s="40"/>
      <c r="CR925" s="5"/>
    </row>
    <row r="926">
      <c r="AL926" s="40"/>
      <c r="AM926" s="5"/>
      <c r="AO926" s="40"/>
      <c r="AP926" s="5"/>
      <c r="AR926" s="40"/>
      <c r="AS926" s="5"/>
      <c r="AU926" s="40"/>
      <c r="AV926" s="5"/>
      <c r="AX926" s="40"/>
      <c r="AY926" s="5"/>
      <c r="BA926" s="40"/>
      <c r="BB926" s="5"/>
      <c r="BD926" s="40"/>
      <c r="BE926" s="5"/>
      <c r="BG926" s="40"/>
      <c r="BH926" s="5"/>
      <c r="BJ926" s="40"/>
      <c r="BK926" s="5"/>
      <c r="BM926" s="40"/>
      <c r="BN926" s="5"/>
      <c r="BP926" s="40"/>
      <c r="BQ926" s="5"/>
      <c r="BS926" s="40"/>
      <c r="BT926" s="5"/>
      <c r="BV926" s="40"/>
      <c r="BW926" s="5"/>
      <c r="BY926" s="40"/>
      <c r="BZ926" s="5"/>
      <c r="CB926" s="40"/>
      <c r="CC926" s="5"/>
      <c r="CE926" s="40"/>
      <c r="CF926" s="5"/>
      <c r="CH926" s="40"/>
      <c r="CI926" s="5"/>
      <c r="CK926" s="40"/>
      <c r="CL926" s="5"/>
      <c r="CN926" s="40"/>
      <c r="CO926" s="5"/>
      <c r="CQ926" s="40"/>
      <c r="CR926" s="5"/>
    </row>
    <row r="927">
      <c r="AL927" s="40"/>
      <c r="AM927" s="5"/>
      <c r="AO927" s="40"/>
      <c r="AP927" s="5"/>
      <c r="AR927" s="40"/>
      <c r="AS927" s="5"/>
      <c r="AU927" s="40"/>
      <c r="AV927" s="5"/>
      <c r="AX927" s="40"/>
      <c r="AY927" s="5"/>
      <c r="BA927" s="40"/>
      <c r="BB927" s="5"/>
      <c r="BD927" s="40"/>
      <c r="BE927" s="5"/>
      <c r="BG927" s="40"/>
      <c r="BH927" s="5"/>
      <c r="BJ927" s="40"/>
      <c r="BK927" s="5"/>
      <c r="BM927" s="40"/>
      <c r="BN927" s="5"/>
      <c r="BP927" s="40"/>
      <c r="BQ927" s="5"/>
      <c r="BS927" s="40"/>
      <c r="BT927" s="5"/>
      <c r="BV927" s="40"/>
      <c r="BW927" s="5"/>
      <c r="BY927" s="40"/>
      <c r="BZ927" s="5"/>
      <c r="CB927" s="40"/>
      <c r="CC927" s="5"/>
      <c r="CE927" s="40"/>
      <c r="CF927" s="5"/>
      <c r="CH927" s="40"/>
      <c r="CI927" s="5"/>
      <c r="CK927" s="40"/>
      <c r="CL927" s="5"/>
      <c r="CN927" s="40"/>
      <c r="CO927" s="5"/>
      <c r="CQ927" s="40"/>
      <c r="CR927" s="5"/>
    </row>
    <row r="928">
      <c r="AL928" s="40"/>
      <c r="AM928" s="5"/>
      <c r="AO928" s="40"/>
      <c r="AP928" s="5"/>
      <c r="AR928" s="40"/>
      <c r="AS928" s="5"/>
      <c r="AU928" s="40"/>
      <c r="AV928" s="5"/>
      <c r="AX928" s="40"/>
      <c r="AY928" s="5"/>
      <c r="BA928" s="40"/>
      <c r="BB928" s="5"/>
      <c r="BD928" s="40"/>
      <c r="BE928" s="5"/>
      <c r="BG928" s="40"/>
      <c r="BH928" s="5"/>
      <c r="BJ928" s="40"/>
      <c r="BK928" s="5"/>
      <c r="BM928" s="40"/>
      <c r="BN928" s="5"/>
      <c r="BP928" s="40"/>
      <c r="BQ928" s="5"/>
      <c r="BS928" s="40"/>
      <c r="BT928" s="5"/>
      <c r="BV928" s="40"/>
      <c r="BW928" s="5"/>
      <c r="BY928" s="40"/>
      <c r="BZ928" s="5"/>
      <c r="CB928" s="40"/>
      <c r="CC928" s="5"/>
      <c r="CE928" s="40"/>
      <c r="CF928" s="5"/>
      <c r="CH928" s="40"/>
      <c r="CI928" s="5"/>
      <c r="CK928" s="40"/>
      <c r="CL928" s="5"/>
      <c r="CN928" s="40"/>
      <c r="CO928" s="5"/>
      <c r="CQ928" s="40"/>
      <c r="CR928" s="5"/>
    </row>
    <row r="929">
      <c r="AL929" s="40"/>
      <c r="AM929" s="5"/>
      <c r="AO929" s="40"/>
      <c r="AP929" s="5"/>
      <c r="AR929" s="40"/>
      <c r="AS929" s="5"/>
      <c r="AU929" s="40"/>
      <c r="AV929" s="5"/>
      <c r="AX929" s="40"/>
      <c r="AY929" s="5"/>
      <c r="BA929" s="40"/>
      <c r="BB929" s="5"/>
      <c r="BD929" s="40"/>
      <c r="BE929" s="5"/>
      <c r="BG929" s="40"/>
      <c r="BH929" s="5"/>
      <c r="BJ929" s="40"/>
      <c r="BK929" s="5"/>
      <c r="BM929" s="40"/>
      <c r="BN929" s="5"/>
      <c r="BP929" s="40"/>
      <c r="BQ929" s="5"/>
      <c r="BS929" s="40"/>
      <c r="BT929" s="5"/>
      <c r="BV929" s="40"/>
      <c r="BW929" s="5"/>
      <c r="BY929" s="40"/>
      <c r="BZ929" s="5"/>
      <c r="CB929" s="40"/>
      <c r="CC929" s="5"/>
      <c r="CE929" s="40"/>
      <c r="CF929" s="5"/>
      <c r="CH929" s="40"/>
      <c r="CI929" s="5"/>
      <c r="CK929" s="40"/>
      <c r="CL929" s="5"/>
      <c r="CN929" s="40"/>
      <c r="CO929" s="5"/>
      <c r="CQ929" s="40"/>
      <c r="CR929" s="5"/>
    </row>
    <row r="930">
      <c r="AL930" s="40"/>
      <c r="AM930" s="5"/>
      <c r="AO930" s="40"/>
      <c r="AP930" s="5"/>
      <c r="AR930" s="40"/>
      <c r="AS930" s="5"/>
      <c r="AU930" s="40"/>
      <c r="AV930" s="5"/>
      <c r="AX930" s="40"/>
      <c r="AY930" s="5"/>
      <c r="BA930" s="40"/>
      <c r="BB930" s="5"/>
      <c r="BD930" s="40"/>
      <c r="BE930" s="5"/>
      <c r="BG930" s="40"/>
      <c r="BH930" s="5"/>
      <c r="BJ930" s="40"/>
      <c r="BK930" s="5"/>
      <c r="BM930" s="40"/>
      <c r="BN930" s="5"/>
      <c r="BP930" s="40"/>
      <c r="BQ930" s="5"/>
      <c r="BS930" s="40"/>
      <c r="BT930" s="5"/>
      <c r="BV930" s="40"/>
      <c r="BW930" s="5"/>
      <c r="BY930" s="40"/>
      <c r="BZ930" s="5"/>
      <c r="CB930" s="40"/>
      <c r="CC930" s="5"/>
      <c r="CE930" s="40"/>
      <c r="CF930" s="5"/>
      <c r="CH930" s="40"/>
      <c r="CI930" s="5"/>
      <c r="CK930" s="40"/>
      <c r="CL930" s="5"/>
      <c r="CN930" s="40"/>
      <c r="CO930" s="5"/>
      <c r="CQ930" s="40"/>
      <c r="CR930" s="5"/>
    </row>
    <row r="931">
      <c r="AL931" s="40"/>
      <c r="AM931" s="5"/>
      <c r="AO931" s="40"/>
      <c r="AP931" s="5"/>
      <c r="AR931" s="40"/>
      <c r="AS931" s="5"/>
      <c r="AU931" s="40"/>
      <c r="AV931" s="5"/>
      <c r="AX931" s="40"/>
      <c r="AY931" s="5"/>
      <c r="BA931" s="40"/>
      <c r="BB931" s="5"/>
      <c r="BD931" s="40"/>
      <c r="BE931" s="5"/>
      <c r="BG931" s="40"/>
      <c r="BH931" s="5"/>
      <c r="BJ931" s="40"/>
      <c r="BK931" s="5"/>
      <c r="BM931" s="40"/>
      <c r="BN931" s="5"/>
      <c r="BP931" s="40"/>
      <c r="BQ931" s="5"/>
      <c r="BS931" s="40"/>
      <c r="BT931" s="5"/>
      <c r="BV931" s="40"/>
      <c r="BW931" s="5"/>
      <c r="BY931" s="40"/>
      <c r="BZ931" s="5"/>
      <c r="CB931" s="40"/>
      <c r="CC931" s="5"/>
      <c r="CE931" s="40"/>
      <c r="CF931" s="5"/>
      <c r="CH931" s="40"/>
      <c r="CI931" s="5"/>
      <c r="CK931" s="40"/>
      <c r="CL931" s="5"/>
      <c r="CN931" s="40"/>
      <c r="CO931" s="5"/>
      <c r="CQ931" s="40"/>
      <c r="CR931" s="5"/>
    </row>
    <row r="932">
      <c r="AL932" s="40"/>
      <c r="AM932" s="5"/>
      <c r="AO932" s="40"/>
      <c r="AP932" s="5"/>
      <c r="AR932" s="40"/>
      <c r="AS932" s="5"/>
      <c r="AU932" s="40"/>
      <c r="AV932" s="5"/>
      <c r="AX932" s="40"/>
      <c r="AY932" s="5"/>
      <c r="BA932" s="40"/>
      <c r="BB932" s="5"/>
      <c r="BD932" s="40"/>
      <c r="BE932" s="5"/>
      <c r="BG932" s="40"/>
      <c r="BH932" s="5"/>
      <c r="BJ932" s="40"/>
      <c r="BK932" s="5"/>
      <c r="BM932" s="40"/>
      <c r="BN932" s="5"/>
      <c r="BP932" s="40"/>
      <c r="BQ932" s="5"/>
      <c r="BS932" s="40"/>
      <c r="BT932" s="5"/>
      <c r="BV932" s="40"/>
      <c r="BW932" s="5"/>
      <c r="BY932" s="40"/>
      <c r="BZ932" s="5"/>
      <c r="CB932" s="40"/>
      <c r="CC932" s="5"/>
      <c r="CE932" s="40"/>
      <c r="CF932" s="5"/>
      <c r="CH932" s="40"/>
      <c r="CI932" s="5"/>
      <c r="CK932" s="40"/>
      <c r="CL932" s="5"/>
      <c r="CN932" s="40"/>
      <c r="CO932" s="5"/>
      <c r="CQ932" s="40"/>
      <c r="CR932" s="5"/>
    </row>
    <row r="933">
      <c r="AL933" s="40"/>
      <c r="AM933" s="5"/>
      <c r="AO933" s="40"/>
      <c r="AP933" s="5"/>
      <c r="AR933" s="40"/>
      <c r="AS933" s="5"/>
      <c r="AU933" s="40"/>
      <c r="AV933" s="5"/>
      <c r="AX933" s="40"/>
      <c r="AY933" s="5"/>
      <c r="BA933" s="40"/>
      <c r="BB933" s="5"/>
      <c r="BD933" s="40"/>
      <c r="BE933" s="5"/>
      <c r="BG933" s="40"/>
      <c r="BH933" s="5"/>
      <c r="BJ933" s="40"/>
      <c r="BK933" s="5"/>
      <c r="BM933" s="40"/>
      <c r="BN933" s="5"/>
      <c r="BP933" s="40"/>
      <c r="BQ933" s="5"/>
      <c r="BS933" s="40"/>
      <c r="BT933" s="5"/>
      <c r="BV933" s="40"/>
      <c r="BW933" s="5"/>
      <c r="BY933" s="40"/>
      <c r="BZ933" s="5"/>
      <c r="CB933" s="40"/>
      <c r="CC933" s="5"/>
      <c r="CE933" s="40"/>
      <c r="CF933" s="5"/>
      <c r="CH933" s="40"/>
      <c r="CI933" s="5"/>
      <c r="CK933" s="40"/>
      <c r="CL933" s="5"/>
      <c r="CN933" s="40"/>
      <c r="CO933" s="5"/>
      <c r="CQ933" s="40"/>
      <c r="CR933" s="5"/>
    </row>
    <row r="934">
      <c r="AL934" s="40"/>
      <c r="AM934" s="5"/>
      <c r="AO934" s="40"/>
      <c r="AP934" s="5"/>
      <c r="AR934" s="40"/>
      <c r="AS934" s="5"/>
      <c r="AU934" s="40"/>
      <c r="AV934" s="5"/>
      <c r="AX934" s="40"/>
      <c r="AY934" s="5"/>
      <c r="BA934" s="40"/>
      <c r="BB934" s="5"/>
      <c r="BD934" s="40"/>
      <c r="BE934" s="5"/>
      <c r="BG934" s="40"/>
      <c r="BH934" s="5"/>
      <c r="BJ934" s="40"/>
      <c r="BK934" s="5"/>
      <c r="BM934" s="40"/>
      <c r="BN934" s="5"/>
      <c r="BP934" s="40"/>
      <c r="BQ934" s="5"/>
      <c r="BS934" s="40"/>
      <c r="BT934" s="5"/>
      <c r="BV934" s="40"/>
      <c r="BW934" s="5"/>
      <c r="BY934" s="40"/>
      <c r="BZ934" s="5"/>
      <c r="CB934" s="40"/>
      <c r="CC934" s="5"/>
      <c r="CE934" s="40"/>
      <c r="CF934" s="5"/>
      <c r="CH934" s="40"/>
      <c r="CI934" s="5"/>
      <c r="CK934" s="40"/>
      <c r="CL934" s="5"/>
      <c r="CN934" s="40"/>
      <c r="CO934" s="5"/>
      <c r="CQ934" s="40"/>
      <c r="CR934" s="5"/>
    </row>
    <row r="935">
      <c r="AL935" s="40"/>
      <c r="AM935" s="5"/>
      <c r="AO935" s="40"/>
      <c r="AP935" s="5"/>
      <c r="AR935" s="40"/>
      <c r="AS935" s="5"/>
      <c r="AU935" s="40"/>
      <c r="AV935" s="5"/>
      <c r="AX935" s="40"/>
      <c r="AY935" s="5"/>
      <c r="BA935" s="40"/>
      <c r="BB935" s="5"/>
      <c r="BD935" s="40"/>
      <c r="BE935" s="5"/>
      <c r="BG935" s="40"/>
      <c r="BH935" s="5"/>
      <c r="BJ935" s="40"/>
      <c r="BK935" s="5"/>
      <c r="BM935" s="40"/>
      <c r="BN935" s="5"/>
      <c r="BP935" s="40"/>
      <c r="BQ935" s="5"/>
      <c r="BS935" s="40"/>
      <c r="BT935" s="5"/>
      <c r="BV935" s="40"/>
      <c r="BW935" s="5"/>
      <c r="BY935" s="40"/>
      <c r="BZ935" s="5"/>
      <c r="CB935" s="40"/>
      <c r="CC935" s="5"/>
      <c r="CE935" s="40"/>
      <c r="CF935" s="5"/>
      <c r="CH935" s="40"/>
      <c r="CI935" s="5"/>
      <c r="CK935" s="40"/>
      <c r="CL935" s="5"/>
      <c r="CN935" s="40"/>
      <c r="CO935" s="5"/>
      <c r="CQ935" s="40"/>
      <c r="CR935" s="5"/>
    </row>
    <row r="936">
      <c r="AL936" s="40"/>
      <c r="AM936" s="5"/>
      <c r="AO936" s="40"/>
      <c r="AP936" s="5"/>
      <c r="AR936" s="40"/>
      <c r="AS936" s="5"/>
      <c r="AU936" s="40"/>
      <c r="AV936" s="5"/>
      <c r="AX936" s="40"/>
      <c r="AY936" s="5"/>
      <c r="BA936" s="40"/>
      <c r="BB936" s="5"/>
      <c r="BD936" s="40"/>
      <c r="BE936" s="5"/>
      <c r="BG936" s="40"/>
      <c r="BH936" s="5"/>
      <c r="BJ936" s="40"/>
      <c r="BK936" s="5"/>
      <c r="BM936" s="40"/>
      <c r="BN936" s="5"/>
      <c r="BP936" s="40"/>
      <c r="BQ936" s="5"/>
      <c r="BS936" s="40"/>
      <c r="BT936" s="5"/>
      <c r="BV936" s="40"/>
      <c r="BW936" s="5"/>
      <c r="BY936" s="40"/>
      <c r="BZ936" s="5"/>
      <c r="CB936" s="40"/>
      <c r="CC936" s="5"/>
      <c r="CE936" s="40"/>
      <c r="CF936" s="5"/>
      <c r="CH936" s="40"/>
      <c r="CI936" s="5"/>
      <c r="CK936" s="40"/>
      <c r="CL936" s="5"/>
      <c r="CN936" s="40"/>
      <c r="CO936" s="5"/>
      <c r="CQ936" s="40"/>
      <c r="CR936" s="5"/>
    </row>
    <row r="937">
      <c r="AL937" s="40"/>
      <c r="AM937" s="5"/>
      <c r="AO937" s="40"/>
      <c r="AP937" s="5"/>
      <c r="AR937" s="40"/>
      <c r="AS937" s="5"/>
      <c r="AU937" s="40"/>
      <c r="AV937" s="5"/>
      <c r="AX937" s="40"/>
      <c r="AY937" s="5"/>
      <c r="BA937" s="40"/>
      <c r="BB937" s="5"/>
      <c r="BD937" s="40"/>
      <c r="BE937" s="5"/>
      <c r="BG937" s="40"/>
      <c r="BH937" s="5"/>
      <c r="BJ937" s="40"/>
      <c r="BK937" s="5"/>
      <c r="BM937" s="40"/>
      <c r="BN937" s="5"/>
      <c r="BP937" s="40"/>
      <c r="BQ937" s="5"/>
      <c r="BS937" s="40"/>
      <c r="BT937" s="5"/>
      <c r="BV937" s="40"/>
      <c r="BW937" s="5"/>
      <c r="BY937" s="40"/>
      <c r="BZ937" s="5"/>
      <c r="CB937" s="40"/>
      <c r="CC937" s="5"/>
      <c r="CE937" s="40"/>
      <c r="CF937" s="5"/>
      <c r="CH937" s="40"/>
      <c r="CI937" s="5"/>
      <c r="CK937" s="40"/>
      <c r="CL937" s="5"/>
      <c r="CN937" s="40"/>
      <c r="CO937" s="5"/>
      <c r="CQ937" s="40"/>
      <c r="CR937" s="5"/>
    </row>
    <row r="938">
      <c r="AL938" s="40"/>
      <c r="AM938" s="5"/>
      <c r="AO938" s="40"/>
      <c r="AP938" s="5"/>
      <c r="AR938" s="40"/>
      <c r="AS938" s="5"/>
      <c r="AU938" s="40"/>
      <c r="AV938" s="5"/>
      <c r="AX938" s="40"/>
      <c r="AY938" s="5"/>
      <c r="BA938" s="40"/>
      <c r="BB938" s="5"/>
      <c r="BD938" s="40"/>
      <c r="BE938" s="5"/>
      <c r="BG938" s="40"/>
      <c r="BH938" s="5"/>
      <c r="BJ938" s="40"/>
      <c r="BK938" s="5"/>
      <c r="BM938" s="40"/>
      <c r="BN938" s="5"/>
      <c r="BP938" s="40"/>
      <c r="BQ938" s="5"/>
      <c r="BS938" s="40"/>
      <c r="BT938" s="5"/>
      <c r="BV938" s="40"/>
      <c r="BW938" s="5"/>
      <c r="BY938" s="40"/>
      <c r="BZ938" s="5"/>
      <c r="CB938" s="40"/>
      <c r="CC938" s="5"/>
      <c r="CE938" s="40"/>
      <c r="CF938" s="5"/>
      <c r="CH938" s="40"/>
      <c r="CI938" s="5"/>
      <c r="CK938" s="40"/>
      <c r="CL938" s="5"/>
      <c r="CN938" s="40"/>
      <c r="CO938" s="5"/>
      <c r="CQ938" s="40"/>
      <c r="CR938" s="5"/>
    </row>
    <row r="939">
      <c r="AL939" s="40"/>
      <c r="AM939" s="5"/>
      <c r="AO939" s="40"/>
      <c r="AP939" s="5"/>
      <c r="AR939" s="40"/>
      <c r="AS939" s="5"/>
      <c r="AU939" s="40"/>
      <c r="AV939" s="5"/>
      <c r="AX939" s="40"/>
      <c r="AY939" s="5"/>
      <c r="BA939" s="40"/>
      <c r="BB939" s="5"/>
      <c r="BD939" s="40"/>
      <c r="BE939" s="5"/>
      <c r="BG939" s="40"/>
      <c r="BH939" s="5"/>
      <c r="BJ939" s="40"/>
      <c r="BK939" s="5"/>
      <c r="BM939" s="40"/>
      <c r="BN939" s="5"/>
      <c r="BP939" s="40"/>
      <c r="BQ939" s="5"/>
      <c r="BS939" s="40"/>
      <c r="BT939" s="5"/>
      <c r="BV939" s="40"/>
      <c r="BW939" s="5"/>
      <c r="BY939" s="40"/>
      <c r="BZ939" s="5"/>
      <c r="CB939" s="40"/>
      <c r="CC939" s="5"/>
      <c r="CE939" s="40"/>
      <c r="CF939" s="5"/>
      <c r="CH939" s="40"/>
      <c r="CI939" s="5"/>
      <c r="CK939" s="40"/>
      <c r="CL939" s="5"/>
      <c r="CN939" s="40"/>
      <c r="CO939" s="5"/>
      <c r="CQ939" s="40"/>
      <c r="CR939" s="5"/>
    </row>
    <row r="940">
      <c r="AL940" s="40"/>
      <c r="AM940" s="5"/>
      <c r="AO940" s="40"/>
      <c r="AP940" s="5"/>
      <c r="AR940" s="40"/>
      <c r="AS940" s="5"/>
      <c r="AU940" s="40"/>
      <c r="AV940" s="5"/>
      <c r="AX940" s="40"/>
      <c r="AY940" s="5"/>
      <c r="BA940" s="40"/>
      <c r="BB940" s="5"/>
      <c r="BD940" s="40"/>
      <c r="BE940" s="5"/>
      <c r="BG940" s="40"/>
      <c r="BH940" s="5"/>
      <c r="BJ940" s="40"/>
      <c r="BK940" s="5"/>
      <c r="BM940" s="40"/>
      <c r="BN940" s="5"/>
      <c r="BP940" s="40"/>
      <c r="BQ940" s="5"/>
      <c r="BS940" s="40"/>
      <c r="BT940" s="5"/>
      <c r="BV940" s="40"/>
      <c r="BW940" s="5"/>
      <c r="BY940" s="40"/>
      <c r="BZ940" s="5"/>
      <c r="CB940" s="40"/>
      <c r="CC940" s="5"/>
      <c r="CE940" s="40"/>
      <c r="CF940" s="5"/>
      <c r="CH940" s="40"/>
      <c r="CI940" s="5"/>
      <c r="CK940" s="40"/>
      <c r="CL940" s="5"/>
      <c r="CN940" s="40"/>
      <c r="CO940" s="5"/>
      <c r="CQ940" s="40"/>
      <c r="CR940" s="5"/>
    </row>
    <row r="941">
      <c r="AL941" s="40"/>
      <c r="AM941" s="5"/>
      <c r="AO941" s="40"/>
      <c r="AP941" s="5"/>
      <c r="AR941" s="40"/>
      <c r="AS941" s="5"/>
      <c r="AU941" s="40"/>
      <c r="AV941" s="5"/>
      <c r="AX941" s="40"/>
      <c r="AY941" s="5"/>
      <c r="BA941" s="40"/>
      <c r="BB941" s="5"/>
      <c r="BD941" s="40"/>
      <c r="BE941" s="5"/>
      <c r="BG941" s="40"/>
      <c r="BH941" s="5"/>
      <c r="BJ941" s="40"/>
      <c r="BK941" s="5"/>
      <c r="BM941" s="40"/>
      <c r="BN941" s="5"/>
      <c r="BP941" s="40"/>
      <c r="BQ941" s="5"/>
      <c r="BS941" s="40"/>
      <c r="BT941" s="5"/>
      <c r="BV941" s="40"/>
      <c r="BW941" s="5"/>
      <c r="BY941" s="40"/>
      <c r="BZ941" s="5"/>
      <c r="CB941" s="40"/>
      <c r="CC941" s="5"/>
      <c r="CE941" s="40"/>
      <c r="CF941" s="5"/>
      <c r="CH941" s="40"/>
      <c r="CI941" s="5"/>
      <c r="CK941" s="40"/>
      <c r="CL941" s="5"/>
      <c r="CN941" s="40"/>
      <c r="CO941" s="5"/>
      <c r="CQ941" s="40"/>
      <c r="CR941" s="5"/>
    </row>
    <row r="942">
      <c r="AL942" s="40"/>
      <c r="AM942" s="5"/>
      <c r="AO942" s="40"/>
      <c r="AP942" s="5"/>
      <c r="AR942" s="40"/>
      <c r="AS942" s="5"/>
      <c r="AU942" s="40"/>
      <c r="AV942" s="5"/>
      <c r="AX942" s="40"/>
      <c r="AY942" s="5"/>
      <c r="BA942" s="40"/>
      <c r="BB942" s="5"/>
      <c r="BD942" s="40"/>
      <c r="BE942" s="5"/>
      <c r="BG942" s="40"/>
      <c r="BH942" s="5"/>
      <c r="BJ942" s="40"/>
      <c r="BK942" s="5"/>
      <c r="BM942" s="40"/>
      <c r="BN942" s="5"/>
      <c r="BP942" s="40"/>
      <c r="BQ942" s="5"/>
      <c r="BS942" s="40"/>
      <c r="BT942" s="5"/>
      <c r="BV942" s="40"/>
      <c r="BW942" s="5"/>
      <c r="BY942" s="40"/>
      <c r="BZ942" s="5"/>
      <c r="CB942" s="40"/>
      <c r="CC942" s="5"/>
      <c r="CE942" s="40"/>
      <c r="CF942" s="5"/>
      <c r="CH942" s="40"/>
      <c r="CI942" s="5"/>
      <c r="CK942" s="40"/>
      <c r="CL942" s="5"/>
      <c r="CN942" s="40"/>
      <c r="CO942" s="5"/>
      <c r="CQ942" s="40"/>
      <c r="CR942" s="5"/>
    </row>
    <row r="943">
      <c r="AL943" s="40"/>
      <c r="AM943" s="5"/>
      <c r="AO943" s="40"/>
      <c r="AP943" s="5"/>
      <c r="AR943" s="40"/>
      <c r="AS943" s="5"/>
      <c r="AU943" s="40"/>
      <c r="AV943" s="5"/>
      <c r="AX943" s="40"/>
      <c r="AY943" s="5"/>
      <c r="BA943" s="40"/>
      <c r="BB943" s="5"/>
      <c r="BD943" s="40"/>
      <c r="BE943" s="5"/>
      <c r="BG943" s="40"/>
      <c r="BH943" s="5"/>
      <c r="BJ943" s="40"/>
      <c r="BK943" s="5"/>
      <c r="BM943" s="40"/>
      <c r="BN943" s="5"/>
      <c r="BP943" s="40"/>
      <c r="BQ943" s="5"/>
      <c r="BS943" s="40"/>
      <c r="BT943" s="5"/>
      <c r="BV943" s="40"/>
      <c r="BW943" s="5"/>
      <c r="BY943" s="40"/>
      <c r="BZ943" s="5"/>
      <c r="CB943" s="40"/>
      <c r="CC943" s="5"/>
      <c r="CE943" s="40"/>
      <c r="CF943" s="5"/>
      <c r="CH943" s="40"/>
      <c r="CI943" s="5"/>
      <c r="CK943" s="40"/>
      <c r="CL943" s="5"/>
      <c r="CN943" s="40"/>
      <c r="CO943" s="5"/>
      <c r="CQ943" s="40"/>
      <c r="CR943" s="5"/>
    </row>
    <row r="944">
      <c r="AL944" s="40"/>
      <c r="AM944" s="5"/>
      <c r="AO944" s="40"/>
      <c r="AP944" s="5"/>
      <c r="AR944" s="40"/>
      <c r="AS944" s="5"/>
      <c r="AU944" s="40"/>
      <c r="AV944" s="5"/>
      <c r="AX944" s="40"/>
      <c r="AY944" s="5"/>
      <c r="BA944" s="40"/>
      <c r="BB944" s="5"/>
      <c r="BD944" s="40"/>
      <c r="BE944" s="5"/>
      <c r="BG944" s="40"/>
      <c r="BH944" s="5"/>
      <c r="BJ944" s="40"/>
      <c r="BK944" s="5"/>
      <c r="BM944" s="40"/>
      <c r="BN944" s="5"/>
      <c r="BP944" s="40"/>
      <c r="BQ944" s="5"/>
      <c r="BS944" s="40"/>
      <c r="BT944" s="5"/>
      <c r="BV944" s="40"/>
      <c r="BW944" s="5"/>
      <c r="BY944" s="40"/>
      <c r="BZ944" s="5"/>
      <c r="CB944" s="40"/>
      <c r="CC944" s="5"/>
      <c r="CE944" s="40"/>
      <c r="CF944" s="5"/>
      <c r="CH944" s="40"/>
      <c r="CI944" s="5"/>
      <c r="CK944" s="40"/>
      <c r="CL944" s="5"/>
      <c r="CN944" s="40"/>
      <c r="CO944" s="5"/>
      <c r="CQ944" s="40"/>
      <c r="CR944" s="5"/>
    </row>
    <row r="945">
      <c r="AL945" s="40"/>
      <c r="AM945" s="5"/>
      <c r="AO945" s="40"/>
      <c r="AP945" s="5"/>
      <c r="AR945" s="40"/>
      <c r="AS945" s="5"/>
      <c r="AU945" s="40"/>
      <c r="AV945" s="5"/>
      <c r="AX945" s="40"/>
      <c r="AY945" s="5"/>
      <c r="BA945" s="40"/>
      <c r="BB945" s="5"/>
      <c r="BD945" s="40"/>
      <c r="BE945" s="5"/>
      <c r="BG945" s="40"/>
      <c r="BH945" s="5"/>
      <c r="BJ945" s="40"/>
      <c r="BK945" s="5"/>
      <c r="BM945" s="40"/>
      <c r="BN945" s="5"/>
      <c r="BP945" s="40"/>
      <c r="BQ945" s="5"/>
      <c r="BS945" s="40"/>
      <c r="BT945" s="5"/>
      <c r="BV945" s="40"/>
      <c r="BW945" s="5"/>
      <c r="BY945" s="40"/>
      <c r="BZ945" s="5"/>
      <c r="CB945" s="40"/>
      <c r="CC945" s="5"/>
      <c r="CE945" s="40"/>
      <c r="CF945" s="5"/>
      <c r="CH945" s="40"/>
      <c r="CI945" s="5"/>
      <c r="CK945" s="40"/>
      <c r="CL945" s="5"/>
      <c r="CN945" s="40"/>
      <c r="CO945" s="5"/>
      <c r="CQ945" s="40"/>
      <c r="CR945" s="5"/>
    </row>
  </sheetData>
  <mergeCells count="35">
    <mergeCell ref="Z9:AB9"/>
    <mergeCell ref="AC9:AE9"/>
    <mergeCell ref="AF9:AH9"/>
    <mergeCell ref="AI9:AK9"/>
    <mergeCell ref="AL9:AN9"/>
    <mergeCell ref="AO9:AQ9"/>
    <mergeCell ref="AR9:AT9"/>
    <mergeCell ref="AU9:AW9"/>
    <mergeCell ref="AX9:AZ9"/>
    <mergeCell ref="BA9:BC9"/>
    <mergeCell ref="BD9:BF9"/>
    <mergeCell ref="BG9:BI9"/>
    <mergeCell ref="BJ9:BL9"/>
    <mergeCell ref="BM9:BO9"/>
    <mergeCell ref="CK9:CM9"/>
    <mergeCell ref="CN9:CP9"/>
    <mergeCell ref="CQ9:CS9"/>
    <mergeCell ref="BP9:BR9"/>
    <mergeCell ref="BS9:BU9"/>
    <mergeCell ref="BV9:BX9"/>
    <mergeCell ref="BY9:CA9"/>
    <mergeCell ref="CB9:CD9"/>
    <mergeCell ref="CE9:CG9"/>
    <mergeCell ref="CH9:CJ9"/>
    <mergeCell ref="B16:C16"/>
    <mergeCell ref="B17:C17"/>
    <mergeCell ref="A19:B19"/>
    <mergeCell ref="A45:C45"/>
    <mergeCell ref="E9:G9"/>
    <mergeCell ref="H9:J9"/>
    <mergeCell ref="K9:M9"/>
    <mergeCell ref="N9:P9"/>
    <mergeCell ref="Q9:S9"/>
    <mergeCell ref="T9:V9"/>
    <mergeCell ref="W9:Y9"/>
  </mergeCells>
  <conditionalFormatting sqref="A1:DD1000">
    <cfRule type="cellIs" dxfId="0" priority="1" operator="equal">
      <formula>"Topic"</formula>
    </cfRule>
  </conditionalFormatting>
  <conditionalFormatting sqref="F13">
    <cfRule type="colorScale" priority="2">
      <colorScale>
        <cfvo type="min"/>
        <cfvo type="max"/>
        <color rgb="FF57BB8A"/>
        <color rgb="FFFFFFFF"/>
      </colorScale>
    </cfRule>
  </conditionalFormatting>
  <dataValidations>
    <dataValidation type="list" allowBlank="1" sqref="G11:G61 J11:J61 M11:M61 P11:P61 S11:S61 V11:V61 Y11:Y61 AB11:AB61 AE11:AE61 AH11:AH61 AK11:AK61 AN11:AN61 AQ11:AQ61 AT11:AT61 AW11:AW61 AZ11:AZ61 BC11:BC61 BF11:BF61 BI11:BI61 BL11:BL61 BO11:BO61 BR11:BR61 BU11:BU61 BX11:BX61 CA11:CA61 CD11:CD61 CG11:CG61 CJ11:CJ61 CM11:CM61 CP11:CP61 CS11:DF61">
      <formula1>$E$3:$E$7</formula1>
    </dataValidation>
    <dataValidation type="list" allowBlank="1" sqref="A26:A40">
      <formula1>$A$20:$A$23</formula1>
    </dataValidation>
  </dataValidations>
  <hyperlinks>
    <hyperlink r:id="rId1" ref="B18"/>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75</v>
      </c>
      <c r="B1" s="1" t="s">
        <v>76</v>
      </c>
      <c r="C1" s="1" t="s">
        <v>77</v>
      </c>
      <c r="D1" s="1" t="s">
        <v>78</v>
      </c>
      <c r="E1" s="1" t="s">
        <v>79</v>
      </c>
      <c r="F1" s="1" t="s">
        <v>80</v>
      </c>
    </row>
    <row r="2">
      <c r="A2" s="44">
        <v>0.0</v>
      </c>
      <c r="B2" s="44">
        <v>1.595775015E9</v>
      </c>
      <c r="C2" s="40">
        <f>IFERROR(__xludf.DUMMYFUNCTION("INDEX(SPLIT(B2, char(10)), 0, 1)/86400+date(1970,1,1)"),44038.61822916666)</f>
        <v>44038.61823</v>
      </c>
      <c r="D2" s="44" t="s">
        <v>136</v>
      </c>
      <c r="E2" s="44" t="s">
        <v>690</v>
      </c>
      <c r="F2" s="44" t="s">
        <v>691</v>
      </c>
    </row>
    <row r="3">
      <c r="A3" s="44">
        <v>1.0</v>
      </c>
      <c r="B3" s="44">
        <v>1.595775337E9</v>
      </c>
      <c r="C3" s="40">
        <f>IFERROR(__xludf.DUMMYFUNCTION("INDEX(SPLIT(B3, char(10)), 0, 1)/86400+date(1970,1,1)"),44038.62195601852)</f>
        <v>44038.62196</v>
      </c>
      <c r="D3" s="44" t="s">
        <v>81</v>
      </c>
      <c r="E3" s="44" t="s">
        <v>692</v>
      </c>
      <c r="F3" s="44" t="s">
        <v>693</v>
      </c>
    </row>
    <row r="4">
      <c r="A4" s="44">
        <v>1.0</v>
      </c>
      <c r="B4" s="44">
        <v>1.59577535E9</v>
      </c>
      <c r="C4" s="40">
        <f>IFERROR(__xludf.DUMMYFUNCTION("INDEX(SPLIT(B4, char(10)), 0, 1)/86400+date(1970,1,1)"),44038.62210648148)</f>
        <v>44038.62211</v>
      </c>
      <c r="D4" s="44" t="s">
        <v>96</v>
      </c>
      <c r="E4" s="44" t="s">
        <v>694</v>
      </c>
      <c r="F4" s="44" t="s">
        <v>695</v>
      </c>
    </row>
    <row r="5">
      <c r="A5" s="44">
        <v>2.0</v>
      </c>
      <c r="B5" s="44">
        <v>1.595775474E9</v>
      </c>
      <c r="C5" s="40">
        <f>IFERROR(__xludf.DUMMYFUNCTION("INDEX(SPLIT(B5, char(10)), 0, 1)/86400+date(1970,1,1)"),44038.62354166667)</f>
        <v>44038.62354</v>
      </c>
      <c r="D5" s="44" t="s">
        <v>81</v>
      </c>
      <c r="E5" s="44" t="s">
        <v>82</v>
      </c>
      <c r="F5" s="44" t="s">
        <v>696</v>
      </c>
    </row>
    <row r="6">
      <c r="A6" s="44">
        <v>3.0</v>
      </c>
      <c r="B6" s="44">
        <v>1.595775781E9</v>
      </c>
      <c r="C6" s="40">
        <f>IFERROR(__xludf.DUMMYFUNCTION("INDEX(SPLIT(B6, char(10)), 0, 1)/86400+date(1970,1,1)"),44038.62709490741)</f>
        <v>44038.62709</v>
      </c>
      <c r="D6" s="44" t="s">
        <v>124</v>
      </c>
      <c r="E6" s="44" t="s">
        <v>392</v>
      </c>
      <c r="F6" s="44" t="s">
        <v>697</v>
      </c>
    </row>
    <row r="7">
      <c r="A7" s="44">
        <v>4.0</v>
      </c>
      <c r="B7" s="44">
        <v>1.595776098E9</v>
      </c>
      <c r="C7" s="40">
        <f>IFERROR(__xludf.DUMMYFUNCTION("INDEX(SPLIT(B7, char(10)), 0, 1)/86400+date(1970,1,1)"),44038.63076388889)</f>
        <v>44038.63076</v>
      </c>
      <c r="D7" s="44" t="s">
        <v>103</v>
      </c>
      <c r="E7" s="44" t="s">
        <v>698</v>
      </c>
      <c r="F7" s="44" t="s">
        <v>699</v>
      </c>
    </row>
    <row r="8">
      <c r="A8" s="44">
        <v>4.0</v>
      </c>
      <c r="B8" s="44">
        <v>1.595776178E9</v>
      </c>
      <c r="C8" s="40">
        <f>IFERROR(__xludf.DUMMYFUNCTION("INDEX(SPLIT(B8, char(10)), 0, 1)/86400+date(1970,1,1)"),44038.631689814814)</f>
        <v>44038.63169</v>
      </c>
      <c r="D8" s="44" t="s">
        <v>128</v>
      </c>
      <c r="E8" s="44" t="s">
        <v>700</v>
      </c>
      <c r="F8" s="44" t="s">
        <v>701</v>
      </c>
    </row>
    <row r="9">
      <c r="A9" s="44">
        <v>4.0</v>
      </c>
      <c r="B9" s="44">
        <v>1.595776187E9</v>
      </c>
      <c r="C9" s="40">
        <f>IFERROR(__xludf.DUMMYFUNCTION("INDEX(SPLIT(B9, char(10)), 0, 1)/86400+date(1970,1,1)"),44038.631793981476)</f>
        <v>44038.63179</v>
      </c>
      <c r="D9" s="44" t="s">
        <v>124</v>
      </c>
      <c r="E9" s="44" t="s">
        <v>702</v>
      </c>
      <c r="F9" s="44" t="s">
        <v>703</v>
      </c>
    </row>
    <row r="10">
      <c r="A10" s="44">
        <v>5.0</v>
      </c>
      <c r="B10" s="44">
        <v>1.595776232E9</v>
      </c>
      <c r="C10" s="40">
        <f>IFERROR(__xludf.DUMMYFUNCTION("INDEX(SPLIT(B10, char(10)), 0, 1)/86400+date(1970,1,1)"),44038.632314814815)</f>
        <v>44038.63231</v>
      </c>
      <c r="D10" s="44" t="s">
        <v>96</v>
      </c>
      <c r="E10" s="44" t="s">
        <v>704</v>
      </c>
      <c r="F10" s="44" t="s">
        <v>705</v>
      </c>
    </row>
    <row r="11">
      <c r="A11" s="44">
        <v>5.0</v>
      </c>
      <c r="B11" s="44">
        <v>1.595776317E9</v>
      </c>
      <c r="C11" s="40">
        <f>IFERROR(__xludf.DUMMYFUNCTION("INDEX(SPLIT(B11, char(10)), 0, 1)/86400+date(1970,1,1)"),44038.63329861111)</f>
        <v>44038.6333</v>
      </c>
      <c r="D11" s="44" t="s">
        <v>103</v>
      </c>
      <c r="E11" s="44" t="s">
        <v>706</v>
      </c>
      <c r="F11" s="44" t="s">
        <v>707</v>
      </c>
    </row>
    <row r="12">
      <c r="A12" s="44">
        <v>6.0</v>
      </c>
      <c r="B12" s="44">
        <v>1.595776508E9</v>
      </c>
      <c r="C12" s="40">
        <f>IFERROR(__xludf.DUMMYFUNCTION("INDEX(SPLIT(B12, char(10)), 0, 1)/86400+date(1970,1,1)"),44038.63550925926)</f>
        <v>44038.63551</v>
      </c>
      <c r="D12" s="44" t="s">
        <v>103</v>
      </c>
      <c r="E12" s="44" t="s">
        <v>708</v>
      </c>
      <c r="F12" s="44" t="s">
        <v>709</v>
      </c>
    </row>
    <row r="13">
      <c r="A13" s="44">
        <v>6.0</v>
      </c>
      <c r="B13" s="44">
        <v>1.595776509E9</v>
      </c>
      <c r="C13" s="40">
        <f>IFERROR(__xludf.DUMMYFUNCTION("INDEX(SPLIT(B13, char(10)), 0, 1)/86400+date(1970,1,1)"),44038.63552083333)</f>
        <v>44038.63552</v>
      </c>
      <c r="D13" s="44" t="s">
        <v>131</v>
      </c>
      <c r="E13" s="44" t="s">
        <v>708</v>
      </c>
      <c r="F13" s="44" t="s">
        <v>710</v>
      </c>
    </row>
    <row r="14">
      <c r="A14" s="44">
        <v>6.0</v>
      </c>
      <c r="B14" s="44">
        <v>1.595776564E9</v>
      </c>
      <c r="C14" s="40">
        <f>IFERROR(__xludf.DUMMYFUNCTION("INDEX(SPLIT(B14, char(10)), 0, 1)/86400+date(1970,1,1)"),44038.63615740741)</f>
        <v>44038.63616</v>
      </c>
      <c r="D14" s="44" t="s">
        <v>93</v>
      </c>
      <c r="E14" s="44" t="s">
        <v>711</v>
      </c>
      <c r="F14" s="44" t="s">
        <v>712</v>
      </c>
    </row>
    <row r="15">
      <c r="A15" s="44">
        <v>7.0</v>
      </c>
      <c r="B15" s="44">
        <v>1.595776883E9</v>
      </c>
      <c r="C15" s="40">
        <f>IFERROR(__xludf.DUMMYFUNCTION("INDEX(SPLIT(B15, char(10)), 0, 1)/86400+date(1970,1,1)"),44038.63984953704)</f>
        <v>44038.63985</v>
      </c>
      <c r="D15" s="44" t="s">
        <v>81</v>
      </c>
      <c r="E15" s="44" t="s">
        <v>704</v>
      </c>
      <c r="F15" s="44" t="s">
        <v>713</v>
      </c>
    </row>
    <row r="16">
      <c r="A16" s="44">
        <v>7.0</v>
      </c>
      <c r="B16" s="44">
        <v>1.59577696E9</v>
      </c>
      <c r="C16" s="40">
        <f>IFERROR(__xludf.DUMMYFUNCTION("INDEX(SPLIT(B16, char(10)), 0, 1)/86400+date(1970,1,1)"),44038.64074074074)</f>
        <v>44038.64074</v>
      </c>
      <c r="D16" s="44" t="s">
        <v>103</v>
      </c>
      <c r="E16" s="44" t="s">
        <v>714</v>
      </c>
      <c r="F16" s="44" t="s">
        <v>715</v>
      </c>
    </row>
    <row r="17">
      <c r="A17" s="44">
        <v>8.0</v>
      </c>
      <c r="B17" s="44">
        <v>1.595777136E9</v>
      </c>
      <c r="C17" s="40">
        <f>IFERROR(__xludf.DUMMYFUNCTION("INDEX(SPLIT(B17, char(10)), 0, 1)/86400+date(1970,1,1)"),44038.64277777778)</f>
        <v>44038.64278</v>
      </c>
      <c r="D17" s="44" t="s">
        <v>96</v>
      </c>
      <c r="E17" s="44" t="s">
        <v>716</v>
      </c>
      <c r="F17" s="44" t="s">
        <v>717</v>
      </c>
    </row>
    <row r="18">
      <c r="A18" s="44">
        <v>8.0</v>
      </c>
      <c r="B18" s="44">
        <v>1.59577714E9</v>
      </c>
      <c r="C18" s="40">
        <f>IFERROR(__xludf.DUMMYFUNCTION("INDEX(SPLIT(B18, char(10)), 0, 1)/86400+date(1970,1,1)"),44038.64282407408)</f>
        <v>44038.64282</v>
      </c>
      <c r="D18" s="44" t="s">
        <v>93</v>
      </c>
      <c r="E18" s="44" t="s">
        <v>718</v>
      </c>
      <c r="F18" s="44" t="s">
        <v>719</v>
      </c>
    </row>
    <row r="19">
      <c r="A19" s="44">
        <v>8.0</v>
      </c>
      <c r="B19" s="44">
        <v>1.59577716E9</v>
      </c>
      <c r="C19" s="40">
        <f>IFERROR(__xludf.DUMMYFUNCTION("INDEX(SPLIT(B19, char(10)), 0, 1)/86400+date(1970,1,1)"),44038.643055555556)</f>
        <v>44038.64306</v>
      </c>
      <c r="D19" s="44" t="s">
        <v>90</v>
      </c>
      <c r="E19" s="44" t="s">
        <v>716</v>
      </c>
      <c r="F19" s="44" t="s">
        <v>720</v>
      </c>
    </row>
    <row r="20">
      <c r="A20" s="44">
        <v>8.0</v>
      </c>
      <c r="B20" s="44">
        <v>1.595777166E9</v>
      </c>
      <c r="C20" s="40">
        <f>IFERROR(__xludf.DUMMYFUNCTION("INDEX(SPLIT(B20, char(10)), 0, 1)/86400+date(1970,1,1)"),44038.643125)</f>
        <v>44038.64313</v>
      </c>
      <c r="D20" s="44" t="s">
        <v>174</v>
      </c>
      <c r="E20" s="44" t="s">
        <v>716</v>
      </c>
      <c r="F20" s="44" t="s">
        <v>721</v>
      </c>
    </row>
    <row r="21">
      <c r="A21" s="44">
        <v>8.0</v>
      </c>
      <c r="B21" s="44">
        <v>1.595777184E9</v>
      </c>
      <c r="C21" s="40">
        <f>IFERROR(__xludf.DUMMYFUNCTION("INDEX(SPLIT(B21, char(10)), 0, 1)/86400+date(1970,1,1)"),44038.64333333333)</f>
        <v>44038.64333</v>
      </c>
      <c r="D21" s="44" t="s">
        <v>81</v>
      </c>
      <c r="E21" s="44" t="s">
        <v>722</v>
      </c>
      <c r="F21" s="44" t="s">
        <v>723</v>
      </c>
    </row>
    <row r="22">
      <c r="A22" s="44">
        <v>9.0</v>
      </c>
      <c r="B22" s="44">
        <v>1.595777326E9</v>
      </c>
      <c r="C22" s="40">
        <f>IFERROR(__xludf.DUMMYFUNCTION("INDEX(SPLIT(B22, char(10)), 0, 1)/86400+date(1970,1,1)"),44038.64497685185)</f>
        <v>44038.64498</v>
      </c>
      <c r="D22" s="44" t="s">
        <v>103</v>
      </c>
      <c r="E22" s="44" t="s">
        <v>706</v>
      </c>
      <c r="F22" s="44" t="s">
        <v>724</v>
      </c>
    </row>
    <row r="23">
      <c r="A23" s="44">
        <v>9.0</v>
      </c>
      <c r="B23" s="44">
        <v>1.595777373E9</v>
      </c>
      <c r="C23" s="40">
        <f>IFERROR(__xludf.DUMMYFUNCTION("INDEX(SPLIT(B23, char(10)), 0, 1)/86400+date(1970,1,1)"),44038.645520833335)</f>
        <v>44038.64552</v>
      </c>
      <c r="D23" s="44" t="s">
        <v>128</v>
      </c>
      <c r="E23" s="44" t="s">
        <v>704</v>
      </c>
      <c r="F23" s="44" t="s">
        <v>725</v>
      </c>
    </row>
    <row r="24">
      <c r="A24" s="44">
        <v>10.0</v>
      </c>
      <c r="B24" s="44">
        <v>1.595777485E9</v>
      </c>
      <c r="C24" s="40">
        <f>IFERROR(__xludf.DUMMYFUNCTION("INDEX(SPLIT(B24, char(10)), 0, 1)/86400+date(1970,1,1)"),44038.64681712963)</f>
        <v>44038.64682</v>
      </c>
      <c r="D24" s="44" t="s">
        <v>96</v>
      </c>
      <c r="E24" s="44" t="s">
        <v>160</v>
      </c>
      <c r="F24" s="44" t="s">
        <v>726</v>
      </c>
    </row>
    <row r="25">
      <c r="A25" s="44">
        <v>10.0</v>
      </c>
      <c r="B25" s="44">
        <v>1.595777529E9</v>
      </c>
      <c r="C25" s="40">
        <f>IFERROR(__xludf.DUMMYFUNCTION("INDEX(SPLIT(B25, char(10)), 0, 1)/86400+date(1970,1,1)"),44038.64732638889)</f>
        <v>44038.64733</v>
      </c>
      <c r="D25" s="44" t="s">
        <v>81</v>
      </c>
      <c r="E25" s="44" t="s">
        <v>727</v>
      </c>
      <c r="F25" s="44" t="s">
        <v>728</v>
      </c>
    </row>
    <row r="26">
      <c r="A26" s="44">
        <v>10.0</v>
      </c>
      <c r="B26" s="44">
        <v>1.595777569E9</v>
      </c>
      <c r="C26" s="40">
        <f>IFERROR(__xludf.DUMMYFUNCTION("INDEX(SPLIT(B26, char(10)), 0, 1)/86400+date(1970,1,1)"),44038.64778935185)</f>
        <v>44038.64779</v>
      </c>
      <c r="D26" s="44" t="s">
        <v>103</v>
      </c>
      <c r="E26" s="44" t="s">
        <v>729</v>
      </c>
      <c r="F26" s="44" t="s">
        <v>730</v>
      </c>
    </row>
    <row r="27">
      <c r="A27" s="44">
        <v>11.0</v>
      </c>
      <c r="B27" s="44">
        <v>1.595777696E9</v>
      </c>
      <c r="C27" s="40">
        <f>IFERROR(__xludf.DUMMYFUNCTION("INDEX(SPLIT(B27, char(10)), 0, 1)/86400+date(1970,1,1)"),44038.649259259255)</f>
        <v>44038.64926</v>
      </c>
      <c r="D27" s="44" t="s">
        <v>93</v>
      </c>
      <c r="E27" s="44" t="s">
        <v>731</v>
      </c>
      <c r="F27" s="44" t="s">
        <v>732</v>
      </c>
    </row>
    <row r="28">
      <c r="A28" s="44">
        <v>12.0</v>
      </c>
      <c r="B28" s="44">
        <v>1.595777787E9</v>
      </c>
      <c r="C28" s="40">
        <f>IFERROR(__xludf.DUMMYFUNCTION("INDEX(SPLIT(B28, char(10)), 0, 1)/86400+date(1970,1,1)"),44038.6503125)</f>
        <v>44038.65031</v>
      </c>
      <c r="D28" s="44" t="s">
        <v>93</v>
      </c>
      <c r="E28" s="44" t="s">
        <v>733</v>
      </c>
      <c r="F28" s="44" t="s">
        <v>734</v>
      </c>
    </row>
    <row r="29">
      <c r="A29" s="44">
        <v>12.0</v>
      </c>
      <c r="B29" s="44">
        <v>1.595777793E9</v>
      </c>
      <c r="C29" s="40">
        <f>IFERROR(__xludf.DUMMYFUNCTION("INDEX(SPLIT(B29, char(10)), 0, 1)/86400+date(1970,1,1)"),44038.65038194445)</f>
        <v>44038.65038</v>
      </c>
      <c r="D29" s="44" t="s">
        <v>96</v>
      </c>
      <c r="E29" s="44" t="s">
        <v>735</v>
      </c>
      <c r="F29" s="44" t="s">
        <v>736</v>
      </c>
    </row>
    <row r="30">
      <c r="A30" s="44">
        <v>13.0</v>
      </c>
      <c r="B30" s="44">
        <v>1.59577813E9</v>
      </c>
      <c r="C30" s="40">
        <f>IFERROR(__xludf.DUMMYFUNCTION("INDEX(SPLIT(B30, char(10)), 0, 1)/86400+date(1970,1,1)"),44038.654282407406)</f>
        <v>44038.65428</v>
      </c>
      <c r="D30" s="44" t="s">
        <v>93</v>
      </c>
      <c r="E30" s="44" t="s">
        <v>706</v>
      </c>
      <c r="F30" s="44" t="s">
        <v>737</v>
      </c>
    </row>
    <row r="31">
      <c r="A31" s="44">
        <v>13.0</v>
      </c>
      <c r="B31" s="44">
        <v>1.595778157E9</v>
      </c>
      <c r="C31" s="40">
        <f>IFERROR(__xludf.DUMMYFUNCTION("INDEX(SPLIT(B31, char(10)), 0, 1)/86400+date(1970,1,1)"),44038.654594907406)</f>
        <v>44038.65459</v>
      </c>
      <c r="D31" s="44" t="s">
        <v>90</v>
      </c>
      <c r="E31" s="44" t="s">
        <v>706</v>
      </c>
      <c r="F31" s="44" t="s">
        <v>738</v>
      </c>
    </row>
    <row r="32">
      <c r="A32" s="44">
        <v>13.0</v>
      </c>
      <c r="B32" s="44">
        <v>1.595778177E9</v>
      </c>
      <c r="C32" s="40">
        <f>IFERROR(__xludf.DUMMYFUNCTION("INDEX(SPLIT(B32, char(10)), 0, 1)/86400+date(1970,1,1)"),44038.65482638888)</f>
        <v>44038.65483</v>
      </c>
      <c r="D32" s="44" t="s">
        <v>103</v>
      </c>
      <c r="E32" s="44" t="s">
        <v>698</v>
      </c>
      <c r="F32" s="44" t="s">
        <v>739</v>
      </c>
    </row>
    <row r="33">
      <c r="A33" s="44">
        <v>13.0</v>
      </c>
      <c r="B33" s="44">
        <v>1.595778185E9</v>
      </c>
      <c r="C33" s="40">
        <f>IFERROR(__xludf.DUMMYFUNCTION("INDEX(SPLIT(B33, char(10)), 0, 1)/86400+date(1970,1,1)"),44038.65491898148)</f>
        <v>44038.65492</v>
      </c>
      <c r="D33" s="44" t="s">
        <v>81</v>
      </c>
      <c r="E33" s="44" t="s">
        <v>740</v>
      </c>
      <c r="F33" s="44" t="s">
        <v>741</v>
      </c>
    </row>
    <row r="34">
      <c r="A34" s="44">
        <v>14.0</v>
      </c>
      <c r="B34" s="44">
        <v>1.595778323E9</v>
      </c>
      <c r="C34" s="40">
        <f>IFERROR(__xludf.DUMMYFUNCTION("INDEX(SPLIT(B34, char(10)), 0, 1)/86400+date(1970,1,1)"),44038.6565162037)</f>
        <v>44038.65652</v>
      </c>
      <c r="D34" s="44" t="s">
        <v>81</v>
      </c>
      <c r="E34" s="44" t="s">
        <v>742</v>
      </c>
      <c r="F34" s="44" t="s">
        <v>743</v>
      </c>
    </row>
    <row r="35">
      <c r="A35" s="44">
        <v>15.0</v>
      </c>
      <c r="B35" s="44">
        <v>1.595778471E9</v>
      </c>
      <c r="C35" s="40">
        <f>IFERROR(__xludf.DUMMYFUNCTION("INDEX(SPLIT(B35, char(10)), 0, 1)/86400+date(1970,1,1)"),44038.65822916667)</f>
        <v>44038.65823</v>
      </c>
      <c r="D35" s="44" t="s">
        <v>174</v>
      </c>
      <c r="E35" s="44" t="s">
        <v>175</v>
      </c>
      <c r="F35" s="44" t="s">
        <v>744</v>
      </c>
    </row>
    <row r="36">
      <c r="A36" s="44">
        <v>15.0</v>
      </c>
      <c r="B36" s="44">
        <v>1.595778556E9</v>
      </c>
      <c r="C36" s="40">
        <f>IFERROR(__xludf.DUMMYFUNCTION("INDEX(SPLIT(B36, char(10)), 0, 1)/86400+date(1970,1,1)"),44038.659212962964)</f>
        <v>44038.65921</v>
      </c>
      <c r="D36" s="44" t="s">
        <v>96</v>
      </c>
      <c r="E36" s="44" t="s">
        <v>745</v>
      </c>
      <c r="F36" s="44" t="s">
        <v>746</v>
      </c>
    </row>
    <row r="37">
      <c r="A37" s="44">
        <v>16.0</v>
      </c>
      <c r="B37" s="44">
        <v>1.595778601E9</v>
      </c>
      <c r="C37" s="40">
        <f>IFERROR(__xludf.DUMMYFUNCTION("INDEX(SPLIT(B37, char(10)), 0, 1)/86400+date(1970,1,1)"),44038.659733796296)</f>
        <v>44038.65973</v>
      </c>
      <c r="D37" s="44" t="s">
        <v>90</v>
      </c>
      <c r="E37" s="44" t="s">
        <v>747</v>
      </c>
      <c r="F37" s="44" t="s">
        <v>748</v>
      </c>
    </row>
    <row r="38">
      <c r="A38" s="44">
        <v>17.0</v>
      </c>
      <c r="B38" s="44">
        <v>1.595778911E9</v>
      </c>
      <c r="C38" s="40">
        <f>IFERROR(__xludf.DUMMYFUNCTION("INDEX(SPLIT(B38, char(10)), 0, 1)/86400+date(1970,1,1)"),44038.66332175926)</f>
        <v>44038.66332</v>
      </c>
      <c r="D38" s="44" t="s">
        <v>749</v>
      </c>
      <c r="E38" s="44" t="s">
        <v>750</v>
      </c>
      <c r="F38" s="44" t="s">
        <v>751</v>
      </c>
    </row>
    <row r="39">
      <c r="A39" s="44">
        <v>17.0</v>
      </c>
      <c r="B39" s="44">
        <v>1.595778947E9</v>
      </c>
      <c r="C39" s="40">
        <f>IFERROR(__xludf.DUMMYFUNCTION("INDEX(SPLIT(B39, char(10)), 0, 1)/86400+date(1970,1,1)"),44038.66373842592)</f>
        <v>44038.66374</v>
      </c>
      <c r="D39" s="44" t="s">
        <v>93</v>
      </c>
      <c r="E39" s="44" t="s">
        <v>752</v>
      </c>
      <c r="F39" s="44" t="s">
        <v>753</v>
      </c>
    </row>
    <row r="40">
      <c r="A40" s="44">
        <v>18.0</v>
      </c>
      <c r="B40" s="44">
        <v>1.595779034E9</v>
      </c>
      <c r="C40" s="40">
        <f>IFERROR(__xludf.DUMMYFUNCTION("INDEX(SPLIT(B40, char(10)), 0, 1)/86400+date(1970,1,1)"),44038.66474537037)</f>
        <v>44038.66475</v>
      </c>
      <c r="D40" s="44" t="s">
        <v>749</v>
      </c>
      <c r="E40" s="44" t="s">
        <v>754</v>
      </c>
      <c r="F40" s="44" t="s">
        <v>755</v>
      </c>
    </row>
    <row r="41">
      <c r="A41" s="44">
        <v>19.0</v>
      </c>
      <c r="B41" s="44">
        <v>1.595779535E9</v>
      </c>
      <c r="C41" s="40">
        <f>IFERROR(__xludf.DUMMYFUNCTION("INDEX(SPLIT(B41, char(10)), 0, 1)/86400+date(1970,1,1)"),44038.67054398148)</f>
        <v>44038.67054</v>
      </c>
      <c r="D41" s="44" t="s">
        <v>103</v>
      </c>
      <c r="E41" s="44" t="s">
        <v>756</v>
      </c>
      <c r="F41" s="44" t="s">
        <v>757</v>
      </c>
    </row>
    <row r="42">
      <c r="A42" s="44">
        <v>19.0</v>
      </c>
      <c r="B42" s="44">
        <v>1.595779575E9</v>
      </c>
      <c r="C42" s="40">
        <f>IFERROR(__xludf.DUMMYFUNCTION("INDEX(SPLIT(B42, char(10)), 0, 1)/86400+date(1970,1,1)"),44038.671006944445)</f>
        <v>44038.67101</v>
      </c>
      <c r="D42" s="44" t="s">
        <v>124</v>
      </c>
      <c r="E42" s="44" t="s">
        <v>758</v>
      </c>
      <c r="F42" s="44" t="s">
        <v>759</v>
      </c>
    </row>
    <row r="43">
      <c r="A43" s="44">
        <v>20.0</v>
      </c>
      <c r="B43" s="44">
        <v>1.595779754E9</v>
      </c>
      <c r="C43" s="40">
        <f>IFERROR(__xludf.DUMMYFUNCTION("INDEX(SPLIT(B43, char(10)), 0, 1)/86400+date(1970,1,1)"),44038.67307870371)</f>
        <v>44038.67308</v>
      </c>
      <c r="D43" s="44" t="s">
        <v>81</v>
      </c>
      <c r="E43" s="44" t="s">
        <v>479</v>
      </c>
      <c r="F43" s="44" t="s">
        <v>760</v>
      </c>
    </row>
    <row r="44">
      <c r="A44" s="44">
        <v>21.0</v>
      </c>
      <c r="B44" s="44">
        <v>1.595779923E9</v>
      </c>
      <c r="C44" s="40">
        <f>IFERROR(__xludf.DUMMYFUNCTION("INDEX(SPLIT(B44, char(10)), 0, 1)/86400+date(1970,1,1)"),44038.675034722226)</f>
        <v>44038.67503</v>
      </c>
      <c r="D44" s="44" t="s">
        <v>81</v>
      </c>
      <c r="E44" s="44" t="s">
        <v>761</v>
      </c>
      <c r="F44" s="44" t="s">
        <v>762</v>
      </c>
    </row>
    <row r="45">
      <c r="A45" s="44">
        <v>21.0</v>
      </c>
      <c r="B45" s="44">
        <v>1.595779941E9</v>
      </c>
      <c r="C45" s="40">
        <f>IFERROR(__xludf.DUMMYFUNCTION("INDEX(SPLIT(B45, char(10)), 0, 1)/86400+date(1970,1,1)"),44038.67524305556)</f>
        <v>44038.67524</v>
      </c>
      <c r="D45" s="44" t="s">
        <v>90</v>
      </c>
      <c r="E45" s="44" t="s">
        <v>763</v>
      </c>
      <c r="F45" s="44" t="s">
        <v>764</v>
      </c>
    </row>
    <row r="46">
      <c r="A46" s="44">
        <v>22.0</v>
      </c>
      <c r="B46" s="44">
        <v>1.59578015E9</v>
      </c>
      <c r="C46" s="40">
        <f>IFERROR(__xludf.DUMMYFUNCTION("INDEX(SPLIT(B46, char(10)), 0, 1)/86400+date(1970,1,1)"),44038.67766203704)</f>
        <v>44038.67766</v>
      </c>
      <c r="D46" s="44" t="s">
        <v>128</v>
      </c>
      <c r="E46" s="44" t="s">
        <v>765</v>
      </c>
      <c r="F46" s="44" t="s">
        <v>766</v>
      </c>
    </row>
    <row r="47">
      <c r="A47" s="44">
        <v>22.0</v>
      </c>
      <c r="B47" s="44">
        <v>1.5957802E9</v>
      </c>
      <c r="C47" s="40">
        <f>IFERROR(__xludf.DUMMYFUNCTION("INDEX(SPLIT(B47, char(10)), 0, 1)/86400+date(1970,1,1)"),44038.678240740745)</f>
        <v>44038.67824</v>
      </c>
      <c r="D47" s="44" t="s">
        <v>96</v>
      </c>
      <c r="E47" s="44" t="s">
        <v>418</v>
      </c>
      <c r="F47" s="44" t="s">
        <v>767</v>
      </c>
    </row>
    <row r="48">
      <c r="A48" s="44">
        <v>23.0</v>
      </c>
      <c r="B48" s="44">
        <v>1.595780329E9</v>
      </c>
      <c r="C48" s="40">
        <f>IFERROR(__xludf.DUMMYFUNCTION("INDEX(SPLIT(B48, char(10)), 0, 1)/86400+date(1970,1,1)"),44038.67973379629)</f>
        <v>44038.67973</v>
      </c>
      <c r="D48" s="44" t="s">
        <v>370</v>
      </c>
      <c r="E48" s="44" t="s">
        <v>768</v>
      </c>
      <c r="F48" s="44" t="s">
        <v>769</v>
      </c>
    </row>
    <row r="49">
      <c r="A49" s="44">
        <v>23.0</v>
      </c>
      <c r="B49" s="44">
        <v>1.595780412E9</v>
      </c>
      <c r="C49" s="40">
        <f>IFERROR(__xludf.DUMMYFUNCTION("INDEX(SPLIT(B49, char(10)), 0, 1)/86400+date(1970,1,1)"),44038.68069444444)</f>
        <v>44038.68069</v>
      </c>
      <c r="D49" s="44" t="s">
        <v>136</v>
      </c>
      <c r="E49" s="44" t="s">
        <v>244</v>
      </c>
      <c r="F49" s="44" t="s">
        <v>770</v>
      </c>
    </row>
    <row r="50">
      <c r="A50" s="44">
        <v>24.0</v>
      </c>
      <c r="B50" s="44">
        <v>1.595780524E9</v>
      </c>
      <c r="C50" s="40">
        <f>IFERROR(__xludf.DUMMYFUNCTION("INDEX(SPLIT(B50, char(10)), 0, 1)/86400+date(1970,1,1)"),44038.68199074074)</f>
        <v>44038.68199</v>
      </c>
      <c r="D50" s="44" t="s">
        <v>128</v>
      </c>
      <c r="E50" s="44" t="s">
        <v>771</v>
      </c>
      <c r="F50" s="44" t="s">
        <v>772</v>
      </c>
    </row>
    <row r="51">
      <c r="A51" s="44">
        <v>24.0</v>
      </c>
      <c r="B51" s="44">
        <v>1.595780605E9</v>
      </c>
      <c r="C51" s="40">
        <f>IFERROR(__xludf.DUMMYFUNCTION("INDEX(SPLIT(B51, char(10)), 0, 1)/86400+date(1970,1,1)"),44038.68292824074)</f>
        <v>44038.68293</v>
      </c>
      <c r="D51" s="44" t="s">
        <v>81</v>
      </c>
      <c r="E51" s="44" t="s">
        <v>479</v>
      </c>
      <c r="F51" s="44" t="s">
        <v>773</v>
      </c>
    </row>
    <row r="52">
      <c r="A52" s="44">
        <v>25.0</v>
      </c>
      <c r="B52" s="44">
        <v>1.595780642E9</v>
      </c>
      <c r="C52" s="40">
        <f>IFERROR(__xludf.DUMMYFUNCTION("INDEX(SPLIT(B52, char(10)), 0, 1)/86400+date(1970,1,1)"),44038.68335648148)</f>
        <v>44038.68336</v>
      </c>
      <c r="D52" s="44" t="s">
        <v>103</v>
      </c>
      <c r="E52" s="44" t="s">
        <v>698</v>
      </c>
      <c r="F52" s="44" t="s">
        <v>774</v>
      </c>
    </row>
    <row r="53">
      <c r="A53" s="44">
        <v>26.0</v>
      </c>
      <c r="B53" s="44">
        <v>1.595780826E9</v>
      </c>
      <c r="C53" s="40">
        <f>IFERROR(__xludf.DUMMYFUNCTION("INDEX(SPLIT(B53, char(10)), 0, 1)/86400+date(1970,1,1)"),44038.685486111106)</f>
        <v>44038.68549</v>
      </c>
      <c r="D53" s="44" t="s">
        <v>749</v>
      </c>
      <c r="E53" s="44" t="s">
        <v>775</v>
      </c>
      <c r="F53" s="44" t="s">
        <v>776</v>
      </c>
    </row>
    <row r="54">
      <c r="A54" s="44">
        <v>26.0</v>
      </c>
      <c r="B54" s="44">
        <v>1.595780831E9</v>
      </c>
      <c r="C54" s="40">
        <f>IFERROR(__xludf.DUMMYFUNCTION("INDEX(SPLIT(B54, char(10)), 0, 1)/86400+date(1970,1,1)"),44038.68554398148)</f>
        <v>44038.68554</v>
      </c>
      <c r="D54" s="44" t="s">
        <v>124</v>
      </c>
      <c r="E54" s="44" t="s">
        <v>775</v>
      </c>
      <c r="F54" s="44" t="s">
        <v>777</v>
      </c>
    </row>
    <row r="55">
      <c r="A55" s="44">
        <v>26.0</v>
      </c>
      <c r="B55" s="44">
        <v>1.595780848E9</v>
      </c>
      <c r="C55" s="40">
        <f>IFERROR(__xludf.DUMMYFUNCTION("INDEX(SPLIT(B55, char(10)), 0, 1)/86400+date(1970,1,1)"),44038.68574074074)</f>
        <v>44038.68574</v>
      </c>
      <c r="D55" s="44" t="s">
        <v>128</v>
      </c>
      <c r="E55" s="44" t="s">
        <v>778</v>
      </c>
      <c r="F55" s="44" t="s">
        <v>779</v>
      </c>
    </row>
    <row r="56">
      <c r="A56" s="44">
        <v>26.0</v>
      </c>
      <c r="B56" s="44">
        <v>1.595780855E9</v>
      </c>
      <c r="C56" s="40">
        <f>IFERROR(__xludf.DUMMYFUNCTION("INDEX(SPLIT(B56, char(10)), 0, 1)/86400+date(1970,1,1)"),44038.68582175926)</f>
        <v>44038.68582</v>
      </c>
      <c r="D56" s="44" t="s">
        <v>81</v>
      </c>
      <c r="E56" s="44" t="s">
        <v>780</v>
      </c>
      <c r="F56" s="44" t="s">
        <v>781</v>
      </c>
    </row>
    <row r="57">
      <c r="A57" s="44">
        <v>27.0</v>
      </c>
      <c r="B57" s="44">
        <v>1.595780925E9</v>
      </c>
      <c r="C57" s="40">
        <f>IFERROR(__xludf.DUMMYFUNCTION("INDEX(SPLIT(B57, char(10)), 0, 1)/86400+date(1970,1,1)"),44038.686631944445)</f>
        <v>44038.68663</v>
      </c>
      <c r="D57" s="44" t="s">
        <v>93</v>
      </c>
      <c r="E57" s="44" t="s">
        <v>782</v>
      </c>
      <c r="F57" s="44" t="s">
        <v>783</v>
      </c>
    </row>
    <row r="58">
      <c r="A58" s="44">
        <v>27.0</v>
      </c>
      <c r="B58" s="44">
        <v>1.595780955E9</v>
      </c>
      <c r="C58" s="40">
        <f>IFERROR(__xludf.DUMMYFUNCTION("INDEX(SPLIT(B58, char(10)), 0, 1)/86400+date(1970,1,1)"),44038.68697916667)</f>
        <v>44038.68698</v>
      </c>
      <c r="D58" s="44" t="s">
        <v>131</v>
      </c>
      <c r="E58" s="44" t="s">
        <v>784</v>
      </c>
      <c r="F58" s="44" t="s">
        <v>785</v>
      </c>
    </row>
    <row r="59">
      <c r="A59" s="44">
        <v>27.0</v>
      </c>
      <c r="B59" s="44">
        <v>1.595780969E9</v>
      </c>
      <c r="C59" s="40">
        <f>IFERROR(__xludf.DUMMYFUNCTION("INDEX(SPLIT(B59, char(10)), 0, 1)/86400+date(1970,1,1)"),44038.6871412037)</f>
        <v>44038.68714</v>
      </c>
      <c r="D59" s="44" t="s">
        <v>81</v>
      </c>
      <c r="E59" s="44" t="s">
        <v>786</v>
      </c>
      <c r="F59" s="44" t="s">
        <v>787</v>
      </c>
    </row>
    <row r="60">
      <c r="A60" s="44">
        <v>27.0</v>
      </c>
      <c r="B60" s="44">
        <v>1.595780993E9</v>
      </c>
      <c r="C60" s="40">
        <f>IFERROR(__xludf.DUMMYFUNCTION("INDEX(SPLIT(B60, char(10)), 0, 1)/86400+date(1970,1,1)"),44038.687418981484)</f>
        <v>44038.68742</v>
      </c>
      <c r="D60" s="44" t="s">
        <v>90</v>
      </c>
      <c r="E60" s="44" t="s">
        <v>788</v>
      </c>
      <c r="F60" s="44" t="s">
        <v>789</v>
      </c>
    </row>
    <row r="61">
      <c r="A61" s="44">
        <v>27.0</v>
      </c>
      <c r="B61" s="44">
        <v>1.595781003E9</v>
      </c>
      <c r="C61" s="40">
        <f>IFERROR(__xludf.DUMMYFUNCTION("INDEX(SPLIT(B61, char(10)), 0, 1)/86400+date(1970,1,1)"),44038.68753472222)</f>
        <v>44038.68753</v>
      </c>
      <c r="D61" s="44" t="s">
        <v>749</v>
      </c>
      <c r="E61" s="44" t="s">
        <v>790</v>
      </c>
      <c r="F61" s="44" t="s">
        <v>791</v>
      </c>
    </row>
    <row r="62">
      <c r="A62" s="44">
        <v>28.0</v>
      </c>
      <c r="B62" s="44">
        <v>1.595781098E9</v>
      </c>
      <c r="C62" s="40">
        <f>IFERROR(__xludf.DUMMYFUNCTION("INDEX(SPLIT(B62, char(10)), 0, 1)/86400+date(1970,1,1)"),44038.68863425926)</f>
        <v>44038.68863</v>
      </c>
      <c r="D62" s="44" t="s">
        <v>81</v>
      </c>
      <c r="E62" s="44" t="s">
        <v>491</v>
      </c>
      <c r="F62" s="44" t="s">
        <v>792</v>
      </c>
    </row>
    <row r="63">
      <c r="A63" s="44">
        <v>28.0</v>
      </c>
      <c r="B63" s="44">
        <v>1.595781129E9</v>
      </c>
      <c r="C63" s="40">
        <f>IFERROR(__xludf.DUMMYFUNCTION("INDEX(SPLIT(B63, char(10)), 0, 1)/86400+date(1970,1,1)"),44038.688993055555)</f>
        <v>44038.68899</v>
      </c>
      <c r="D63" s="44" t="s">
        <v>124</v>
      </c>
      <c r="E63" s="44" t="s">
        <v>491</v>
      </c>
      <c r="F63" s="44" t="s">
        <v>793</v>
      </c>
    </row>
    <row r="64">
      <c r="A64" s="44">
        <v>29.0</v>
      </c>
      <c r="B64" s="44">
        <v>1.595781188E9</v>
      </c>
      <c r="C64" s="40">
        <f>IFERROR(__xludf.DUMMYFUNCTION("INDEX(SPLIT(B64, char(10)), 0, 1)/86400+date(1970,1,1)"),44038.689675925925)</f>
        <v>44038.68968</v>
      </c>
      <c r="D64" s="44" t="s">
        <v>749</v>
      </c>
      <c r="E64" s="44" t="s">
        <v>754</v>
      </c>
      <c r="F64" s="44" t="s">
        <v>794</v>
      </c>
    </row>
    <row r="65">
      <c r="A65" s="44">
        <v>29.0</v>
      </c>
      <c r="B65" s="44">
        <v>1.595781225E9</v>
      </c>
      <c r="C65" s="40">
        <f>IFERROR(__xludf.DUMMYFUNCTION("INDEX(SPLIT(B65, char(10)), 0, 1)/86400+date(1970,1,1)"),44038.69010416667)</f>
        <v>44038.6901</v>
      </c>
      <c r="D65" s="44" t="s">
        <v>174</v>
      </c>
      <c r="E65" s="44" t="s">
        <v>716</v>
      </c>
      <c r="F65" s="44" t="s">
        <v>795</v>
      </c>
    </row>
    <row r="66">
      <c r="A66" s="44">
        <v>30.0</v>
      </c>
      <c r="B66" s="44">
        <v>1.595781286E9</v>
      </c>
      <c r="C66" s="40">
        <f>IFERROR(__xludf.DUMMYFUNCTION("INDEX(SPLIT(B66, char(10)), 0, 1)/86400+date(1970,1,1)"),44038.69081018519)</f>
        <v>44038.69081</v>
      </c>
      <c r="D66" s="44" t="s">
        <v>90</v>
      </c>
      <c r="E66" s="44" t="s">
        <v>796</v>
      </c>
      <c r="F66" s="44" t="s">
        <v>797</v>
      </c>
    </row>
    <row r="67">
      <c r="A67" s="44">
        <v>30.0</v>
      </c>
      <c r="B67" s="44">
        <v>1.59578131E9</v>
      </c>
      <c r="C67" s="40">
        <f>IFERROR(__xludf.DUMMYFUNCTION("INDEX(SPLIT(B67, char(10)), 0, 1)/86400+date(1970,1,1)"),44038.69108796296)</f>
        <v>44038.69109</v>
      </c>
      <c r="D67" s="44" t="s">
        <v>81</v>
      </c>
      <c r="E67" s="44" t="s">
        <v>798</v>
      </c>
      <c r="F67" s="44" t="s">
        <v>799</v>
      </c>
    </row>
    <row r="68">
      <c r="A68" s="44">
        <v>30.0</v>
      </c>
      <c r="B68" s="44">
        <v>1.59578132E9</v>
      </c>
      <c r="C68" s="40">
        <f>IFERROR(__xludf.DUMMYFUNCTION("INDEX(SPLIT(B68, char(10)), 0, 1)/86400+date(1970,1,1)"),44038.691203703704)</f>
        <v>44038.6912</v>
      </c>
      <c r="D68" s="44" t="s">
        <v>93</v>
      </c>
      <c r="E68" s="44" t="s">
        <v>800</v>
      </c>
      <c r="F68" s="44" t="s">
        <v>801</v>
      </c>
    </row>
    <row r="69">
      <c r="A69" s="44">
        <v>30.0</v>
      </c>
      <c r="B69" s="44">
        <v>1.59578133E9</v>
      </c>
      <c r="C69" s="40">
        <f>IFERROR(__xludf.DUMMYFUNCTION("INDEX(SPLIT(B69, char(10)), 0, 1)/86400+date(1970,1,1)"),44038.69131944445)</f>
        <v>44038.69132</v>
      </c>
      <c r="D69" s="44" t="s">
        <v>131</v>
      </c>
      <c r="E69" s="44" t="s">
        <v>800</v>
      </c>
      <c r="F69" s="44" t="s">
        <v>802</v>
      </c>
    </row>
    <row r="70">
      <c r="A70" s="44">
        <v>30.0</v>
      </c>
      <c r="B70" s="44">
        <v>1.595781348E9</v>
      </c>
      <c r="C70" s="40">
        <f>IFERROR(__xludf.DUMMYFUNCTION("INDEX(SPLIT(B70, char(10)), 0, 1)/86400+date(1970,1,1)"),44038.69152777777)</f>
        <v>44038.69153</v>
      </c>
      <c r="D70" s="44" t="s">
        <v>96</v>
      </c>
      <c r="E70" s="44" t="s">
        <v>800</v>
      </c>
      <c r="F70" s="44" t="s">
        <v>803</v>
      </c>
    </row>
    <row r="71">
      <c r="A71" s="44">
        <v>31.0</v>
      </c>
      <c r="B71" s="44">
        <v>1.595781426E9</v>
      </c>
      <c r="C71" s="40">
        <f>IFERROR(__xludf.DUMMYFUNCTION("INDEX(SPLIT(B71, char(10)), 0, 1)/86400+date(1970,1,1)"),44038.69243055556)</f>
        <v>44038.69243</v>
      </c>
      <c r="D71" s="44" t="s">
        <v>81</v>
      </c>
      <c r="E71" s="44" t="s">
        <v>804</v>
      </c>
      <c r="F71" s="44" t="s">
        <v>805</v>
      </c>
    </row>
    <row r="72">
      <c r="A72" s="44">
        <v>32.0</v>
      </c>
      <c r="B72" s="44">
        <v>1.595781537E9</v>
      </c>
      <c r="C72" s="40">
        <f>IFERROR(__xludf.DUMMYFUNCTION("INDEX(SPLIT(B72, char(10)), 0, 1)/86400+date(1970,1,1)"),44038.69371527778)</f>
        <v>44038.69372</v>
      </c>
      <c r="D72" s="44" t="s">
        <v>93</v>
      </c>
      <c r="E72" s="44" t="s">
        <v>806</v>
      </c>
      <c r="F72" s="44" t="s">
        <v>807</v>
      </c>
    </row>
    <row r="73">
      <c r="A73" s="44">
        <v>32.0</v>
      </c>
      <c r="B73" s="44">
        <v>1.595781556E9</v>
      </c>
      <c r="C73" s="40">
        <f>IFERROR(__xludf.DUMMYFUNCTION("INDEX(SPLIT(B73, char(10)), 0, 1)/86400+date(1970,1,1)"),44038.69393518519)</f>
        <v>44038.69394</v>
      </c>
      <c r="D73" s="44" t="s">
        <v>124</v>
      </c>
      <c r="E73" s="44" t="s">
        <v>808</v>
      </c>
      <c r="F73" s="44" t="s">
        <v>809</v>
      </c>
    </row>
    <row r="74">
      <c r="A74" s="44">
        <v>33.0</v>
      </c>
      <c r="B74" s="44">
        <v>1.595781696E9</v>
      </c>
      <c r="C74" s="40">
        <f>IFERROR(__xludf.DUMMYFUNCTION("INDEX(SPLIT(B74, char(10)), 0, 1)/86400+date(1970,1,1)"),44038.695555555554)</f>
        <v>44038.69556</v>
      </c>
      <c r="D74" s="44" t="s">
        <v>103</v>
      </c>
      <c r="E74" s="44" t="s">
        <v>698</v>
      </c>
      <c r="F74" s="44" t="s">
        <v>810</v>
      </c>
    </row>
    <row r="75">
      <c r="A75" s="44">
        <v>33.0</v>
      </c>
      <c r="B75" s="44">
        <v>1.595781723E9</v>
      </c>
      <c r="C75" s="40">
        <f>IFERROR(__xludf.DUMMYFUNCTION("INDEX(SPLIT(B75, char(10)), 0, 1)/86400+date(1970,1,1)"),44038.695868055554)</f>
        <v>44038.69587</v>
      </c>
      <c r="D75" s="44" t="s">
        <v>128</v>
      </c>
      <c r="E75" s="44" t="s">
        <v>811</v>
      </c>
      <c r="F75" s="44" t="s">
        <v>812</v>
      </c>
    </row>
    <row r="76">
      <c r="A76" s="44">
        <v>33.0</v>
      </c>
      <c r="B76" s="44">
        <v>1.595781742E9</v>
      </c>
      <c r="C76" s="40">
        <f>IFERROR(__xludf.DUMMYFUNCTION("INDEX(SPLIT(B76, char(10)), 0, 1)/86400+date(1970,1,1)"),44038.69608796296)</f>
        <v>44038.69609</v>
      </c>
      <c r="D76" s="44" t="s">
        <v>96</v>
      </c>
      <c r="E76" s="44" t="s">
        <v>813</v>
      </c>
      <c r="F76" s="44" t="s">
        <v>814</v>
      </c>
    </row>
    <row r="77">
      <c r="A77" s="44">
        <v>33.0</v>
      </c>
      <c r="B77" s="44">
        <v>1.595781744E9</v>
      </c>
      <c r="C77" s="40">
        <f>IFERROR(__xludf.DUMMYFUNCTION("INDEX(SPLIT(B77, char(10)), 0, 1)/86400+date(1970,1,1)"),44038.696111111116)</f>
        <v>44038.69611</v>
      </c>
      <c r="D77" s="44" t="s">
        <v>131</v>
      </c>
      <c r="E77" s="44" t="s">
        <v>815</v>
      </c>
      <c r="F77" s="44" t="s">
        <v>816</v>
      </c>
    </row>
    <row r="78">
      <c r="A78" s="44">
        <v>33.0</v>
      </c>
      <c r="B78" s="44">
        <v>1.595781753E9</v>
      </c>
      <c r="C78" s="40">
        <f>IFERROR(__xludf.DUMMYFUNCTION("INDEX(SPLIT(B78, char(10)), 0, 1)/86400+date(1970,1,1)"),44038.69621527778)</f>
        <v>44038.69622</v>
      </c>
      <c r="D78" s="44" t="s">
        <v>136</v>
      </c>
      <c r="E78" s="44" t="s">
        <v>137</v>
      </c>
      <c r="F78" s="44" t="s">
        <v>817</v>
      </c>
    </row>
    <row r="79">
      <c r="A79" s="44">
        <v>33.0</v>
      </c>
      <c r="B79" s="44">
        <v>1.595781759E9</v>
      </c>
      <c r="C79" s="40">
        <f>IFERROR(__xludf.DUMMYFUNCTION("INDEX(SPLIT(B79, char(10)), 0, 1)/86400+date(1970,1,1)"),44038.696284722224)</f>
        <v>44038.69628</v>
      </c>
      <c r="D79" s="44" t="s">
        <v>124</v>
      </c>
      <c r="E79" s="44" t="s">
        <v>125</v>
      </c>
      <c r="F79" s="44" t="s">
        <v>818</v>
      </c>
    </row>
    <row r="80">
      <c r="A80" s="44">
        <v>34.0</v>
      </c>
      <c r="B80" s="44">
        <v>1.595782244E9</v>
      </c>
      <c r="C80" s="40">
        <f>IFERROR(__xludf.DUMMYFUNCTION("INDEX(SPLIT(B80, char(10)), 0, 1)/86400+date(1970,1,1)"),44038.70189814815)</f>
        <v>44038.7019</v>
      </c>
      <c r="D80" s="44" t="s">
        <v>124</v>
      </c>
      <c r="E80" s="44" t="s">
        <v>819</v>
      </c>
      <c r="F80" s="44" t="s">
        <v>820</v>
      </c>
    </row>
    <row r="81">
      <c r="A81" s="44">
        <v>34.0</v>
      </c>
      <c r="B81" s="44">
        <v>1.595782329E9</v>
      </c>
      <c r="C81" s="40">
        <f>IFERROR(__xludf.DUMMYFUNCTION("INDEX(SPLIT(B81, char(10)), 0, 1)/86400+date(1970,1,1)"),44038.702881944446)</f>
        <v>44038.70288</v>
      </c>
      <c r="D81" s="44" t="s">
        <v>128</v>
      </c>
      <c r="E81" s="44" t="s">
        <v>821</v>
      </c>
      <c r="F81" s="44" t="s">
        <v>822</v>
      </c>
    </row>
    <row r="82">
      <c r="A82" s="44">
        <v>35.0</v>
      </c>
      <c r="B82" s="44">
        <v>1.595782383E9</v>
      </c>
      <c r="C82" s="40">
        <f>IFERROR(__xludf.DUMMYFUNCTION("INDEX(SPLIT(B82, char(10)), 0, 1)/86400+date(1970,1,1)"),44038.70350694444)</f>
        <v>44038.70351</v>
      </c>
      <c r="D82" s="44" t="s">
        <v>124</v>
      </c>
      <c r="E82" s="44" t="s">
        <v>823</v>
      </c>
      <c r="F82" s="44" t="s">
        <v>824</v>
      </c>
    </row>
    <row r="83">
      <c r="A83" s="44">
        <v>35.0</v>
      </c>
      <c r="B83" s="44">
        <v>1.595782404E9</v>
      </c>
      <c r="C83" s="40">
        <f>IFERROR(__xludf.DUMMYFUNCTION("INDEX(SPLIT(B83, char(10)), 0, 1)/86400+date(1970,1,1)"),44038.70375)</f>
        <v>44038.70375</v>
      </c>
      <c r="D83" s="44" t="s">
        <v>90</v>
      </c>
      <c r="E83" s="44" t="s">
        <v>825</v>
      </c>
      <c r="F83" s="44" t="s">
        <v>826</v>
      </c>
    </row>
    <row r="84">
      <c r="A84" s="44">
        <v>35.0</v>
      </c>
      <c r="B84" s="44">
        <v>1.595782408E9</v>
      </c>
      <c r="C84" s="40">
        <f>IFERROR(__xludf.DUMMYFUNCTION("INDEX(SPLIT(B84, char(10)), 0, 1)/86400+date(1970,1,1)"),44038.70379629629)</f>
        <v>44038.7038</v>
      </c>
      <c r="D84" s="44" t="s">
        <v>749</v>
      </c>
      <c r="E84" s="44" t="s">
        <v>827</v>
      </c>
      <c r="F84" s="44" t="s">
        <v>828</v>
      </c>
    </row>
    <row r="85">
      <c r="A85" s="44">
        <v>35.0</v>
      </c>
      <c r="B85" s="44">
        <v>1.595782445E9</v>
      </c>
      <c r="C85" s="40">
        <f>IFERROR(__xludf.DUMMYFUNCTION("INDEX(SPLIT(B85, char(10)), 0, 1)/86400+date(1970,1,1)"),44038.70422453704)</f>
        <v>44038.70422</v>
      </c>
      <c r="D85" s="44" t="s">
        <v>174</v>
      </c>
      <c r="E85" s="44" t="s">
        <v>829</v>
      </c>
      <c r="F85" s="44" t="s">
        <v>830</v>
      </c>
    </row>
    <row r="86">
      <c r="A86" s="44">
        <v>36.0</v>
      </c>
      <c r="B86" s="44">
        <v>1.595782564E9</v>
      </c>
      <c r="C86" s="40">
        <f>IFERROR(__xludf.DUMMYFUNCTION("INDEX(SPLIT(B86, char(10)), 0, 1)/86400+date(1970,1,1)"),44038.70560185185)</f>
        <v>44038.7056</v>
      </c>
      <c r="D86" s="44" t="s">
        <v>124</v>
      </c>
      <c r="E86" s="44" t="s">
        <v>831</v>
      </c>
      <c r="F86" s="44" t="s">
        <v>832</v>
      </c>
    </row>
    <row r="87">
      <c r="A87" s="44">
        <v>36.0</v>
      </c>
      <c r="B87" s="44">
        <v>1.595782581E9</v>
      </c>
      <c r="C87" s="40">
        <f>IFERROR(__xludf.DUMMYFUNCTION("INDEX(SPLIT(B87, char(10)), 0, 1)/86400+date(1970,1,1)"),44038.70579861111)</f>
        <v>44038.7058</v>
      </c>
      <c r="D87" s="44" t="s">
        <v>93</v>
      </c>
      <c r="E87" s="44" t="s">
        <v>800</v>
      </c>
      <c r="F87" s="44" t="s">
        <v>833</v>
      </c>
    </row>
    <row r="88">
      <c r="A88" s="44">
        <v>36.0</v>
      </c>
      <c r="B88" s="44">
        <v>1.595782592E9</v>
      </c>
      <c r="C88" s="40">
        <f>IFERROR(__xludf.DUMMYFUNCTION("INDEX(SPLIT(B88, char(10)), 0, 1)/86400+date(1970,1,1)"),44038.705925925926)</f>
        <v>44038.70593</v>
      </c>
      <c r="D88" s="44" t="s">
        <v>81</v>
      </c>
      <c r="E88" s="44" t="s">
        <v>800</v>
      </c>
      <c r="F88" s="44" t="s">
        <v>834</v>
      </c>
    </row>
    <row r="89">
      <c r="A89" s="44">
        <v>36.0</v>
      </c>
      <c r="B89" s="44">
        <v>1.595782607E9</v>
      </c>
      <c r="C89" s="40">
        <f>IFERROR(__xludf.DUMMYFUNCTION("INDEX(SPLIT(B89, char(10)), 0, 1)/86400+date(1970,1,1)"),44038.70609953704)</f>
        <v>44038.7061</v>
      </c>
      <c r="D89" s="44" t="s">
        <v>131</v>
      </c>
      <c r="E89" s="44" t="s">
        <v>835</v>
      </c>
      <c r="F89" s="44" t="s">
        <v>836</v>
      </c>
    </row>
    <row r="90">
      <c r="A90" s="44">
        <v>37.0</v>
      </c>
      <c r="B90" s="44">
        <v>1.595782698E9</v>
      </c>
      <c r="C90" s="40">
        <f>IFERROR(__xludf.DUMMYFUNCTION("INDEX(SPLIT(B90, char(10)), 0, 1)/86400+date(1970,1,1)"),44038.70715277777)</f>
        <v>44038.70715</v>
      </c>
      <c r="D90" s="44" t="s">
        <v>749</v>
      </c>
      <c r="E90" s="44" t="s">
        <v>837</v>
      </c>
      <c r="F90" s="44" t="s">
        <v>838</v>
      </c>
    </row>
    <row r="91">
      <c r="A91" s="44">
        <v>37.0</v>
      </c>
      <c r="B91" s="44">
        <v>1.595782752E9</v>
      </c>
      <c r="C91" s="40">
        <f>IFERROR(__xludf.DUMMYFUNCTION("INDEX(SPLIT(B91, char(10)), 0, 1)/86400+date(1970,1,1)"),44038.707777777774)</f>
        <v>44038.70778</v>
      </c>
      <c r="D91" s="44" t="s">
        <v>81</v>
      </c>
      <c r="E91" s="44" t="s">
        <v>839</v>
      </c>
      <c r="F91" s="44" t="s">
        <v>840</v>
      </c>
    </row>
    <row r="92">
      <c r="C92" s="40"/>
    </row>
    <row r="93">
      <c r="C93" s="40"/>
    </row>
    <row r="94">
      <c r="C94" s="40"/>
    </row>
    <row r="95">
      <c r="C95" s="40"/>
    </row>
    <row r="96">
      <c r="C96" s="40"/>
    </row>
    <row r="97">
      <c r="C97" s="40"/>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9.0" topLeftCell="E10" activePane="bottomRight" state="frozen"/>
      <selection activeCell="E1" sqref="E1" pane="topRight"/>
      <selection activeCell="A10" sqref="A10" pane="bottomLeft"/>
      <selection activeCell="E10" sqref="E10" pane="bottomRight"/>
    </sheetView>
  </sheetViews>
  <sheetFormatPr customHeight="1" defaultColWidth="12.63" defaultRowHeight="15.75"/>
  <cols>
    <col customWidth="1" min="1" max="1" width="12.0"/>
    <col customWidth="1" min="2" max="2" width="17.13"/>
    <col customWidth="1" min="3" max="3" width="9.13"/>
    <col customWidth="1" min="4" max="4" width="9.75"/>
    <col customWidth="1" min="5" max="5" width="17.13"/>
    <col customWidth="1" min="6" max="6" width="25.75"/>
    <col customWidth="1" min="9" max="9" width="15.88"/>
  </cols>
  <sheetData>
    <row r="1" hidden="1">
      <c r="A1" s="1"/>
      <c r="B1" s="1"/>
      <c r="C1" s="1"/>
      <c r="D1" s="1"/>
      <c r="E1" s="1" t="s">
        <v>30</v>
      </c>
      <c r="F1" s="5" t="str">
        <f>IFERROR(__xludf.DUMMYFUNCTION("TRANSPOSE(UNIQUE(INDIRECT(B2&amp;""!D2:D107"")))"),"['deflect', 'kick', 'corner', 'shot', 'net']")</f>
        <v>['deflect', 'kick', 'corner', 'shot', 'net']</v>
      </c>
      <c r="G1" s="5" t="str">
        <f>IFERROR(__xludf.DUMMYFUNCTION("""COMPUTED_VALUE"""),"['champion', 'final', 'leagu', 'footbal', 'win']")</f>
        <v>['champion', 'final', 'leagu', 'footbal', 'win']</v>
      </c>
      <c r="H1" s="5" t="str">
        <f>IFERROR(__xludf.DUMMYFUNCTION("""COMPUTED_VALUE"""),"['need', 'half', 'sub', 'second', 'lead', '2nd']")</f>
        <v>['need', 'half', 'sub', 'second', 'lead', '2nd']</v>
      </c>
      <c r="I1" s="5" t="str">
        <f>IFERROR(__xludf.DUMMYFUNCTION("""COMPUTED_VALUE"""),"['foul', 'refere', 'book', 'decis', 'var', 'given', 'pen', 'dive', 'ref', 'penalti']")</f>
        <v>['foul', 'refere', 'book', 'decis', 'var', 'given', 'pen', 'dive', 'ref', 'penalti']</v>
      </c>
      <c r="J1" s="5" t="str">
        <f>IFERROR(__xludf.DUMMYFUNCTION("""COMPUTED_VALUE"""),"['touch', 'cross', 'ball', 'pass']")</f>
        <v>['touch', 'cross', 'ball', 'pass']</v>
      </c>
      <c r="K1" s="5" t="str">
        <f>IFERROR(__xludf.DUMMYFUNCTION("""COMPUTED_VALUE"""),"['tackl', 'dribbl', 'yellow', 'red', 'card']")</f>
        <v>['tackl', 'dribbl', 'yellow', 'red', 'card']</v>
      </c>
      <c r="L1" s="5" t="str">
        <f>IFERROR(__xludf.DUMMYFUNCTION("""COMPUTED_VALUE"""),"['gol', 'stream', 'onlin', 'free', 'reddit', 'link', 'EXCLUDED-manchest', 'ff', 'live']")</f>
        <v>['gol', 'stream', 'onlin', 'free', 'reddit', 'link', 'EXCLUDED-manchest', 'ff', 'live']</v>
      </c>
      <c r="M1" s="5" t="str">
        <f>IFERROR(__xludf.DUMMYFUNCTION("""COMPUTED_VALUE"""),"['goal', 'score', 'conced', 'equalis', 'offsid', 'assist']")</f>
        <v>['goal', 'score', 'conced', 'equalis', 'offsid', 'assist']</v>
      </c>
      <c r="N1" s="5" t="str">
        <f>IFERROR(__xludf.DUMMYFUNCTION("""COMPUTED_VALUE"""),"['take', 'knee', 'player']")</f>
        <v>['take', 'knee', 'player']</v>
      </c>
      <c r="O1" s="5" t="str">
        <f>IFERROR(__xludf.DUMMYFUNCTION("""COMPUTED_VALUE"""),"['keeper', 'best', 'goalkeep', 'defend', 'EXCLUDED-kepa', 'save']")</f>
        <v>['keeper', 'best', 'goalkeep', 'defend', 'EXCLUDED-kepa', 'save']</v>
      </c>
      <c r="P1" s="5" t="str">
        <f>IFERROR(__xludf.DUMMYFUNCTION("""COMPUTED_VALUE"""),"['EXCLUDED-man', 'utd']")</f>
        <v>['EXCLUDED-man', 'utd']</v>
      </c>
      <c r="Q1" s="5" t="str">
        <f>IFERROR(__xludf.DUMMYFUNCTION("""COMPUTED_VALUE"""),"['hit', 'post']")</f>
        <v>['hit', 'post']</v>
      </c>
      <c r="R1" s="5"/>
    </row>
    <row r="2">
      <c r="A2" s="14" t="s">
        <v>31</v>
      </c>
      <c r="B2" s="15" t="s">
        <v>841</v>
      </c>
      <c r="C2" s="14"/>
      <c r="D2" s="14"/>
      <c r="E2" s="16" t="s">
        <v>33</v>
      </c>
      <c r="F2" s="17" t="s">
        <v>34</v>
      </c>
      <c r="G2" s="18" t="s">
        <v>35</v>
      </c>
      <c r="H2" s="16" t="s">
        <v>33</v>
      </c>
      <c r="I2" s="17" t="s">
        <v>34</v>
      </c>
      <c r="J2" s="18" t="s">
        <v>35</v>
      </c>
      <c r="K2" s="16" t="s">
        <v>33</v>
      </c>
      <c r="L2" s="17" t="s">
        <v>34</v>
      </c>
      <c r="M2" s="18" t="s">
        <v>35</v>
      </c>
      <c r="N2" s="16" t="s">
        <v>33</v>
      </c>
      <c r="O2" s="17" t="s">
        <v>34</v>
      </c>
      <c r="P2" s="18" t="s">
        <v>35</v>
      </c>
      <c r="Q2" s="16" t="s">
        <v>33</v>
      </c>
      <c r="R2" s="17" t="s">
        <v>34</v>
      </c>
      <c r="S2" s="18" t="s">
        <v>35</v>
      </c>
      <c r="T2" s="16" t="s">
        <v>33</v>
      </c>
      <c r="U2" s="17" t="s">
        <v>34</v>
      </c>
      <c r="V2" s="18" t="s">
        <v>35</v>
      </c>
      <c r="W2" s="16" t="s">
        <v>33</v>
      </c>
      <c r="X2" s="17" t="s">
        <v>34</v>
      </c>
      <c r="Y2" s="18" t="s">
        <v>35</v>
      </c>
      <c r="Z2" s="16" t="s">
        <v>33</v>
      </c>
      <c r="AA2" s="17" t="s">
        <v>34</v>
      </c>
      <c r="AB2" s="18" t="s">
        <v>35</v>
      </c>
      <c r="AC2" s="16" t="s">
        <v>33</v>
      </c>
      <c r="AD2" s="17" t="s">
        <v>34</v>
      </c>
      <c r="AE2" s="18" t="s">
        <v>35</v>
      </c>
      <c r="AF2" s="16" t="s">
        <v>33</v>
      </c>
      <c r="AG2" s="17" t="s">
        <v>34</v>
      </c>
      <c r="AH2" s="18" t="s">
        <v>35</v>
      </c>
      <c r="AI2" s="16" t="s">
        <v>33</v>
      </c>
      <c r="AJ2" s="17" t="s">
        <v>34</v>
      </c>
      <c r="AK2" s="18" t="s">
        <v>35</v>
      </c>
      <c r="AL2" s="16" t="s">
        <v>33</v>
      </c>
      <c r="AM2" s="17" t="s">
        <v>34</v>
      </c>
      <c r="AN2" s="18" t="s">
        <v>35</v>
      </c>
      <c r="AO2" s="16" t="s">
        <v>33</v>
      </c>
      <c r="AP2" s="17" t="s">
        <v>34</v>
      </c>
      <c r="AQ2" s="18" t="s">
        <v>35</v>
      </c>
      <c r="AR2" s="16" t="s">
        <v>33</v>
      </c>
      <c r="AS2" s="17" t="s">
        <v>34</v>
      </c>
      <c r="AT2" s="18" t="s">
        <v>35</v>
      </c>
      <c r="AU2" s="16" t="s">
        <v>33</v>
      </c>
      <c r="AV2" s="17" t="s">
        <v>34</v>
      </c>
      <c r="AW2" s="18" t="s">
        <v>35</v>
      </c>
      <c r="AX2" s="16" t="s">
        <v>33</v>
      </c>
      <c r="AY2" s="17" t="s">
        <v>34</v>
      </c>
      <c r="AZ2" s="18" t="s">
        <v>35</v>
      </c>
      <c r="BA2" s="16" t="s">
        <v>33</v>
      </c>
      <c r="BB2" s="17" t="s">
        <v>34</v>
      </c>
      <c r="BC2" s="18" t="s">
        <v>35</v>
      </c>
      <c r="BD2" s="16" t="s">
        <v>33</v>
      </c>
      <c r="BE2" s="17" t="s">
        <v>34</v>
      </c>
      <c r="BF2" s="18" t="s">
        <v>35</v>
      </c>
      <c r="BG2" s="16" t="s">
        <v>33</v>
      </c>
      <c r="BH2" s="17" t="s">
        <v>34</v>
      </c>
      <c r="BI2" s="18" t="s">
        <v>35</v>
      </c>
      <c r="BJ2" s="16" t="s">
        <v>33</v>
      </c>
      <c r="BK2" s="17" t="s">
        <v>34</v>
      </c>
      <c r="BL2" s="18" t="s">
        <v>35</v>
      </c>
      <c r="BM2" s="16" t="s">
        <v>33</v>
      </c>
      <c r="BN2" s="17" t="s">
        <v>34</v>
      </c>
      <c r="BO2" s="18" t="s">
        <v>35</v>
      </c>
      <c r="BP2" s="16" t="s">
        <v>33</v>
      </c>
      <c r="BQ2" s="17" t="s">
        <v>34</v>
      </c>
      <c r="BR2" s="18" t="s">
        <v>35</v>
      </c>
      <c r="BS2" s="16" t="s">
        <v>33</v>
      </c>
      <c r="BT2" s="17" t="s">
        <v>34</v>
      </c>
      <c r="BU2" s="18" t="s">
        <v>35</v>
      </c>
      <c r="BV2" s="16" t="s">
        <v>33</v>
      </c>
      <c r="BW2" s="17" t="s">
        <v>34</v>
      </c>
      <c r="BX2" s="18" t="s">
        <v>35</v>
      </c>
      <c r="BY2" s="16" t="s">
        <v>33</v>
      </c>
      <c r="BZ2" s="17" t="s">
        <v>34</v>
      </c>
      <c r="CA2" s="18" t="s">
        <v>35</v>
      </c>
      <c r="CB2" s="16" t="s">
        <v>33</v>
      </c>
      <c r="CC2" s="17" t="s">
        <v>34</v>
      </c>
      <c r="CD2" s="18" t="s">
        <v>35</v>
      </c>
      <c r="CE2" s="16" t="s">
        <v>33</v>
      </c>
      <c r="CF2" s="17" t="s">
        <v>34</v>
      </c>
      <c r="CG2" s="18" t="s">
        <v>35</v>
      </c>
      <c r="CH2" s="16" t="s">
        <v>33</v>
      </c>
      <c r="CI2" s="17" t="s">
        <v>34</v>
      </c>
      <c r="CJ2" s="18" t="s">
        <v>35</v>
      </c>
      <c r="CK2" s="16" t="s">
        <v>33</v>
      </c>
      <c r="CL2" s="17" t="s">
        <v>34</v>
      </c>
      <c r="CM2" s="18" t="s">
        <v>35</v>
      </c>
      <c r="CN2" s="16" t="s">
        <v>33</v>
      </c>
      <c r="CO2" s="17" t="s">
        <v>34</v>
      </c>
      <c r="CP2" s="18" t="s">
        <v>35</v>
      </c>
      <c r="CQ2" s="16" t="s">
        <v>33</v>
      </c>
      <c r="CR2" s="17" t="s">
        <v>34</v>
      </c>
      <c r="CS2" s="18" t="s">
        <v>35</v>
      </c>
      <c r="CT2" s="1"/>
      <c r="CU2" s="1"/>
      <c r="CV2" s="1"/>
      <c r="CW2" s="1"/>
      <c r="CX2" s="1"/>
      <c r="CY2" s="1"/>
      <c r="CZ2" s="1"/>
      <c r="DA2" s="1"/>
      <c r="DB2" s="1"/>
      <c r="DC2" s="1"/>
      <c r="DD2" s="1"/>
      <c r="DE2" s="1"/>
      <c r="DF2" s="1"/>
    </row>
    <row r="3">
      <c r="A3" s="14"/>
      <c r="B3" s="19"/>
      <c r="C3" s="14"/>
      <c r="D3" s="14"/>
      <c r="E3" s="20" t="s">
        <v>14</v>
      </c>
      <c r="F3" s="21">
        <f t="shared" ref="F3:F7" si="1">COUNTIF(G$10:G1007,E3)</f>
        <v>0</v>
      </c>
      <c r="G3" s="22">
        <f t="shared" ref="G3:G7" si="2">F3/SUM(F$3:F$7)</f>
        <v>0</v>
      </c>
      <c r="H3" s="20" t="s">
        <v>14</v>
      </c>
      <c r="I3" s="21">
        <f t="shared" ref="I3:I7" si="3">COUNTIF(J$10:J1007,H3)</f>
        <v>0</v>
      </c>
      <c r="J3" s="22">
        <f t="shared" ref="J3:J7" si="4">I3/SUM(I$3:I$7)</f>
        <v>0</v>
      </c>
      <c r="K3" s="20" t="s">
        <v>14</v>
      </c>
      <c r="L3" s="21">
        <f t="shared" ref="L3:L7" si="5">COUNTIF(M$10:M1007,K3)</f>
        <v>0</v>
      </c>
      <c r="M3" s="22">
        <f t="shared" ref="M3:M7" si="6">L3/SUM(L$3:L$7)</f>
        <v>0</v>
      </c>
      <c r="N3" s="20" t="s">
        <v>14</v>
      </c>
      <c r="O3" s="21">
        <f t="shared" ref="O3:O7" si="7">COUNTIF(P$10:P1007,N3)</f>
        <v>1</v>
      </c>
      <c r="P3" s="22">
        <f t="shared" ref="P3:P7" si="8">O3/SUM(O$3:O$7)</f>
        <v>0.1</v>
      </c>
      <c r="Q3" s="20" t="s">
        <v>14</v>
      </c>
      <c r="R3" s="21">
        <f t="shared" ref="R3:R7" si="9">COUNTIF(S$10:S1007,Q3)</f>
        <v>0</v>
      </c>
      <c r="S3" s="22">
        <f t="shared" ref="S3:S7" si="10">R3/SUM(R$3:R$7)</f>
        <v>0</v>
      </c>
      <c r="T3" s="20" t="s">
        <v>14</v>
      </c>
      <c r="U3" s="21">
        <f t="shared" ref="U3:U7" si="11">COUNTIF(V$10:V1007,T3)</f>
        <v>0</v>
      </c>
      <c r="V3" s="22">
        <f t="shared" ref="V3:V7" si="12">U3/SUM(U$3:U$7)</f>
        <v>0</v>
      </c>
      <c r="W3" s="20" t="s">
        <v>14</v>
      </c>
      <c r="X3" s="21">
        <f t="shared" ref="X3:X7" si="13">COUNTIF(Y$10:Y1007,W3)</f>
        <v>0</v>
      </c>
      <c r="Y3" s="22">
        <f t="shared" ref="Y3:Y7" si="14">X3/SUM(X$3:X$7)</f>
        <v>0</v>
      </c>
      <c r="Z3" s="20" t="s">
        <v>14</v>
      </c>
      <c r="AA3" s="21">
        <f t="shared" ref="AA3:AA7" si="15">COUNTIF(AB$10:AB1007,Z3)</f>
        <v>2</v>
      </c>
      <c r="AB3" s="22">
        <f t="shared" ref="AB3:AB7" si="16">AA3/SUM(AA$3:AA$7)</f>
        <v>0.2</v>
      </c>
      <c r="AC3" s="20" t="s">
        <v>14</v>
      </c>
      <c r="AD3" s="21">
        <f t="shared" ref="AD3:AD7" si="17">COUNTIF(AE$10:AE1007,AC3)</f>
        <v>0</v>
      </c>
      <c r="AE3" s="22">
        <f t="shared" ref="AE3:AE7" si="18">AD3/SUM(AD$3:AD$7)</f>
        <v>0</v>
      </c>
      <c r="AF3" s="20" t="s">
        <v>14</v>
      </c>
      <c r="AG3" s="21">
        <f t="shared" ref="AG3:AG7" si="19">COUNTIF(AH$10:AH1007,AF3)</f>
        <v>0</v>
      </c>
      <c r="AH3" s="22">
        <f t="shared" ref="AH3:AH7" si="20">AG3/SUM(AG$3:AG$7)</f>
        <v>0</v>
      </c>
      <c r="AI3" s="20" t="s">
        <v>14</v>
      </c>
      <c r="AJ3" s="21">
        <f t="shared" ref="AJ3:AJ7" si="21">COUNTIF(AK$10:AK1007,AI3)</f>
        <v>0</v>
      </c>
      <c r="AK3" s="22">
        <f t="shared" ref="AK3:AK7" si="22">AJ3/SUM(AJ$3:AJ$7)</f>
        <v>0</v>
      </c>
      <c r="AL3" s="20" t="s">
        <v>14</v>
      </c>
      <c r="AM3" s="21">
        <f t="shared" ref="AM3:AM7" si="23">COUNTIF(AN$10:AN1007,AL3)</f>
        <v>0</v>
      </c>
      <c r="AN3" s="22">
        <f t="shared" ref="AN3:AN7" si="24">AM3/SUM(AM$3:AM$7)</f>
        <v>0</v>
      </c>
      <c r="AO3" s="20" t="s">
        <v>14</v>
      </c>
      <c r="AP3" s="21">
        <f t="shared" ref="AP3:AP7" si="25">COUNTIF(AQ$10:AQ1007,AO3)</f>
        <v>0</v>
      </c>
      <c r="AQ3" s="22" t="str">
        <f t="shared" ref="AQ3:AQ7" si="26">AP3/SUM(AP$3:AP$7)</f>
        <v>#DIV/0!</v>
      </c>
      <c r="AR3" s="20" t="s">
        <v>14</v>
      </c>
      <c r="AS3" s="21">
        <f t="shared" ref="AS3:AS7" si="27">COUNTIF(AT$10:AT1007,AR3)</f>
        <v>0</v>
      </c>
      <c r="AT3" s="22" t="str">
        <f t="shared" ref="AT3:AT7" si="28">AS3/SUM(AS$3:AS$7)</f>
        <v>#DIV/0!</v>
      </c>
      <c r="AU3" s="20" t="s">
        <v>14</v>
      </c>
      <c r="AV3" s="21">
        <f t="shared" ref="AV3:AV7" si="29">COUNTIF(AW$10:AW1007,AU3)</f>
        <v>0</v>
      </c>
      <c r="AW3" s="22" t="str">
        <f t="shared" ref="AW3:AW7" si="30">AV3/SUM(AV$3:AV$7)</f>
        <v>#DIV/0!</v>
      </c>
      <c r="AX3" s="20" t="s">
        <v>14</v>
      </c>
      <c r="AY3" s="21">
        <f t="shared" ref="AY3:AY7" si="31">COUNTIF(AZ$10:AZ1007,AX3)</f>
        <v>0</v>
      </c>
      <c r="AZ3" s="22" t="str">
        <f t="shared" ref="AZ3:AZ7" si="32">AY3/SUM(AY$3:AY$7)</f>
        <v>#DIV/0!</v>
      </c>
      <c r="BA3" s="20" t="s">
        <v>14</v>
      </c>
      <c r="BB3" s="21">
        <f t="shared" ref="BB3:BB7" si="33">COUNTIF(BC$10:BC1007,BA3)</f>
        <v>0</v>
      </c>
      <c r="BC3" s="22" t="str">
        <f t="shared" ref="BC3:BC7" si="34">BB3/SUM(BB$3:BB$7)</f>
        <v>#DIV/0!</v>
      </c>
      <c r="BD3" s="20" t="s">
        <v>14</v>
      </c>
      <c r="BE3" s="21">
        <f t="shared" ref="BE3:BE7" si="35">COUNTIF(BF$10:BF1007,BD3)</f>
        <v>0</v>
      </c>
      <c r="BF3" s="22" t="str">
        <f t="shared" ref="BF3:BF7" si="36">BE3/SUM(BE$3:BE$7)</f>
        <v>#DIV/0!</v>
      </c>
      <c r="BG3" s="20" t="s">
        <v>14</v>
      </c>
      <c r="BH3" s="21">
        <f t="shared" ref="BH3:BH7" si="37">COUNTIF(BI$10:BI1007,BG3)</f>
        <v>0</v>
      </c>
      <c r="BI3" s="22" t="str">
        <f t="shared" ref="BI3:BI7" si="38">BH3/SUM(BH$3:BH$7)</f>
        <v>#DIV/0!</v>
      </c>
      <c r="BJ3" s="20" t="s">
        <v>14</v>
      </c>
      <c r="BK3" s="21">
        <f t="shared" ref="BK3:BK7" si="39">COUNTIF(BL$10:BL1007,BJ3)</f>
        <v>0</v>
      </c>
      <c r="BL3" s="22" t="str">
        <f t="shared" ref="BL3:BL7" si="40">BK3/SUM(BK$3:BK$7)</f>
        <v>#DIV/0!</v>
      </c>
      <c r="BM3" s="20" t="s">
        <v>14</v>
      </c>
      <c r="BN3" s="21">
        <f t="shared" ref="BN3:BN7" si="41">COUNTIF(BO$10:BO1007,BM3)</f>
        <v>0</v>
      </c>
      <c r="BO3" s="22" t="str">
        <f t="shared" ref="BO3:BO7" si="42">BN3/SUM(BN$3:BN$7)</f>
        <v>#DIV/0!</v>
      </c>
      <c r="BP3" s="20" t="s">
        <v>14</v>
      </c>
      <c r="BQ3" s="21">
        <f t="shared" ref="BQ3:BQ7" si="43">COUNTIF(BR$10:BR1007,BP3)</f>
        <v>0</v>
      </c>
      <c r="BR3" s="22" t="str">
        <f t="shared" ref="BR3:BR7" si="44">BQ3/SUM(BQ$3:BQ$7)</f>
        <v>#DIV/0!</v>
      </c>
      <c r="BS3" s="20" t="s">
        <v>14</v>
      </c>
      <c r="BT3" s="21">
        <f t="shared" ref="BT3:BT7" si="45">COUNTIF(BU$10:BU1007,BS3)</f>
        <v>0</v>
      </c>
      <c r="BU3" s="22" t="str">
        <f t="shared" ref="BU3:BU7" si="46">BT3/SUM(BT$3:BT$7)</f>
        <v>#DIV/0!</v>
      </c>
      <c r="BV3" s="20" t="s">
        <v>14</v>
      </c>
      <c r="BW3" s="21">
        <f t="shared" ref="BW3:BW7" si="47">COUNTIF(BX$10:BX1007,BV3)</f>
        <v>0</v>
      </c>
      <c r="BX3" s="22" t="str">
        <f t="shared" ref="BX3:BX7" si="48">BW3/SUM(BW$3:BW$7)</f>
        <v>#DIV/0!</v>
      </c>
      <c r="BY3" s="20" t="s">
        <v>14</v>
      </c>
      <c r="BZ3" s="21">
        <f t="shared" ref="BZ3:BZ7" si="49">COUNTIF(CA$10:CA1007,BY3)</f>
        <v>0</v>
      </c>
      <c r="CA3" s="22" t="str">
        <f t="shared" ref="CA3:CA7" si="50">BZ3/SUM(BZ$3:BZ$7)</f>
        <v>#DIV/0!</v>
      </c>
      <c r="CB3" s="20" t="s">
        <v>14</v>
      </c>
      <c r="CC3" s="21">
        <f t="shared" ref="CC3:CC7" si="51">COUNTIF(CD$10:CD1007,CB3)</f>
        <v>0</v>
      </c>
      <c r="CD3" s="22" t="str">
        <f t="shared" ref="CD3:CD7" si="52">CC3/SUM(CC$3:CC$7)</f>
        <v>#DIV/0!</v>
      </c>
      <c r="CE3" s="20" t="s">
        <v>14</v>
      </c>
      <c r="CF3" s="21">
        <f t="shared" ref="CF3:CF7" si="53">COUNTIF(CG$10:CG1007,CE3)</f>
        <v>0</v>
      </c>
      <c r="CG3" s="22" t="str">
        <f t="shared" ref="CG3:CG7" si="54">CF3/SUM(CF$3:CF$7)</f>
        <v>#DIV/0!</v>
      </c>
      <c r="CH3" s="20" t="s">
        <v>14</v>
      </c>
      <c r="CI3" s="21">
        <f t="shared" ref="CI3:CI7" si="55">COUNTIF(CJ$10:CJ1007,CH3)</f>
        <v>0</v>
      </c>
      <c r="CJ3" s="22" t="str">
        <f t="shared" ref="CJ3:CJ7" si="56">CI3/SUM(CI$3:CI$7)</f>
        <v>#DIV/0!</v>
      </c>
      <c r="CK3" s="20" t="s">
        <v>14</v>
      </c>
      <c r="CL3" s="21">
        <f t="shared" ref="CL3:CL7" si="57">COUNTIF(CM$10:CM1007,CK3)</f>
        <v>0</v>
      </c>
      <c r="CM3" s="22" t="str">
        <f t="shared" ref="CM3:CM7" si="58">CL3/SUM(CL$3:CL$7)</f>
        <v>#DIV/0!</v>
      </c>
      <c r="CN3" s="20" t="s">
        <v>14</v>
      </c>
      <c r="CO3" s="21">
        <f t="shared" ref="CO3:CO7" si="59">COUNTIF(CP$10:CP1007,CN3)</f>
        <v>0</v>
      </c>
      <c r="CP3" s="22" t="str">
        <f t="shared" ref="CP3:CP7" si="60">CO3/SUM(CO$3:CO$7)</f>
        <v>#DIV/0!</v>
      </c>
      <c r="CQ3" s="20" t="s">
        <v>14</v>
      </c>
      <c r="CR3" s="21">
        <f t="shared" ref="CR3:CR7" si="61">COUNTIF(CS$10:CS1007,CQ3)</f>
        <v>0</v>
      </c>
      <c r="CS3" s="22" t="str">
        <f t="shared" ref="CS3:CS7" si="62">CR3/SUM(CR$3:CR$7)</f>
        <v>#DIV/0!</v>
      </c>
      <c r="CT3" s="6"/>
      <c r="CU3" s="6"/>
      <c r="CV3" s="6"/>
      <c r="CW3" s="6"/>
      <c r="CX3" s="6"/>
      <c r="CY3" s="6"/>
      <c r="CZ3" s="6"/>
      <c r="DA3" s="6"/>
      <c r="DB3" s="6"/>
      <c r="DC3" s="6"/>
      <c r="DD3" s="6"/>
      <c r="DE3" s="6"/>
      <c r="DF3" s="6"/>
    </row>
    <row r="4">
      <c r="A4" s="14"/>
      <c r="B4" s="19"/>
      <c r="C4" s="14"/>
      <c r="D4" s="14"/>
      <c r="E4" s="20" t="s">
        <v>15</v>
      </c>
      <c r="F4" s="21">
        <f t="shared" si="1"/>
        <v>0</v>
      </c>
      <c r="G4" s="22">
        <f t="shared" si="2"/>
        <v>0</v>
      </c>
      <c r="H4" s="20" t="s">
        <v>15</v>
      </c>
      <c r="I4" s="21">
        <f t="shared" si="3"/>
        <v>1</v>
      </c>
      <c r="J4" s="22">
        <f t="shared" si="4"/>
        <v>0.07142857143</v>
      </c>
      <c r="K4" s="20" t="s">
        <v>15</v>
      </c>
      <c r="L4" s="21">
        <f t="shared" si="5"/>
        <v>0</v>
      </c>
      <c r="M4" s="22">
        <f t="shared" si="6"/>
        <v>0</v>
      </c>
      <c r="N4" s="20" t="s">
        <v>15</v>
      </c>
      <c r="O4" s="21">
        <f t="shared" si="7"/>
        <v>1</v>
      </c>
      <c r="P4" s="22">
        <f t="shared" si="8"/>
        <v>0.1</v>
      </c>
      <c r="Q4" s="20" t="s">
        <v>15</v>
      </c>
      <c r="R4" s="21">
        <f t="shared" si="9"/>
        <v>0</v>
      </c>
      <c r="S4" s="22">
        <f t="shared" si="10"/>
        <v>0</v>
      </c>
      <c r="T4" s="20" t="s">
        <v>15</v>
      </c>
      <c r="U4" s="21">
        <f t="shared" si="11"/>
        <v>1</v>
      </c>
      <c r="V4" s="22">
        <f t="shared" si="12"/>
        <v>0.1428571429</v>
      </c>
      <c r="W4" s="20" t="s">
        <v>15</v>
      </c>
      <c r="X4" s="21">
        <f t="shared" si="13"/>
        <v>1</v>
      </c>
      <c r="Y4" s="22">
        <f t="shared" si="14"/>
        <v>0.2</v>
      </c>
      <c r="Z4" s="20" t="s">
        <v>15</v>
      </c>
      <c r="AA4" s="21">
        <f t="shared" si="15"/>
        <v>0</v>
      </c>
      <c r="AB4" s="22">
        <f t="shared" si="16"/>
        <v>0</v>
      </c>
      <c r="AC4" s="20" t="s">
        <v>15</v>
      </c>
      <c r="AD4" s="21">
        <f t="shared" si="17"/>
        <v>2</v>
      </c>
      <c r="AE4" s="22">
        <f t="shared" si="18"/>
        <v>0.2857142857</v>
      </c>
      <c r="AF4" s="20" t="s">
        <v>15</v>
      </c>
      <c r="AG4" s="21">
        <f t="shared" si="19"/>
        <v>1</v>
      </c>
      <c r="AH4" s="22">
        <f t="shared" si="20"/>
        <v>0.25</v>
      </c>
      <c r="AI4" s="20" t="s">
        <v>15</v>
      </c>
      <c r="AJ4" s="21">
        <f t="shared" si="21"/>
        <v>0</v>
      </c>
      <c r="AK4" s="22">
        <f t="shared" si="22"/>
        <v>0</v>
      </c>
      <c r="AL4" s="20" t="s">
        <v>15</v>
      </c>
      <c r="AM4" s="21">
        <f t="shared" si="23"/>
        <v>0</v>
      </c>
      <c r="AN4" s="22">
        <f t="shared" si="24"/>
        <v>0</v>
      </c>
      <c r="AO4" s="20" t="s">
        <v>15</v>
      </c>
      <c r="AP4" s="21">
        <f t="shared" si="25"/>
        <v>0</v>
      </c>
      <c r="AQ4" s="22" t="str">
        <f t="shared" si="26"/>
        <v>#DIV/0!</v>
      </c>
      <c r="AR4" s="20" t="s">
        <v>15</v>
      </c>
      <c r="AS4" s="21">
        <f t="shared" si="27"/>
        <v>0</v>
      </c>
      <c r="AT4" s="22" t="str">
        <f t="shared" si="28"/>
        <v>#DIV/0!</v>
      </c>
      <c r="AU4" s="20" t="s">
        <v>15</v>
      </c>
      <c r="AV4" s="21">
        <f t="shared" si="29"/>
        <v>0</v>
      </c>
      <c r="AW4" s="22" t="str">
        <f t="shared" si="30"/>
        <v>#DIV/0!</v>
      </c>
      <c r="AX4" s="20" t="s">
        <v>15</v>
      </c>
      <c r="AY4" s="21">
        <f t="shared" si="31"/>
        <v>0</v>
      </c>
      <c r="AZ4" s="22" t="str">
        <f t="shared" si="32"/>
        <v>#DIV/0!</v>
      </c>
      <c r="BA4" s="20" t="s">
        <v>15</v>
      </c>
      <c r="BB4" s="21">
        <f t="shared" si="33"/>
        <v>0</v>
      </c>
      <c r="BC4" s="22" t="str">
        <f t="shared" si="34"/>
        <v>#DIV/0!</v>
      </c>
      <c r="BD4" s="20" t="s">
        <v>15</v>
      </c>
      <c r="BE4" s="21">
        <f t="shared" si="35"/>
        <v>0</v>
      </c>
      <c r="BF4" s="22" t="str">
        <f t="shared" si="36"/>
        <v>#DIV/0!</v>
      </c>
      <c r="BG4" s="20" t="s">
        <v>15</v>
      </c>
      <c r="BH4" s="21">
        <f t="shared" si="37"/>
        <v>0</v>
      </c>
      <c r="BI4" s="22" t="str">
        <f t="shared" si="38"/>
        <v>#DIV/0!</v>
      </c>
      <c r="BJ4" s="20" t="s">
        <v>15</v>
      </c>
      <c r="BK4" s="21">
        <f t="shared" si="39"/>
        <v>0</v>
      </c>
      <c r="BL4" s="22" t="str">
        <f t="shared" si="40"/>
        <v>#DIV/0!</v>
      </c>
      <c r="BM4" s="20" t="s">
        <v>15</v>
      </c>
      <c r="BN4" s="21">
        <f t="shared" si="41"/>
        <v>0</v>
      </c>
      <c r="BO4" s="22" t="str">
        <f t="shared" si="42"/>
        <v>#DIV/0!</v>
      </c>
      <c r="BP4" s="20" t="s">
        <v>15</v>
      </c>
      <c r="BQ4" s="21">
        <f t="shared" si="43"/>
        <v>0</v>
      </c>
      <c r="BR4" s="22" t="str">
        <f t="shared" si="44"/>
        <v>#DIV/0!</v>
      </c>
      <c r="BS4" s="20" t="s">
        <v>15</v>
      </c>
      <c r="BT4" s="21">
        <f t="shared" si="45"/>
        <v>0</v>
      </c>
      <c r="BU4" s="22" t="str">
        <f t="shared" si="46"/>
        <v>#DIV/0!</v>
      </c>
      <c r="BV4" s="20" t="s">
        <v>15</v>
      </c>
      <c r="BW4" s="21">
        <f t="shared" si="47"/>
        <v>0</v>
      </c>
      <c r="BX4" s="22" t="str">
        <f t="shared" si="48"/>
        <v>#DIV/0!</v>
      </c>
      <c r="BY4" s="20" t="s">
        <v>15</v>
      </c>
      <c r="BZ4" s="21">
        <f t="shared" si="49"/>
        <v>0</v>
      </c>
      <c r="CA4" s="22" t="str">
        <f t="shared" si="50"/>
        <v>#DIV/0!</v>
      </c>
      <c r="CB4" s="20" t="s">
        <v>15</v>
      </c>
      <c r="CC4" s="21">
        <f t="shared" si="51"/>
        <v>0</v>
      </c>
      <c r="CD4" s="22" t="str">
        <f t="shared" si="52"/>
        <v>#DIV/0!</v>
      </c>
      <c r="CE4" s="20" t="s">
        <v>15</v>
      </c>
      <c r="CF4" s="21">
        <f t="shared" si="53"/>
        <v>0</v>
      </c>
      <c r="CG4" s="22" t="str">
        <f t="shared" si="54"/>
        <v>#DIV/0!</v>
      </c>
      <c r="CH4" s="20" t="s">
        <v>15</v>
      </c>
      <c r="CI4" s="21">
        <f t="shared" si="55"/>
        <v>0</v>
      </c>
      <c r="CJ4" s="22" t="str">
        <f t="shared" si="56"/>
        <v>#DIV/0!</v>
      </c>
      <c r="CK4" s="20" t="s">
        <v>15</v>
      </c>
      <c r="CL4" s="21">
        <f t="shared" si="57"/>
        <v>0</v>
      </c>
      <c r="CM4" s="22" t="str">
        <f t="shared" si="58"/>
        <v>#DIV/0!</v>
      </c>
      <c r="CN4" s="20" t="s">
        <v>15</v>
      </c>
      <c r="CO4" s="21">
        <f t="shared" si="59"/>
        <v>0</v>
      </c>
      <c r="CP4" s="22" t="str">
        <f t="shared" si="60"/>
        <v>#DIV/0!</v>
      </c>
      <c r="CQ4" s="20" t="s">
        <v>15</v>
      </c>
      <c r="CR4" s="21">
        <f t="shared" si="61"/>
        <v>0</v>
      </c>
      <c r="CS4" s="22" t="str">
        <f t="shared" si="62"/>
        <v>#DIV/0!</v>
      </c>
      <c r="CT4" s="6"/>
      <c r="CU4" s="6"/>
      <c r="CV4" s="6"/>
      <c r="CW4" s="6"/>
      <c r="CX4" s="6"/>
      <c r="CY4" s="6"/>
      <c r="CZ4" s="6"/>
      <c r="DA4" s="6"/>
      <c r="DB4" s="6"/>
      <c r="DC4" s="6"/>
      <c r="DD4" s="6"/>
      <c r="DE4" s="6"/>
      <c r="DF4" s="6"/>
    </row>
    <row r="5">
      <c r="A5" s="23"/>
      <c r="B5" s="19"/>
      <c r="C5" s="14"/>
      <c r="D5" s="14"/>
      <c r="E5" s="20" t="s">
        <v>16</v>
      </c>
      <c r="F5" s="21">
        <f t="shared" si="1"/>
        <v>0</v>
      </c>
      <c r="G5" s="22">
        <f t="shared" si="2"/>
        <v>0</v>
      </c>
      <c r="H5" s="20" t="s">
        <v>16</v>
      </c>
      <c r="I5" s="21">
        <f t="shared" si="3"/>
        <v>7</v>
      </c>
      <c r="J5" s="22">
        <f t="shared" si="4"/>
        <v>0.5</v>
      </c>
      <c r="K5" s="20" t="s">
        <v>16</v>
      </c>
      <c r="L5" s="21">
        <f t="shared" si="5"/>
        <v>2</v>
      </c>
      <c r="M5" s="22">
        <f t="shared" si="6"/>
        <v>0.25</v>
      </c>
      <c r="N5" s="20" t="s">
        <v>16</v>
      </c>
      <c r="O5" s="21">
        <f t="shared" si="7"/>
        <v>0</v>
      </c>
      <c r="P5" s="22">
        <f t="shared" si="8"/>
        <v>0</v>
      </c>
      <c r="Q5" s="20" t="s">
        <v>16</v>
      </c>
      <c r="R5" s="21">
        <f t="shared" si="9"/>
        <v>0</v>
      </c>
      <c r="S5" s="22">
        <f t="shared" si="10"/>
        <v>0</v>
      </c>
      <c r="T5" s="20" t="s">
        <v>16</v>
      </c>
      <c r="U5" s="21">
        <f t="shared" si="11"/>
        <v>0</v>
      </c>
      <c r="V5" s="22">
        <f t="shared" si="12"/>
        <v>0</v>
      </c>
      <c r="W5" s="20" t="s">
        <v>16</v>
      </c>
      <c r="X5" s="21">
        <f t="shared" si="13"/>
        <v>0</v>
      </c>
      <c r="Y5" s="22">
        <f t="shared" si="14"/>
        <v>0</v>
      </c>
      <c r="Z5" s="20" t="s">
        <v>16</v>
      </c>
      <c r="AA5" s="21">
        <f t="shared" si="15"/>
        <v>1</v>
      </c>
      <c r="AB5" s="22">
        <f t="shared" si="16"/>
        <v>0.1</v>
      </c>
      <c r="AC5" s="20" t="s">
        <v>16</v>
      </c>
      <c r="AD5" s="21">
        <f t="shared" si="17"/>
        <v>3</v>
      </c>
      <c r="AE5" s="22">
        <f t="shared" si="18"/>
        <v>0.4285714286</v>
      </c>
      <c r="AF5" s="20" t="s">
        <v>16</v>
      </c>
      <c r="AG5" s="21">
        <f t="shared" si="19"/>
        <v>0</v>
      </c>
      <c r="AH5" s="22">
        <f t="shared" si="20"/>
        <v>0</v>
      </c>
      <c r="AI5" s="20" t="s">
        <v>16</v>
      </c>
      <c r="AJ5" s="21">
        <f t="shared" si="21"/>
        <v>1</v>
      </c>
      <c r="AK5" s="22">
        <f t="shared" si="22"/>
        <v>0.1428571429</v>
      </c>
      <c r="AL5" s="20" t="s">
        <v>16</v>
      </c>
      <c r="AM5" s="21">
        <f t="shared" si="23"/>
        <v>0</v>
      </c>
      <c r="AN5" s="22">
        <f t="shared" si="24"/>
        <v>0</v>
      </c>
      <c r="AO5" s="20" t="s">
        <v>16</v>
      </c>
      <c r="AP5" s="21">
        <f t="shared" si="25"/>
        <v>0</v>
      </c>
      <c r="AQ5" s="22" t="str">
        <f t="shared" si="26"/>
        <v>#DIV/0!</v>
      </c>
      <c r="AR5" s="20" t="s">
        <v>16</v>
      </c>
      <c r="AS5" s="21">
        <f t="shared" si="27"/>
        <v>0</v>
      </c>
      <c r="AT5" s="22" t="str">
        <f t="shared" si="28"/>
        <v>#DIV/0!</v>
      </c>
      <c r="AU5" s="20" t="s">
        <v>16</v>
      </c>
      <c r="AV5" s="21">
        <f t="shared" si="29"/>
        <v>0</v>
      </c>
      <c r="AW5" s="22" t="str">
        <f t="shared" si="30"/>
        <v>#DIV/0!</v>
      </c>
      <c r="AX5" s="20" t="s">
        <v>16</v>
      </c>
      <c r="AY5" s="21">
        <f t="shared" si="31"/>
        <v>0</v>
      </c>
      <c r="AZ5" s="22" t="str">
        <f t="shared" si="32"/>
        <v>#DIV/0!</v>
      </c>
      <c r="BA5" s="20" t="s">
        <v>16</v>
      </c>
      <c r="BB5" s="21">
        <f t="shared" si="33"/>
        <v>0</v>
      </c>
      <c r="BC5" s="22" t="str">
        <f t="shared" si="34"/>
        <v>#DIV/0!</v>
      </c>
      <c r="BD5" s="20" t="s">
        <v>16</v>
      </c>
      <c r="BE5" s="21">
        <f t="shared" si="35"/>
        <v>0</v>
      </c>
      <c r="BF5" s="22" t="str">
        <f t="shared" si="36"/>
        <v>#DIV/0!</v>
      </c>
      <c r="BG5" s="20" t="s">
        <v>16</v>
      </c>
      <c r="BH5" s="21">
        <f t="shared" si="37"/>
        <v>0</v>
      </c>
      <c r="BI5" s="22" t="str">
        <f t="shared" si="38"/>
        <v>#DIV/0!</v>
      </c>
      <c r="BJ5" s="20" t="s">
        <v>16</v>
      </c>
      <c r="BK5" s="21">
        <f t="shared" si="39"/>
        <v>0</v>
      </c>
      <c r="BL5" s="22" t="str">
        <f t="shared" si="40"/>
        <v>#DIV/0!</v>
      </c>
      <c r="BM5" s="20" t="s">
        <v>16</v>
      </c>
      <c r="BN5" s="21">
        <f t="shared" si="41"/>
        <v>0</v>
      </c>
      <c r="BO5" s="22" t="str">
        <f t="shared" si="42"/>
        <v>#DIV/0!</v>
      </c>
      <c r="BP5" s="20" t="s">
        <v>16</v>
      </c>
      <c r="BQ5" s="21">
        <f t="shared" si="43"/>
        <v>0</v>
      </c>
      <c r="BR5" s="22" t="str">
        <f t="shared" si="44"/>
        <v>#DIV/0!</v>
      </c>
      <c r="BS5" s="20" t="s">
        <v>16</v>
      </c>
      <c r="BT5" s="21">
        <f t="shared" si="45"/>
        <v>0</v>
      </c>
      <c r="BU5" s="22" t="str">
        <f t="shared" si="46"/>
        <v>#DIV/0!</v>
      </c>
      <c r="BV5" s="20" t="s">
        <v>16</v>
      </c>
      <c r="BW5" s="21">
        <f t="shared" si="47"/>
        <v>0</v>
      </c>
      <c r="BX5" s="22" t="str">
        <f t="shared" si="48"/>
        <v>#DIV/0!</v>
      </c>
      <c r="BY5" s="20" t="s">
        <v>16</v>
      </c>
      <c r="BZ5" s="21">
        <f t="shared" si="49"/>
        <v>0</v>
      </c>
      <c r="CA5" s="22" t="str">
        <f t="shared" si="50"/>
        <v>#DIV/0!</v>
      </c>
      <c r="CB5" s="20" t="s">
        <v>16</v>
      </c>
      <c r="CC5" s="21">
        <f t="shared" si="51"/>
        <v>0</v>
      </c>
      <c r="CD5" s="22" t="str">
        <f t="shared" si="52"/>
        <v>#DIV/0!</v>
      </c>
      <c r="CE5" s="20" t="s">
        <v>16</v>
      </c>
      <c r="CF5" s="21">
        <f t="shared" si="53"/>
        <v>0</v>
      </c>
      <c r="CG5" s="22" t="str">
        <f t="shared" si="54"/>
        <v>#DIV/0!</v>
      </c>
      <c r="CH5" s="20" t="s">
        <v>16</v>
      </c>
      <c r="CI5" s="21">
        <f t="shared" si="55"/>
        <v>0</v>
      </c>
      <c r="CJ5" s="22" t="str">
        <f t="shared" si="56"/>
        <v>#DIV/0!</v>
      </c>
      <c r="CK5" s="20" t="s">
        <v>16</v>
      </c>
      <c r="CL5" s="21">
        <f t="shared" si="57"/>
        <v>0</v>
      </c>
      <c r="CM5" s="22" t="str">
        <f t="shared" si="58"/>
        <v>#DIV/0!</v>
      </c>
      <c r="CN5" s="20" t="s">
        <v>16</v>
      </c>
      <c r="CO5" s="21">
        <f t="shared" si="59"/>
        <v>0</v>
      </c>
      <c r="CP5" s="22" t="str">
        <f t="shared" si="60"/>
        <v>#DIV/0!</v>
      </c>
      <c r="CQ5" s="20" t="s">
        <v>16</v>
      </c>
      <c r="CR5" s="21">
        <f t="shared" si="61"/>
        <v>0</v>
      </c>
      <c r="CS5" s="22" t="str">
        <f t="shared" si="62"/>
        <v>#DIV/0!</v>
      </c>
      <c r="CT5" s="6"/>
      <c r="CU5" s="6"/>
      <c r="CV5" s="6"/>
      <c r="CW5" s="6"/>
      <c r="CX5" s="6"/>
      <c r="CY5" s="6"/>
      <c r="CZ5" s="6"/>
      <c r="DA5" s="6"/>
      <c r="DB5" s="6"/>
      <c r="DC5" s="6"/>
      <c r="DD5" s="6"/>
      <c r="DE5" s="6"/>
      <c r="DF5" s="6"/>
    </row>
    <row r="6">
      <c r="A6" s="14"/>
      <c r="B6" s="19"/>
      <c r="C6" s="14"/>
      <c r="D6" s="14"/>
      <c r="E6" s="20" t="s">
        <v>17</v>
      </c>
      <c r="F6" s="21">
        <f t="shared" si="1"/>
        <v>0</v>
      </c>
      <c r="G6" s="22">
        <f t="shared" si="2"/>
        <v>0</v>
      </c>
      <c r="H6" s="20" t="s">
        <v>17</v>
      </c>
      <c r="I6" s="21">
        <f t="shared" si="3"/>
        <v>2</v>
      </c>
      <c r="J6" s="22">
        <f t="shared" si="4"/>
        <v>0.1428571429</v>
      </c>
      <c r="K6" s="20" t="s">
        <v>17</v>
      </c>
      <c r="L6" s="21">
        <f t="shared" si="5"/>
        <v>4</v>
      </c>
      <c r="M6" s="22">
        <f t="shared" si="6"/>
        <v>0.5</v>
      </c>
      <c r="N6" s="20" t="s">
        <v>17</v>
      </c>
      <c r="O6" s="21">
        <f t="shared" si="7"/>
        <v>2</v>
      </c>
      <c r="P6" s="22">
        <f t="shared" si="8"/>
        <v>0.2</v>
      </c>
      <c r="Q6" s="20" t="s">
        <v>17</v>
      </c>
      <c r="R6" s="21">
        <f t="shared" si="9"/>
        <v>1</v>
      </c>
      <c r="S6" s="22">
        <f t="shared" si="10"/>
        <v>0.1</v>
      </c>
      <c r="T6" s="20" t="s">
        <v>17</v>
      </c>
      <c r="U6" s="21">
        <f t="shared" si="11"/>
        <v>4</v>
      </c>
      <c r="V6" s="22">
        <f t="shared" si="12"/>
        <v>0.5714285714</v>
      </c>
      <c r="W6" s="20" t="s">
        <v>17</v>
      </c>
      <c r="X6" s="21">
        <f t="shared" si="13"/>
        <v>3</v>
      </c>
      <c r="Y6" s="22">
        <f t="shared" si="14"/>
        <v>0.6</v>
      </c>
      <c r="Z6" s="20" t="s">
        <v>17</v>
      </c>
      <c r="AA6" s="21">
        <f t="shared" si="15"/>
        <v>3</v>
      </c>
      <c r="AB6" s="22">
        <f t="shared" si="16"/>
        <v>0.3</v>
      </c>
      <c r="AC6" s="20" t="s">
        <v>17</v>
      </c>
      <c r="AD6" s="21">
        <f t="shared" si="17"/>
        <v>2</v>
      </c>
      <c r="AE6" s="22">
        <f t="shared" si="18"/>
        <v>0.2857142857</v>
      </c>
      <c r="AF6" s="20" t="s">
        <v>17</v>
      </c>
      <c r="AG6" s="21">
        <f t="shared" si="19"/>
        <v>1</v>
      </c>
      <c r="AH6" s="22">
        <f t="shared" si="20"/>
        <v>0.25</v>
      </c>
      <c r="AI6" s="20" t="s">
        <v>17</v>
      </c>
      <c r="AJ6" s="21">
        <f t="shared" si="21"/>
        <v>4</v>
      </c>
      <c r="AK6" s="22">
        <f t="shared" si="22"/>
        <v>0.5714285714</v>
      </c>
      <c r="AL6" s="20" t="s">
        <v>17</v>
      </c>
      <c r="AM6" s="21">
        <f t="shared" si="23"/>
        <v>0</v>
      </c>
      <c r="AN6" s="22">
        <f t="shared" si="24"/>
        <v>0</v>
      </c>
      <c r="AO6" s="20" t="s">
        <v>17</v>
      </c>
      <c r="AP6" s="21">
        <f t="shared" si="25"/>
        <v>0</v>
      </c>
      <c r="AQ6" s="22" t="str">
        <f t="shared" si="26"/>
        <v>#DIV/0!</v>
      </c>
      <c r="AR6" s="20" t="s">
        <v>17</v>
      </c>
      <c r="AS6" s="21">
        <f t="shared" si="27"/>
        <v>0</v>
      </c>
      <c r="AT6" s="22" t="str">
        <f t="shared" si="28"/>
        <v>#DIV/0!</v>
      </c>
      <c r="AU6" s="20" t="s">
        <v>17</v>
      </c>
      <c r="AV6" s="21">
        <f t="shared" si="29"/>
        <v>0</v>
      </c>
      <c r="AW6" s="22" t="str">
        <f t="shared" si="30"/>
        <v>#DIV/0!</v>
      </c>
      <c r="AX6" s="20" t="s">
        <v>17</v>
      </c>
      <c r="AY6" s="21">
        <f t="shared" si="31"/>
        <v>0</v>
      </c>
      <c r="AZ6" s="22" t="str">
        <f t="shared" si="32"/>
        <v>#DIV/0!</v>
      </c>
      <c r="BA6" s="20" t="s">
        <v>17</v>
      </c>
      <c r="BB6" s="21">
        <f t="shared" si="33"/>
        <v>0</v>
      </c>
      <c r="BC6" s="22" t="str">
        <f t="shared" si="34"/>
        <v>#DIV/0!</v>
      </c>
      <c r="BD6" s="20" t="s">
        <v>17</v>
      </c>
      <c r="BE6" s="21">
        <f t="shared" si="35"/>
        <v>0</v>
      </c>
      <c r="BF6" s="22" t="str">
        <f t="shared" si="36"/>
        <v>#DIV/0!</v>
      </c>
      <c r="BG6" s="20" t="s">
        <v>17</v>
      </c>
      <c r="BH6" s="21">
        <f t="shared" si="37"/>
        <v>0</v>
      </c>
      <c r="BI6" s="22" t="str">
        <f t="shared" si="38"/>
        <v>#DIV/0!</v>
      </c>
      <c r="BJ6" s="20" t="s">
        <v>17</v>
      </c>
      <c r="BK6" s="21">
        <f t="shared" si="39"/>
        <v>0</v>
      </c>
      <c r="BL6" s="22" t="str">
        <f t="shared" si="40"/>
        <v>#DIV/0!</v>
      </c>
      <c r="BM6" s="20" t="s">
        <v>17</v>
      </c>
      <c r="BN6" s="21">
        <f t="shared" si="41"/>
        <v>0</v>
      </c>
      <c r="BO6" s="22" t="str">
        <f t="shared" si="42"/>
        <v>#DIV/0!</v>
      </c>
      <c r="BP6" s="20" t="s">
        <v>17</v>
      </c>
      <c r="BQ6" s="21">
        <f t="shared" si="43"/>
        <v>0</v>
      </c>
      <c r="BR6" s="22" t="str">
        <f t="shared" si="44"/>
        <v>#DIV/0!</v>
      </c>
      <c r="BS6" s="20" t="s">
        <v>17</v>
      </c>
      <c r="BT6" s="21">
        <f t="shared" si="45"/>
        <v>0</v>
      </c>
      <c r="BU6" s="22" t="str">
        <f t="shared" si="46"/>
        <v>#DIV/0!</v>
      </c>
      <c r="BV6" s="20" t="s">
        <v>17</v>
      </c>
      <c r="BW6" s="21">
        <f t="shared" si="47"/>
        <v>0</v>
      </c>
      <c r="BX6" s="22" t="str">
        <f t="shared" si="48"/>
        <v>#DIV/0!</v>
      </c>
      <c r="BY6" s="20" t="s">
        <v>17</v>
      </c>
      <c r="BZ6" s="21">
        <f t="shared" si="49"/>
        <v>0</v>
      </c>
      <c r="CA6" s="22" t="str">
        <f t="shared" si="50"/>
        <v>#DIV/0!</v>
      </c>
      <c r="CB6" s="20" t="s">
        <v>17</v>
      </c>
      <c r="CC6" s="21">
        <f t="shared" si="51"/>
        <v>0</v>
      </c>
      <c r="CD6" s="22" t="str">
        <f t="shared" si="52"/>
        <v>#DIV/0!</v>
      </c>
      <c r="CE6" s="20" t="s">
        <v>17</v>
      </c>
      <c r="CF6" s="21">
        <f t="shared" si="53"/>
        <v>0</v>
      </c>
      <c r="CG6" s="22" t="str">
        <f t="shared" si="54"/>
        <v>#DIV/0!</v>
      </c>
      <c r="CH6" s="20" t="s">
        <v>17</v>
      </c>
      <c r="CI6" s="21">
        <f t="shared" si="55"/>
        <v>0</v>
      </c>
      <c r="CJ6" s="22" t="str">
        <f t="shared" si="56"/>
        <v>#DIV/0!</v>
      </c>
      <c r="CK6" s="20" t="s">
        <v>17</v>
      </c>
      <c r="CL6" s="21">
        <f t="shared" si="57"/>
        <v>0</v>
      </c>
      <c r="CM6" s="22" t="str">
        <f t="shared" si="58"/>
        <v>#DIV/0!</v>
      </c>
      <c r="CN6" s="20" t="s">
        <v>17</v>
      </c>
      <c r="CO6" s="21">
        <f t="shared" si="59"/>
        <v>0</v>
      </c>
      <c r="CP6" s="22" t="str">
        <f t="shared" si="60"/>
        <v>#DIV/0!</v>
      </c>
      <c r="CQ6" s="20" t="s">
        <v>17</v>
      </c>
      <c r="CR6" s="21">
        <f t="shared" si="61"/>
        <v>0</v>
      </c>
      <c r="CS6" s="22" t="str">
        <f t="shared" si="62"/>
        <v>#DIV/0!</v>
      </c>
      <c r="CT6" s="6"/>
      <c r="CU6" s="6"/>
      <c r="CV6" s="6"/>
      <c r="CW6" s="6"/>
      <c r="CX6" s="6"/>
      <c r="CY6" s="6"/>
      <c r="CZ6" s="6"/>
      <c r="DA6" s="6"/>
      <c r="DB6" s="6"/>
      <c r="DC6" s="6"/>
      <c r="DD6" s="6"/>
      <c r="DE6" s="6"/>
      <c r="DF6" s="6"/>
    </row>
    <row r="7">
      <c r="A7" s="14"/>
      <c r="B7" s="19"/>
      <c r="C7" s="14"/>
      <c r="D7" s="14"/>
      <c r="E7" s="20" t="s">
        <v>18</v>
      </c>
      <c r="F7" s="21">
        <f t="shared" si="1"/>
        <v>2</v>
      </c>
      <c r="G7" s="22">
        <f t="shared" si="2"/>
        <v>1</v>
      </c>
      <c r="H7" s="20" t="s">
        <v>18</v>
      </c>
      <c r="I7" s="21">
        <f t="shared" si="3"/>
        <v>4</v>
      </c>
      <c r="J7" s="22">
        <f t="shared" si="4"/>
        <v>0.2857142857</v>
      </c>
      <c r="K7" s="20" t="s">
        <v>18</v>
      </c>
      <c r="L7" s="21">
        <f t="shared" si="5"/>
        <v>2</v>
      </c>
      <c r="M7" s="22">
        <f t="shared" si="6"/>
        <v>0.25</v>
      </c>
      <c r="N7" s="20" t="s">
        <v>18</v>
      </c>
      <c r="O7" s="21">
        <f t="shared" si="7"/>
        <v>6</v>
      </c>
      <c r="P7" s="22">
        <f t="shared" si="8"/>
        <v>0.6</v>
      </c>
      <c r="Q7" s="20" t="s">
        <v>18</v>
      </c>
      <c r="R7" s="21">
        <f t="shared" si="9"/>
        <v>9</v>
      </c>
      <c r="S7" s="22">
        <f t="shared" si="10"/>
        <v>0.9</v>
      </c>
      <c r="T7" s="20" t="s">
        <v>18</v>
      </c>
      <c r="U7" s="21">
        <f t="shared" si="11"/>
        <v>2</v>
      </c>
      <c r="V7" s="22">
        <f t="shared" si="12"/>
        <v>0.2857142857</v>
      </c>
      <c r="W7" s="20" t="s">
        <v>18</v>
      </c>
      <c r="X7" s="21">
        <f t="shared" si="13"/>
        <v>1</v>
      </c>
      <c r="Y7" s="22">
        <f t="shared" si="14"/>
        <v>0.2</v>
      </c>
      <c r="Z7" s="20" t="s">
        <v>18</v>
      </c>
      <c r="AA7" s="21">
        <f t="shared" si="15"/>
        <v>4</v>
      </c>
      <c r="AB7" s="22">
        <f t="shared" si="16"/>
        <v>0.4</v>
      </c>
      <c r="AC7" s="20" t="s">
        <v>18</v>
      </c>
      <c r="AD7" s="21">
        <f t="shared" si="17"/>
        <v>0</v>
      </c>
      <c r="AE7" s="22">
        <f t="shared" si="18"/>
        <v>0</v>
      </c>
      <c r="AF7" s="20" t="s">
        <v>18</v>
      </c>
      <c r="AG7" s="21">
        <f t="shared" si="19"/>
        <v>2</v>
      </c>
      <c r="AH7" s="22">
        <f t="shared" si="20"/>
        <v>0.5</v>
      </c>
      <c r="AI7" s="20" t="s">
        <v>18</v>
      </c>
      <c r="AJ7" s="21">
        <f t="shared" si="21"/>
        <v>2</v>
      </c>
      <c r="AK7" s="22">
        <f t="shared" si="22"/>
        <v>0.2857142857</v>
      </c>
      <c r="AL7" s="20" t="s">
        <v>18</v>
      </c>
      <c r="AM7" s="21">
        <f t="shared" si="23"/>
        <v>1</v>
      </c>
      <c r="AN7" s="22">
        <f t="shared" si="24"/>
        <v>1</v>
      </c>
      <c r="AO7" s="20" t="s">
        <v>18</v>
      </c>
      <c r="AP7" s="21">
        <f t="shared" si="25"/>
        <v>0</v>
      </c>
      <c r="AQ7" s="22" t="str">
        <f t="shared" si="26"/>
        <v>#DIV/0!</v>
      </c>
      <c r="AR7" s="20" t="s">
        <v>18</v>
      </c>
      <c r="AS7" s="21">
        <f t="shared" si="27"/>
        <v>0</v>
      </c>
      <c r="AT7" s="22" t="str">
        <f t="shared" si="28"/>
        <v>#DIV/0!</v>
      </c>
      <c r="AU7" s="20" t="s">
        <v>18</v>
      </c>
      <c r="AV7" s="21">
        <f t="shared" si="29"/>
        <v>0</v>
      </c>
      <c r="AW7" s="22" t="str">
        <f t="shared" si="30"/>
        <v>#DIV/0!</v>
      </c>
      <c r="AX7" s="20" t="s">
        <v>18</v>
      </c>
      <c r="AY7" s="21">
        <f t="shared" si="31"/>
        <v>0</v>
      </c>
      <c r="AZ7" s="22" t="str">
        <f t="shared" si="32"/>
        <v>#DIV/0!</v>
      </c>
      <c r="BA7" s="20" t="s">
        <v>18</v>
      </c>
      <c r="BB7" s="21">
        <f t="shared" si="33"/>
        <v>0</v>
      </c>
      <c r="BC7" s="22" t="str">
        <f t="shared" si="34"/>
        <v>#DIV/0!</v>
      </c>
      <c r="BD7" s="20" t="s">
        <v>18</v>
      </c>
      <c r="BE7" s="21">
        <f t="shared" si="35"/>
        <v>0</v>
      </c>
      <c r="BF7" s="22" t="str">
        <f t="shared" si="36"/>
        <v>#DIV/0!</v>
      </c>
      <c r="BG7" s="20" t="s">
        <v>18</v>
      </c>
      <c r="BH7" s="21">
        <f t="shared" si="37"/>
        <v>0</v>
      </c>
      <c r="BI7" s="22" t="str">
        <f t="shared" si="38"/>
        <v>#DIV/0!</v>
      </c>
      <c r="BJ7" s="20" t="s">
        <v>18</v>
      </c>
      <c r="BK7" s="21">
        <f t="shared" si="39"/>
        <v>0</v>
      </c>
      <c r="BL7" s="22" t="str">
        <f t="shared" si="40"/>
        <v>#DIV/0!</v>
      </c>
      <c r="BM7" s="20" t="s">
        <v>18</v>
      </c>
      <c r="BN7" s="21">
        <f t="shared" si="41"/>
        <v>0</v>
      </c>
      <c r="BO7" s="22" t="str">
        <f t="shared" si="42"/>
        <v>#DIV/0!</v>
      </c>
      <c r="BP7" s="20" t="s">
        <v>18</v>
      </c>
      <c r="BQ7" s="21">
        <f t="shared" si="43"/>
        <v>0</v>
      </c>
      <c r="BR7" s="22" t="str">
        <f t="shared" si="44"/>
        <v>#DIV/0!</v>
      </c>
      <c r="BS7" s="20" t="s">
        <v>18</v>
      </c>
      <c r="BT7" s="21">
        <f t="shared" si="45"/>
        <v>0</v>
      </c>
      <c r="BU7" s="22" t="str">
        <f t="shared" si="46"/>
        <v>#DIV/0!</v>
      </c>
      <c r="BV7" s="20" t="s">
        <v>18</v>
      </c>
      <c r="BW7" s="21">
        <f t="shared" si="47"/>
        <v>0</v>
      </c>
      <c r="BX7" s="22" t="str">
        <f t="shared" si="48"/>
        <v>#DIV/0!</v>
      </c>
      <c r="BY7" s="20" t="s">
        <v>18</v>
      </c>
      <c r="BZ7" s="21">
        <f t="shared" si="49"/>
        <v>0</v>
      </c>
      <c r="CA7" s="22" t="str">
        <f t="shared" si="50"/>
        <v>#DIV/0!</v>
      </c>
      <c r="CB7" s="20" t="s">
        <v>18</v>
      </c>
      <c r="CC7" s="21">
        <f t="shared" si="51"/>
        <v>0</v>
      </c>
      <c r="CD7" s="22" t="str">
        <f t="shared" si="52"/>
        <v>#DIV/0!</v>
      </c>
      <c r="CE7" s="20" t="s">
        <v>18</v>
      </c>
      <c r="CF7" s="21">
        <f t="shared" si="53"/>
        <v>0</v>
      </c>
      <c r="CG7" s="22" t="str">
        <f t="shared" si="54"/>
        <v>#DIV/0!</v>
      </c>
      <c r="CH7" s="20" t="s">
        <v>18</v>
      </c>
      <c r="CI7" s="21">
        <f t="shared" si="55"/>
        <v>0</v>
      </c>
      <c r="CJ7" s="22" t="str">
        <f t="shared" si="56"/>
        <v>#DIV/0!</v>
      </c>
      <c r="CK7" s="20" t="s">
        <v>18</v>
      </c>
      <c r="CL7" s="21">
        <f t="shared" si="57"/>
        <v>0</v>
      </c>
      <c r="CM7" s="22" t="str">
        <f t="shared" si="58"/>
        <v>#DIV/0!</v>
      </c>
      <c r="CN7" s="20" t="s">
        <v>18</v>
      </c>
      <c r="CO7" s="21">
        <f t="shared" si="59"/>
        <v>0</v>
      </c>
      <c r="CP7" s="22" t="str">
        <f t="shared" si="60"/>
        <v>#DIV/0!</v>
      </c>
      <c r="CQ7" s="20" t="s">
        <v>18</v>
      </c>
      <c r="CR7" s="21">
        <f t="shared" si="61"/>
        <v>0</v>
      </c>
      <c r="CS7" s="22" t="str">
        <f t="shared" si="62"/>
        <v>#DIV/0!</v>
      </c>
      <c r="CT7" s="6"/>
      <c r="CU7" s="6"/>
      <c r="CV7" s="6"/>
      <c r="CW7" s="6"/>
      <c r="CX7" s="6"/>
      <c r="CY7" s="6"/>
      <c r="CZ7" s="6"/>
      <c r="DA7" s="6"/>
      <c r="DB7" s="6"/>
      <c r="DC7" s="6"/>
      <c r="DD7" s="6"/>
      <c r="DE7" s="6"/>
      <c r="DF7" s="6"/>
    </row>
    <row r="8">
      <c r="A8" s="14"/>
      <c r="B8" s="19"/>
      <c r="C8" s="14"/>
      <c r="D8" s="14"/>
      <c r="E8" s="24" t="s">
        <v>13</v>
      </c>
      <c r="F8" s="5">
        <f>SUM(F3:F7)</f>
        <v>2</v>
      </c>
      <c r="G8" s="25">
        <f>SUM(G6:G7)</f>
        <v>1</v>
      </c>
      <c r="H8" s="24" t="s">
        <v>13</v>
      </c>
      <c r="I8" s="5">
        <f>SUM(I3:I7)</f>
        <v>14</v>
      </c>
      <c r="J8" s="25">
        <f>SUM(J6:J7)</f>
        <v>0.4285714286</v>
      </c>
      <c r="K8" s="24" t="s">
        <v>13</v>
      </c>
      <c r="L8" s="5">
        <f>SUM(L3:L7)</f>
        <v>8</v>
      </c>
      <c r="M8" s="25">
        <f>SUM(M6:M7)</f>
        <v>0.75</v>
      </c>
      <c r="N8" s="24" t="s">
        <v>13</v>
      </c>
      <c r="O8" s="5">
        <f>SUM(O3:O7)</f>
        <v>10</v>
      </c>
      <c r="P8" s="25">
        <f>SUM(P6:P7)</f>
        <v>0.8</v>
      </c>
      <c r="Q8" s="24" t="s">
        <v>13</v>
      </c>
      <c r="R8" s="5">
        <f>SUM(R3:R7)</f>
        <v>10</v>
      </c>
      <c r="S8" s="25">
        <f>SUM(S6:S7)</f>
        <v>1</v>
      </c>
      <c r="T8" s="24" t="s">
        <v>13</v>
      </c>
      <c r="U8" s="5">
        <f>SUM(U3:U7)</f>
        <v>7</v>
      </c>
      <c r="V8" s="25">
        <f>SUM(V6:V7)</f>
        <v>0.8571428571</v>
      </c>
      <c r="W8" s="24" t="s">
        <v>13</v>
      </c>
      <c r="X8" s="5">
        <f>SUM(X3:X7)</f>
        <v>5</v>
      </c>
      <c r="Y8" s="25">
        <f>SUM(Y6:Y7)</f>
        <v>0.8</v>
      </c>
      <c r="Z8" s="24" t="s">
        <v>13</v>
      </c>
      <c r="AA8" s="5">
        <f>SUM(AA3:AA7)</f>
        <v>10</v>
      </c>
      <c r="AB8" s="25">
        <f>SUM(AB6:AB7)</f>
        <v>0.7</v>
      </c>
      <c r="AC8" s="24" t="s">
        <v>13</v>
      </c>
      <c r="AD8" s="5">
        <f>SUM(AD3:AD7)</f>
        <v>7</v>
      </c>
      <c r="AE8" s="25">
        <f>SUM(AE6:AE7)</f>
        <v>0.2857142857</v>
      </c>
      <c r="AF8" s="24" t="s">
        <v>13</v>
      </c>
      <c r="AG8" s="5">
        <f>SUM(AG3:AG7)</f>
        <v>4</v>
      </c>
      <c r="AH8" s="25">
        <f>SUM(AH6:AH7)</f>
        <v>0.75</v>
      </c>
      <c r="AI8" s="24" t="s">
        <v>13</v>
      </c>
      <c r="AJ8" s="5">
        <f>SUM(AJ3:AJ7)</f>
        <v>7</v>
      </c>
      <c r="AK8" s="25">
        <f>SUM(AK6:AK7)</f>
        <v>0.8571428571</v>
      </c>
      <c r="AL8" s="24" t="s">
        <v>13</v>
      </c>
      <c r="AM8" s="5">
        <f>SUM(AM3:AM7)</f>
        <v>1</v>
      </c>
      <c r="AN8" s="25">
        <f>SUM(AN6:AN7)</f>
        <v>1</v>
      </c>
      <c r="AO8" s="24" t="s">
        <v>13</v>
      </c>
      <c r="AP8" s="5">
        <f>SUM(AP3:AP7)</f>
        <v>0</v>
      </c>
      <c r="AQ8" s="25" t="str">
        <f>SUM(AQ6:AQ7)</f>
        <v>#DIV/0!</v>
      </c>
      <c r="AR8" s="24" t="s">
        <v>13</v>
      </c>
      <c r="AS8" s="5">
        <f>SUM(AS3:AS7)</f>
        <v>0</v>
      </c>
      <c r="AT8" s="25" t="str">
        <f>SUM(AT6:AT7)</f>
        <v>#DIV/0!</v>
      </c>
      <c r="AU8" s="24" t="s">
        <v>13</v>
      </c>
      <c r="AV8" s="5">
        <f>SUM(AV3:AV7)</f>
        <v>0</v>
      </c>
      <c r="AW8" s="25" t="str">
        <f>SUM(AW6:AW7)</f>
        <v>#DIV/0!</v>
      </c>
      <c r="AX8" s="24" t="s">
        <v>13</v>
      </c>
      <c r="AY8" s="5">
        <f>SUM(AY3:AY7)</f>
        <v>0</v>
      </c>
      <c r="AZ8" s="25" t="str">
        <f>SUM(AZ6:AZ7)</f>
        <v>#DIV/0!</v>
      </c>
      <c r="BA8" s="24" t="s">
        <v>13</v>
      </c>
      <c r="BB8" s="5">
        <f>SUM(BB3:BB7)</f>
        <v>0</v>
      </c>
      <c r="BC8" s="25" t="str">
        <f>SUM(BC6:BC7)</f>
        <v>#DIV/0!</v>
      </c>
      <c r="BD8" s="24" t="s">
        <v>13</v>
      </c>
      <c r="BE8" s="5">
        <f>SUM(BE3:BE7)</f>
        <v>0</v>
      </c>
      <c r="BF8" s="25" t="str">
        <f>SUM(BF6:BF7)</f>
        <v>#DIV/0!</v>
      </c>
      <c r="BG8" s="24" t="s">
        <v>13</v>
      </c>
      <c r="BH8" s="5">
        <f>SUM(BH3:BH7)</f>
        <v>0</v>
      </c>
      <c r="BI8" s="25" t="str">
        <f>SUM(BI6:BI7)</f>
        <v>#DIV/0!</v>
      </c>
      <c r="BJ8" s="24" t="s">
        <v>13</v>
      </c>
      <c r="BK8" s="5">
        <f>SUM(BK3:BK7)</f>
        <v>0</v>
      </c>
      <c r="BL8" s="25" t="str">
        <f>SUM(BL6:BL7)</f>
        <v>#DIV/0!</v>
      </c>
      <c r="BM8" s="24" t="s">
        <v>13</v>
      </c>
      <c r="BN8" s="5">
        <f>SUM(BN3:BN7)</f>
        <v>0</v>
      </c>
      <c r="BO8" s="25" t="str">
        <f>SUM(BO6:BO7)</f>
        <v>#DIV/0!</v>
      </c>
      <c r="BP8" s="24" t="s">
        <v>13</v>
      </c>
      <c r="BQ8" s="5">
        <f>SUM(BQ3:BQ7)</f>
        <v>0</v>
      </c>
      <c r="BR8" s="25" t="str">
        <f>SUM(BR6:BR7)</f>
        <v>#DIV/0!</v>
      </c>
      <c r="BS8" s="24" t="s">
        <v>13</v>
      </c>
      <c r="BT8" s="5">
        <f>SUM(BT3:BT7)</f>
        <v>0</v>
      </c>
      <c r="BU8" s="25" t="str">
        <f>SUM(BU6:BU7)</f>
        <v>#DIV/0!</v>
      </c>
      <c r="BV8" s="24" t="s">
        <v>13</v>
      </c>
      <c r="BW8" s="5">
        <f>SUM(BW3:BW7)</f>
        <v>0</v>
      </c>
      <c r="BX8" s="25" t="str">
        <f>SUM(BX6:BX7)</f>
        <v>#DIV/0!</v>
      </c>
      <c r="BY8" s="24" t="s">
        <v>13</v>
      </c>
      <c r="BZ8" s="5">
        <f>SUM(BZ3:BZ7)</f>
        <v>0</v>
      </c>
      <c r="CA8" s="25" t="str">
        <f>SUM(CA6:CA7)</f>
        <v>#DIV/0!</v>
      </c>
      <c r="CB8" s="24" t="s">
        <v>13</v>
      </c>
      <c r="CC8" s="5">
        <f>SUM(CC3:CC7)</f>
        <v>0</v>
      </c>
      <c r="CD8" s="25" t="str">
        <f>SUM(CD6:CD7)</f>
        <v>#DIV/0!</v>
      </c>
      <c r="CE8" s="24" t="s">
        <v>13</v>
      </c>
      <c r="CF8" s="5">
        <f>SUM(CF3:CF7)</f>
        <v>0</v>
      </c>
      <c r="CG8" s="25" t="str">
        <f>SUM(CG6:CG7)</f>
        <v>#DIV/0!</v>
      </c>
      <c r="CH8" s="24" t="s">
        <v>13</v>
      </c>
      <c r="CI8" s="5">
        <f>SUM(CI3:CI7)</f>
        <v>0</v>
      </c>
      <c r="CJ8" s="25" t="str">
        <f>SUM(CJ6:CJ7)</f>
        <v>#DIV/0!</v>
      </c>
      <c r="CK8" s="24" t="s">
        <v>13</v>
      </c>
      <c r="CL8" s="5">
        <f>SUM(CL3:CL7)</f>
        <v>0</v>
      </c>
      <c r="CM8" s="25" t="str">
        <f>SUM(CM6:CM7)</f>
        <v>#DIV/0!</v>
      </c>
      <c r="CN8" s="24" t="s">
        <v>13</v>
      </c>
      <c r="CO8" s="5">
        <f>SUM(CO3:CO7)</f>
        <v>0</v>
      </c>
      <c r="CP8" s="25" t="str">
        <f>SUM(CP6:CP7)</f>
        <v>#DIV/0!</v>
      </c>
      <c r="CQ8" s="24" t="s">
        <v>13</v>
      </c>
      <c r="CR8" s="5">
        <f>SUM(CR3:CR7)</f>
        <v>0</v>
      </c>
      <c r="CS8" s="25" t="str">
        <f>SUM(CS6:CS7)</f>
        <v>#DIV/0!</v>
      </c>
      <c r="CT8" s="26"/>
      <c r="CU8" s="26"/>
      <c r="CV8" s="26"/>
      <c r="CW8" s="26"/>
      <c r="CX8" s="26"/>
      <c r="CY8" s="26"/>
      <c r="CZ8" s="26"/>
      <c r="DA8" s="26"/>
      <c r="DB8" s="26"/>
      <c r="DC8" s="26"/>
      <c r="DD8" s="26"/>
      <c r="DE8" s="26"/>
      <c r="DF8" s="26"/>
    </row>
    <row r="9">
      <c r="A9" s="14" t="s">
        <v>33</v>
      </c>
      <c r="B9" s="19"/>
      <c r="C9" s="14" t="s">
        <v>34</v>
      </c>
      <c r="D9" s="14" t="s">
        <v>35</v>
      </c>
      <c r="E9" s="27" t="str">
        <f>IF((COLUMN(E9) - 2)/3 = INT((COLUMN(E9) - 2)/3), INDIRECT("R1C"&amp;CEILING(4 + COLUMN(E9)/3,1), FALSE), "")</f>
        <v>['deflect', 'kick', 'corner', 'shot', 'net']</v>
      </c>
      <c r="F9" s="28"/>
      <c r="G9" s="29"/>
      <c r="H9" s="27" t="str">
        <f>IF((COLUMN(H9) - 2)/3 = INT((COLUMN(H9) - 2)/3), INDIRECT("R1C"&amp;CEILING(4 + COLUMN(H9)/3,1), FALSE), "")</f>
        <v>['champion', 'final', 'leagu', 'footbal', 'win']</v>
      </c>
      <c r="I9" s="28"/>
      <c r="J9" s="29"/>
      <c r="K9" s="27" t="str">
        <f>IF((COLUMN(K9) - 2)/3 = INT((COLUMN(K9) - 2)/3), INDIRECT("R1C"&amp;CEILING(4 + COLUMN(K9)/3,1), FALSE), "")</f>
        <v>['need', 'half', 'sub', 'second', 'lead', '2nd']</v>
      </c>
      <c r="L9" s="28"/>
      <c r="M9" s="29"/>
      <c r="N9" s="27" t="str">
        <f>IF((COLUMN(N9) - 2)/3 = INT((COLUMN(N9) - 2)/3), INDIRECT("R1C"&amp;CEILING(4 + COLUMN(N9)/3,1), FALSE), "")</f>
        <v>['foul', 'refere', 'book', 'decis', 'var', 'given', 'pen', 'dive', 'ref', 'penalti']</v>
      </c>
      <c r="O9" s="28"/>
      <c r="P9" s="29"/>
      <c r="Q9" s="27" t="str">
        <f>IF((COLUMN(Q9) - 2)/3 = INT((COLUMN(Q9) - 2)/3), INDIRECT("R1C"&amp;CEILING(4 + COLUMN(Q9)/3,1), FALSE), "")</f>
        <v>['touch', 'cross', 'ball', 'pass']</v>
      </c>
      <c r="R9" s="28"/>
      <c r="S9" s="29"/>
      <c r="T9" s="27" t="str">
        <f>IF((COLUMN(T9) - 2)/3 = INT((COLUMN(T9) - 2)/3), INDIRECT("R1C"&amp;CEILING(4 + COLUMN(T9)/3,1), FALSE), "")</f>
        <v>['tackl', 'dribbl', 'yellow', 'red', 'card']</v>
      </c>
      <c r="U9" s="28"/>
      <c r="V9" s="29"/>
      <c r="W9" s="27" t="str">
        <f>IF((COLUMN(W9) - 2)/3 = INT((COLUMN(W9) - 2)/3), INDIRECT("R1C"&amp;CEILING(4 + COLUMN(W9)/3,1), FALSE), "")</f>
        <v>['gol', 'stream', 'onlin', 'free', 'reddit', 'link', 'EXCLUDED-manchest', 'ff', 'live']</v>
      </c>
      <c r="X9" s="28"/>
      <c r="Y9" s="29"/>
      <c r="Z9" s="27" t="str">
        <f>IF((COLUMN(Z9) - 2)/3 = INT((COLUMN(Z9) - 2)/3), INDIRECT("R1C"&amp;CEILING(4 + COLUMN(Z9)/3,1), FALSE), "")</f>
        <v>['goal', 'score', 'conced', 'equalis', 'offsid', 'assist']</v>
      </c>
      <c r="AA9" s="28"/>
      <c r="AB9" s="29"/>
      <c r="AC9" s="27" t="str">
        <f>IF((COLUMN(AC9) - 2)/3 = INT((COLUMN(AC9) - 2)/3), INDIRECT("R1C"&amp;CEILING(4 + COLUMN(AC9)/3,1), FALSE), "")</f>
        <v>['take', 'knee', 'player']</v>
      </c>
      <c r="AD9" s="28"/>
      <c r="AE9" s="29"/>
      <c r="AF9" s="27" t="str">
        <f>IF((COLUMN(AF9) - 2)/3 = INT((COLUMN(AF9) - 2)/3), INDIRECT("R1C"&amp;CEILING(4 + COLUMN(AF9)/3,1), FALSE), "")</f>
        <v>['keeper', 'best', 'goalkeep', 'defend', 'EXCLUDED-kepa', 'save']</v>
      </c>
      <c r="AG9" s="28"/>
      <c r="AH9" s="29"/>
      <c r="AI9" s="27" t="str">
        <f>IF((COLUMN(AI9) - 2)/3 = INT((COLUMN(AI9) - 2)/3), INDIRECT("R1C"&amp;CEILING(4 + COLUMN(AI9)/3,1), FALSE), "")</f>
        <v>['EXCLUDED-man', 'utd']</v>
      </c>
      <c r="AJ9" s="28"/>
      <c r="AK9" s="29"/>
      <c r="AL9" s="27" t="str">
        <f>IF((COLUMN(AL9) - 2)/3 = INT((COLUMN(AL9) - 2)/3), INDIRECT("R1C"&amp;CEILING(4 + COLUMN(AL9)/3,1), FALSE), "")</f>
        <v>['hit', 'post']</v>
      </c>
      <c r="AM9" s="28"/>
      <c r="AN9" s="29"/>
      <c r="AO9" s="27" t="str">
        <f>IF((COLUMN(AO9) - 2)/3 = INT((COLUMN(AO9) - 2)/3), INDIRECT("R1C"&amp;CEILING(4 + COLUMN(AO9)/3,1), FALSE), "")</f>
        <v/>
      </c>
      <c r="AP9" s="28"/>
      <c r="AQ9" s="29"/>
      <c r="AR9" s="27" t="str">
        <f>IF((COLUMN(AR9) - 2)/3 = INT((COLUMN(AR9) - 2)/3), INDIRECT("R1C"&amp;CEILING(4 + COLUMN(AR9)/3,1), FALSE), "")</f>
        <v/>
      </c>
      <c r="AS9" s="28"/>
      <c r="AT9" s="29"/>
      <c r="AU9" s="27" t="str">
        <f>IF((COLUMN(AU9) - 2)/3 = INT((COLUMN(AU9) - 2)/3), INDIRECT("R1C"&amp;CEILING(4 + COLUMN(AU9)/3,1), FALSE), "")</f>
        <v/>
      </c>
      <c r="AV9" s="28"/>
      <c r="AW9" s="29"/>
      <c r="AX9" s="27" t="str">
        <f>IF((COLUMN(AX9) - 2)/3 = INT((COLUMN(AX9) - 2)/3), INDIRECT("R1C"&amp;CEILING(4 + COLUMN(AX9)/3,1), FALSE), "")</f>
        <v/>
      </c>
      <c r="AY9" s="28"/>
      <c r="AZ9" s="29"/>
      <c r="BA9" s="27" t="str">
        <f>IF((COLUMN(BA9) - 2)/3 = INT((COLUMN(BA9) - 2)/3), INDIRECT("R1C"&amp;CEILING(4 + COLUMN(BA9)/3,1), FALSE), "")</f>
        <v/>
      </c>
      <c r="BB9" s="28"/>
      <c r="BC9" s="29"/>
      <c r="BD9" s="27" t="str">
        <f>IF((COLUMN(BD9) - 2)/3 = INT((COLUMN(BD9) - 2)/3), INDIRECT("R1C"&amp;CEILING(4 + COLUMN(BD9)/3,1), FALSE), "")</f>
        <v/>
      </c>
      <c r="BE9" s="28"/>
      <c r="BF9" s="29"/>
      <c r="BG9" s="27" t="str">
        <f>IF((COLUMN(BG9) - 2)/3 = INT((COLUMN(BG9) - 2)/3), INDIRECT("R1C"&amp;CEILING(4 + COLUMN(BG9)/3,1), FALSE), "")</f>
        <v/>
      </c>
      <c r="BH9" s="28"/>
      <c r="BI9" s="29"/>
      <c r="BJ9" s="27" t="str">
        <f>IF((COLUMN(BJ9) - 2)/3 = INT((COLUMN(BJ9) - 2)/3), INDIRECT("R1C"&amp;CEILING(4 + COLUMN(BJ9)/3,1), FALSE), "")</f>
        <v/>
      </c>
      <c r="BK9" s="28"/>
      <c r="BL9" s="29"/>
      <c r="BM9" s="27" t="str">
        <f>IF((COLUMN(BM9) - 2)/3 = INT((COLUMN(BM9) - 2)/3), INDIRECT("R1C"&amp;CEILING(4 + COLUMN(BM9)/3,1), FALSE), "")</f>
        <v/>
      </c>
      <c r="BN9" s="28"/>
      <c r="BO9" s="29"/>
      <c r="BP9" s="27" t="str">
        <f>IF((COLUMN(BP9) - 2)/3 = INT((COLUMN(BP9) - 2)/3), INDIRECT("R1C"&amp;CEILING(4 + COLUMN(BP9)/3,1), FALSE), "")</f>
        <v/>
      </c>
      <c r="BQ9" s="28"/>
      <c r="BR9" s="29"/>
      <c r="BS9" s="27" t="str">
        <f>IF((COLUMN(BS9) - 2)/3 = INT((COLUMN(BS9) - 2)/3), INDIRECT("R1C"&amp;CEILING(4 + COLUMN(BS9)/3,1), FALSE), "")</f>
        <v/>
      </c>
      <c r="BT9" s="28"/>
      <c r="BU9" s="29"/>
      <c r="BV9" s="27" t="str">
        <f>IF((COLUMN(BV9) - 2)/3 = INT((COLUMN(BV9) - 2)/3), INDIRECT("R1C"&amp;CEILING(4 + COLUMN(BV9)/3,1), FALSE), "")</f>
        <v/>
      </c>
      <c r="BW9" s="28"/>
      <c r="BX9" s="29"/>
      <c r="BY9" s="27" t="str">
        <f>IF((COLUMN(BY9) - 2)/3 = INT((COLUMN(BY9) - 2)/3), INDIRECT("R1C"&amp;CEILING(4 + COLUMN(BY9)/3,1), FALSE), "")</f>
        <v/>
      </c>
      <c r="BZ9" s="28"/>
      <c r="CA9" s="29"/>
      <c r="CB9" s="27" t="str">
        <f>IF((COLUMN(CB9) - 2)/3 = INT((COLUMN(CB9) - 2)/3), INDIRECT("R1C"&amp;CEILING(4 + COLUMN(CB9)/3,1), FALSE), "")</f>
        <v/>
      </c>
      <c r="CC9" s="28"/>
      <c r="CD9" s="29"/>
      <c r="CE9" s="27" t="str">
        <f>IF((COLUMN(CE9) - 2)/3 = INT((COLUMN(CE9) - 2)/3), INDIRECT("R1C"&amp;CEILING(4 + COLUMN(CE9)/3,1), FALSE), "")</f>
        <v/>
      </c>
      <c r="CF9" s="28"/>
      <c r="CG9" s="29"/>
      <c r="CH9" s="27" t="str">
        <f>IF((COLUMN(CH9) - 2)/3 = INT((COLUMN(CH9) - 2)/3), INDIRECT("R1C"&amp;CEILING(4 + COLUMN(CH9)/3,1), FALSE), "")</f>
        <v/>
      </c>
      <c r="CI9" s="28"/>
      <c r="CJ9" s="29"/>
      <c r="CK9" s="27" t="str">
        <f>IF((COLUMN(CK9) - 2)/3 = INT((COLUMN(CK9) - 2)/3), INDIRECT("R1C"&amp;CEILING(4 + COLUMN(CK9)/3,1), FALSE), "")</f>
        <v/>
      </c>
      <c r="CL9" s="28"/>
      <c r="CM9" s="29"/>
      <c r="CN9" s="27" t="str">
        <f>IF((COLUMN(CN9) - 2)/3 = INT((COLUMN(CN9) - 2)/3), INDIRECT("R1C"&amp;CEILING(4 + COLUMN(CN9)/3,1), FALSE), "")</f>
        <v/>
      </c>
      <c r="CO9" s="28"/>
      <c r="CP9" s="29"/>
      <c r="CQ9" s="27" t="str">
        <f>IF((COLUMN(CQ9) - 2)/3 = INT((COLUMN(CQ9) - 2)/3), INDIRECT("R1C"&amp;CEILING(4 + COLUMN(CQ9)/3,1), FALSE), "")</f>
        <v/>
      </c>
      <c r="CR9" s="28"/>
      <c r="CS9" s="29"/>
    </row>
    <row r="10">
      <c r="A10" s="19" t="s">
        <v>14</v>
      </c>
      <c r="B10" s="19" t="s">
        <v>36</v>
      </c>
      <c r="C10" s="30">
        <f>IFERROR(__xludf.DUMMYFUNCTION("SUM(FILTER($E3:DF3, (COLUMN($E3:DF3)) / 3 = ROUND((COLUMN($E3:DF3)) / 3), NOT(ISERROR($E3:DF3))))"),3.0)</f>
        <v>3</v>
      </c>
      <c r="D10" s="26">
        <f t="shared" ref="D10:D14" si="63">$C10/$C$15</f>
        <v>0.03529411765</v>
      </c>
      <c r="E10" s="5" t="str">
        <f>IFERROR(__xludf.DUMMYFUNCTION("QUERY(INDIRECT($B$2&amp;""!$A$1:$F""), ""SELECT C, F WHERE D = """""" &amp; E9 &amp; """""""")"),"date")</f>
        <v>date</v>
      </c>
      <c r="F10" s="5" t="str">
        <f>IFERROR(__xludf.DUMMYFUNCTION("""COMPUTED_VALUE"""),"summary")</f>
        <v>summary</v>
      </c>
      <c r="H10" s="5" t="str">
        <f>IFERROR(__xludf.DUMMYFUNCTION("QUERY(INDIRECT($B$2&amp;""!$A$1:$F""), ""SELECT C, F WHERE D = """""" &amp; H9 &amp; """""""")"),"date")</f>
        <v>date</v>
      </c>
      <c r="I10" s="5" t="str">
        <f>IFERROR(__xludf.DUMMYFUNCTION("""COMPUTED_VALUE"""),"summary")</f>
        <v>summary</v>
      </c>
      <c r="K10" s="5" t="str">
        <f>IFERROR(__xludf.DUMMYFUNCTION("QUERY(INDIRECT($B$2&amp;""!$A$1:$F""), ""SELECT C, F WHERE D = """""" &amp; K9 &amp; """""""")"),"date")</f>
        <v>date</v>
      </c>
      <c r="L10" s="5" t="str">
        <f>IFERROR(__xludf.DUMMYFUNCTION("""COMPUTED_VALUE"""),"summary")</f>
        <v>summary</v>
      </c>
      <c r="N10" s="5" t="str">
        <f>IFERROR(__xludf.DUMMYFUNCTION("QUERY(INDIRECT($B$2&amp;""!$A$1:$F""), ""SELECT C, F WHERE D = """""" &amp; N9 &amp; """""""")"),"date")</f>
        <v>date</v>
      </c>
      <c r="O10" s="5" t="str">
        <f>IFERROR(__xludf.DUMMYFUNCTION("""COMPUTED_VALUE"""),"summary")</f>
        <v>summary</v>
      </c>
      <c r="Q10" s="5" t="str">
        <f>IFERROR(__xludf.DUMMYFUNCTION("QUERY(INDIRECT($B$2&amp;""!$A$1:$F""), ""SELECT C, F WHERE D = """""" &amp; Q9 &amp; """""""")"),"date")</f>
        <v>date</v>
      </c>
      <c r="R10" s="5" t="str">
        <f>IFERROR(__xludf.DUMMYFUNCTION("""COMPUTED_VALUE"""),"summary")</f>
        <v>summary</v>
      </c>
      <c r="T10" s="5" t="str">
        <f>IFERROR(__xludf.DUMMYFUNCTION("QUERY(INDIRECT($B$2&amp;""!$A$1:$F""), ""SELECT C, F WHERE D = """""" &amp; T9 &amp; """""""")"),"date")</f>
        <v>date</v>
      </c>
      <c r="U10" s="5" t="str">
        <f>IFERROR(__xludf.DUMMYFUNCTION("""COMPUTED_VALUE"""),"summary")</f>
        <v>summary</v>
      </c>
      <c r="W10" s="5" t="str">
        <f>IFERROR(__xludf.DUMMYFUNCTION("QUERY(INDIRECT($B$2&amp;""!$A$1:$F""), ""SELECT C, F WHERE D = """""" &amp; W9 &amp; """""""")"),"date")</f>
        <v>date</v>
      </c>
      <c r="X10" s="5" t="str">
        <f>IFERROR(__xludf.DUMMYFUNCTION("""COMPUTED_VALUE"""),"summary")</f>
        <v>summary</v>
      </c>
      <c r="Z10" s="5" t="str">
        <f>IFERROR(__xludf.DUMMYFUNCTION("QUERY(INDIRECT($B$2&amp;""!$A$1:$F""), ""SELECT C, F WHERE D = """""" &amp; Z9 &amp; """""""")"),"date")</f>
        <v>date</v>
      </c>
      <c r="AA10" s="5" t="str">
        <f>IFERROR(__xludf.DUMMYFUNCTION("""COMPUTED_VALUE"""),"summary")</f>
        <v>summary</v>
      </c>
      <c r="AC10" s="5" t="str">
        <f>IFERROR(__xludf.DUMMYFUNCTION("QUERY(INDIRECT($B$2&amp;""!$A$1:$F""), ""SELECT C, F WHERE D = """""" &amp; AC9 &amp; """""""")"),"date")</f>
        <v>date</v>
      </c>
      <c r="AD10" s="5" t="str">
        <f>IFERROR(__xludf.DUMMYFUNCTION("""COMPUTED_VALUE"""),"summary")</f>
        <v>summary</v>
      </c>
      <c r="AF10" s="5" t="str">
        <f>IFERROR(__xludf.DUMMYFUNCTION("QUERY(INDIRECT($B$2&amp;""!$A$1:$F""), ""SELECT C, F WHERE D = """""" &amp; AF9 &amp; """""""")"),"date")</f>
        <v>date</v>
      </c>
      <c r="AG10" s="5" t="str">
        <f>IFERROR(__xludf.DUMMYFUNCTION("""COMPUTED_VALUE"""),"summary")</f>
        <v>summary</v>
      </c>
      <c r="AI10" s="5" t="str">
        <f>IFERROR(__xludf.DUMMYFUNCTION("QUERY(INDIRECT($B$2&amp;""!$A$1:$F""), ""SELECT C, F WHERE D = """""" &amp; AI9 &amp; """""""")"),"date")</f>
        <v>date</v>
      </c>
      <c r="AJ10" s="5" t="str">
        <f>IFERROR(__xludf.DUMMYFUNCTION("""COMPUTED_VALUE"""),"summary")</f>
        <v>summary</v>
      </c>
      <c r="AL10" s="5" t="str">
        <f>IFERROR(__xludf.DUMMYFUNCTION("QUERY(INDIRECT($B$2&amp;""!$A$1:$F""), ""SELECT C, F WHERE D = """""" &amp; AL9 &amp; """""""")"),"date")</f>
        <v>date</v>
      </c>
      <c r="AM10" s="5" t="str">
        <f>IFERROR(__xludf.DUMMYFUNCTION("""COMPUTED_VALUE"""),"summary")</f>
        <v>summary</v>
      </c>
      <c r="AO10" s="5" t="str">
        <f>IFERROR(__xludf.DUMMYFUNCTION("QUERY(INDIRECT($B$2&amp;""!$A$1:$F""), ""SELECT C, F WHERE D = """""" &amp; AO9 &amp; """""""")"),"date")</f>
        <v>date</v>
      </c>
      <c r="AP10" s="5" t="str">
        <f>IFERROR(__xludf.DUMMYFUNCTION("""COMPUTED_VALUE"""),"summary")</f>
        <v>summary</v>
      </c>
      <c r="AR10" s="5" t="str">
        <f>IFERROR(__xludf.DUMMYFUNCTION("QUERY(INDIRECT($B$2&amp;""!$A$1:$F""), ""SELECT C, F WHERE D = """""" &amp; AR9 &amp; """""""")"),"date")</f>
        <v>date</v>
      </c>
      <c r="AS10" s="5" t="str">
        <f>IFERROR(__xludf.DUMMYFUNCTION("""COMPUTED_VALUE"""),"summary")</f>
        <v>summary</v>
      </c>
      <c r="AU10" s="5" t="str">
        <f>IFERROR(__xludf.DUMMYFUNCTION("QUERY(INDIRECT($B$2&amp;""!$A$1:$F""), ""SELECT C, F WHERE D = """""" &amp; AU9 &amp; """""""")"),"date")</f>
        <v>date</v>
      </c>
      <c r="AV10" s="5" t="str">
        <f>IFERROR(__xludf.DUMMYFUNCTION("""COMPUTED_VALUE"""),"summary")</f>
        <v>summary</v>
      </c>
      <c r="AX10" s="5" t="str">
        <f>IFERROR(__xludf.DUMMYFUNCTION("QUERY(INDIRECT($B$2&amp;""!$A$1:$F""), ""SELECT C, F WHERE D = """""" &amp; AX9 &amp; """""""")"),"date")</f>
        <v>date</v>
      </c>
      <c r="AY10" s="5" t="str">
        <f>IFERROR(__xludf.DUMMYFUNCTION("""COMPUTED_VALUE"""),"summary")</f>
        <v>summary</v>
      </c>
      <c r="BA10" s="5" t="str">
        <f>IFERROR(__xludf.DUMMYFUNCTION("QUERY(INDIRECT($B$2&amp;""!$A$1:$F""), ""SELECT C, F WHERE D = """""" &amp; BA9 &amp; """""""")"),"date")</f>
        <v>date</v>
      </c>
      <c r="BB10" s="5" t="str">
        <f>IFERROR(__xludf.DUMMYFUNCTION("""COMPUTED_VALUE"""),"summary")</f>
        <v>summary</v>
      </c>
      <c r="BD10" s="5" t="str">
        <f>IFERROR(__xludf.DUMMYFUNCTION("QUERY(INDIRECT($B$2&amp;""!$A$1:$F""), ""SELECT C, F WHERE D = """""" &amp; BD9 &amp; """""""")"),"date")</f>
        <v>date</v>
      </c>
      <c r="BE10" s="5" t="str">
        <f>IFERROR(__xludf.DUMMYFUNCTION("""COMPUTED_VALUE"""),"summary")</f>
        <v>summary</v>
      </c>
      <c r="BG10" s="5" t="str">
        <f>IFERROR(__xludf.DUMMYFUNCTION("QUERY(INDIRECT($B$2&amp;""!$A$1:$F""), ""SELECT C, F WHERE D = """""" &amp; BG9 &amp; """""""")"),"date")</f>
        <v>date</v>
      </c>
      <c r="BH10" s="5" t="str">
        <f>IFERROR(__xludf.DUMMYFUNCTION("""COMPUTED_VALUE"""),"summary")</f>
        <v>summary</v>
      </c>
      <c r="BJ10" s="5" t="str">
        <f>IFERROR(__xludf.DUMMYFUNCTION("QUERY(INDIRECT($B$2&amp;""!$A$1:$F""), ""SELECT C, F WHERE D = """""" &amp; BJ9 &amp; """""""")"),"date")</f>
        <v>date</v>
      </c>
      <c r="BK10" s="5" t="str">
        <f>IFERROR(__xludf.DUMMYFUNCTION("""COMPUTED_VALUE"""),"summary")</f>
        <v>summary</v>
      </c>
      <c r="BM10" s="5" t="str">
        <f>IFERROR(__xludf.DUMMYFUNCTION("QUERY(INDIRECT($B$2&amp;""!$A$1:$F""), ""SELECT C, F WHERE D = """""" &amp; BM9 &amp; """""""")"),"date")</f>
        <v>date</v>
      </c>
      <c r="BN10" s="5" t="str">
        <f>IFERROR(__xludf.DUMMYFUNCTION("""COMPUTED_VALUE"""),"summary")</f>
        <v>summary</v>
      </c>
      <c r="BP10" s="5" t="str">
        <f>IFERROR(__xludf.DUMMYFUNCTION("QUERY(INDIRECT($B$2&amp;""!$A$1:$F""), ""SELECT C, F WHERE D = """""" &amp; BP9 &amp; """""""")"),"date")</f>
        <v>date</v>
      </c>
      <c r="BQ10" s="5" t="str">
        <f>IFERROR(__xludf.DUMMYFUNCTION("""COMPUTED_VALUE"""),"summary")</f>
        <v>summary</v>
      </c>
      <c r="BS10" s="5" t="str">
        <f>IFERROR(__xludf.DUMMYFUNCTION("QUERY(INDIRECT($B$2&amp;""!$A$1:$F""), ""SELECT C, F WHERE D = """""" &amp; BS9 &amp; """""""")"),"date")</f>
        <v>date</v>
      </c>
      <c r="BT10" s="5" t="str">
        <f>IFERROR(__xludf.DUMMYFUNCTION("""COMPUTED_VALUE"""),"summary")</f>
        <v>summary</v>
      </c>
      <c r="BV10" s="5" t="str">
        <f>IFERROR(__xludf.DUMMYFUNCTION("QUERY(INDIRECT($B$2&amp;""!$A$1:$F""), ""SELECT C, F WHERE D = """""" &amp; BV9 &amp; """""""")"),"date")</f>
        <v>date</v>
      </c>
      <c r="BW10" s="5" t="str">
        <f>IFERROR(__xludf.DUMMYFUNCTION("""COMPUTED_VALUE"""),"summary")</f>
        <v>summary</v>
      </c>
      <c r="BY10" s="5" t="str">
        <f>IFERROR(__xludf.DUMMYFUNCTION("QUERY(INDIRECT($B$2&amp;""!$A$1:$F""), ""SELECT C, F WHERE D = """""" &amp; BY9 &amp; """""""")"),"date")</f>
        <v>date</v>
      </c>
      <c r="BZ10" s="5" t="str">
        <f>IFERROR(__xludf.DUMMYFUNCTION("""COMPUTED_VALUE"""),"summary")</f>
        <v>summary</v>
      </c>
      <c r="CB10" s="5" t="str">
        <f>IFERROR(__xludf.DUMMYFUNCTION("QUERY(INDIRECT($B$2&amp;""!$A$1:$F""), ""SELECT C, F WHERE D = """""" &amp; CB9 &amp; """""""")"),"date")</f>
        <v>date</v>
      </c>
      <c r="CC10" s="5" t="str">
        <f>IFERROR(__xludf.DUMMYFUNCTION("""COMPUTED_VALUE"""),"summary")</f>
        <v>summary</v>
      </c>
      <c r="CE10" s="5" t="str">
        <f>IFERROR(__xludf.DUMMYFUNCTION("QUERY(INDIRECT($B$2&amp;""!$A$1:$F""), ""SELECT C, F WHERE D = """""" &amp; CE9 &amp; """""""")"),"date")</f>
        <v>date</v>
      </c>
      <c r="CF10" s="5" t="str">
        <f>IFERROR(__xludf.DUMMYFUNCTION("""COMPUTED_VALUE"""),"summary")</f>
        <v>summary</v>
      </c>
      <c r="CH10" s="5" t="str">
        <f>IFERROR(__xludf.DUMMYFUNCTION("QUERY(INDIRECT($B$2&amp;""!$A$1:$F""), ""SELECT C, F WHERE D = """""" &amp; CH9 &amp; """""""")"),"date")</f>
        <v>date</v>
      </c>
      <c r="CI10" s="5" t="str">
        <f>IFERROR(__xludf.DUMMYFUNCTION("""COMPUTED_VALUE"""),"summary")</f>
        <v>summary</v>
      </c>
      <c r="CK10" s="5" t="str">
        <f>IFERROR(__xludf.DUMMYFUNCTION("QUERY(INDIRECT($B$2&amp;""!$A$1:$F""), ""SELECT C, F WHERE D = """""" &amp; CK9 &amp; """""""")"),"date")</f>
        <v>date</v>
      </c>
      <c r="CL10" s="5" t="str">
        <f>IFERROR(__xludf.DUMMYFUNCTION("""COMPUTED_VALUE"""),"summary")</f>
        <v>summary</v>
      </c>
      <c r="CN10" s="5" t="str">
        <f>IFERROR(__xludf.DUMMYFUNCTION("QUERY(INDIRECT($B$2&amp;""!$A$1:$F""), ""SELECT C, F WHERE D = """""" &amp; CN9 &amp; """""""")"),"date")</f>
        <v>date</v>
      </c>
      <c r="CO10" s="5" t="str">
        <f>IFERROR(__xludf.DUMMYFUNCTION("""COMPUTED_VALUE"""),"summary")</f>
        <v>summary</v>
      </c>
      <c r="CQ10" s="5" t="str">
        <f>IFERROR(__xludf.DUMMYFUNCTION("QUERY(INDIRECT($B$2&amp;""!$A$1:$F""), ""SELECT C, F WHERE D = """""" &amp; CQ9 &amp; """""""")"),"date")</f>
        <v>date</v>
      </c>
      <c r="CR10" s="5" t="str">
        <f>IFERROR(__xludf.DUMMYFUNCTION("""COMPUTED_VALUE"""),"summary")</f>
        <v>summary</v>
      </c>
    </row>
    <row r="11">
      <c r="A11" s="19" t="s">
        <v>15</v>
      </c>
      <c r="B11" s="19" t="s">
        <v>37</v>
      </c>
      <c r="C11" s="30">
        <f>IFERROR(__xludf.DUMMYFUNCTION("SUM(FILTER($E4:DF4, (COLUMN($E4:DF4)) / 3 = ROUND((COLUMN($E4:DF4)) / 3), NOT(ISERROR($E4:DF4))))"),7.0)</f>
        <v>7</v>
      </c>
      <c r="D11" s="26">
        <f t="shared" si="63"/>
        <v>0.08235294118</v>
      </c>
      <c r="E11" s="40">
        <f>IFERROR(__xludf.DUMMYFUNCTION("""COMPUTED_VALUE"""),44038.61822916666)</f>
        <v>44038.61823</v>
      </c>
      <c r="F11" s="5" t="str">
        <f>IFERROR(__xludf.DUMMYFUNCTION("""COMPUTED_VALUE"""),"10 minutes to kick off #LEIMUN #GGMU. Counting down to kick-off ⏳. #MUFC #LEIMUN.")</f>
        <v>10 minutes to kick off #LEIMUN #GGMU. Counting down to kick-off ⏳. #MUFC #LEIMUN.</v>
      </c>
      <c r="G11" s="5"/>
      <c r="H11" s="40">
        <f>IFERROR(__xludf.DUMMYFUNCTION("""COMPUTED_VALUE"""),44038.62195601852)</f>
        <v>44038.62196</v>
      </c>
      <c r="I11" s="5" t="str">
        <f>IFERROR(__xludf.DUMMYFUNCTION("""COMPUTED_VALUE"""),"United fans just doing the acting you know leicester arn’t winning without 4 main players🥱. Who else knows it's a must for Manchester United to win Leicester City 😍😍💪💪💪. Final preparations for #LEIMUN ✔️. We know what we need to do ✊. #MUFC. Final p"&amp;"reparation. #LEIMUN.")</f>
        <v>United fans just doing the acting you know leicester arn’t winning without 4 main players🥱. Who else knows it's a must for Manchester United to win Leicester City 😍😍💪💪💪. Final preparations for #LEIMUN ✔️. We know what we need to do ✊. #MUFC. Final preparation. #LEIMUN.</v>
      </c>
      <c r="J11" s="5"/>
      <c r="K11" s="40">
        <f>IFERROR(__xludf.DUMMYFUNCTION("""COMPUTED_VALUE"""),44038.62210648148)</f>
        <v>44038.62211</v>
      </c>
      <c r="L11" s="5" t="str">
        <f>IFERROR(__xludf.DUMMYFUNCTION("""COMPUTED_VALUE"""),"Final preparations for #LEIMUN ✔️. We know what we need to do ✊. #MUFC.")</f>
        <v>Final preparations for #LEIMUN ✔️. We know what we need to do ✊. #MUFC.</v>
      </c>
      <c r="M11" s="5"/>
      <c r="N11" s="40">
        <f>IFERROR(__xludf.DUMMYFUNCTION("""COMPUTED_VALUE"""),44038.62709490741)</f>
        <v>44038.62709</v>
      </c>
      <c r="O11" s="5" t="str">
        <f>IFERROR(__xludf.DUMMYFUNCTION("""COMPUTED_VALUE"""),"Martial what was that dive?😂😂😂. Manchester diving United. Easy o. Martial diving course he try and get the softest penalty VAR will ever give #LCFC. Hei dont dive ! #LEIMUN. That Martial dive, LOL, absolute cheats of a team, needs a yellow. Offside asi"&amp;"de what a dive by Martial.")</f>
        <v>Martial what was that dive?😂😂😂. Manchester diving United. Easy o. Martial diving course he try and get the softest penalty VAR will ever give #LCFC. Hei dont dive ! #LEIMUN. That Martial dive, LOL, absolute cheats of a team, needs a yellow. Offside aside what a dive by Martial.</v>
      </c>
      <c r="P11" s="39" t="s">
        <v>18</v>
      </c>
      <c r="Q11" s="40">
        <f>IFERROR(__xludf.DUMMYFUNCTION("""COMPUTED_VALUE"""),44038.63076388889)</f>
        <v>44038.63076</v>
      </c>
      <c r="R11" s="5" t="str">
        <f>IFERROR(__xludf.DUMMYFUNCTION("""COMPUTED_VALUE"""),"Pogba better not be stupid and lose balls today. Pogba for the love of God stop taking a billion touches. Sometimes it's ok to give the simple pass Pogba. Pogba shouldn’t start those things today. Had a very easy outlet pass out wide and gave it away need"&amp;"lessly smh.")</f>
        <v>Pogba better not be stupid and lose balls today. Pogba for the love of God stop taking a billion touches. Sometimes it's ok to give the simple pass Pogba. Pogba shouldn’t start those things today. Had a very easy outlet pass out wide and gave it away needlessly smh.</v>
      </c>
      <c r="S11" s="39" t="s">
        <v>18</v>
      </c>
      <c r="T11" s="40">
        <f>IFERROR(__xludf.DUMMYFUNCTION("""COMPUTED_VALUE"""),44038.631689814814)</f>
        <v>44038.63169</v>
      </c>
      <c r="U11" s="5" t="str">
        <f>IFERROR(__xludf.DUMMYFUNCTION("""COMPUTED_VALUE"""),"Maguire on a yellow already ffs they’re gonna target him. Thats a bad yellow maguire man, so early in the game. Maguire now at risk for the rest of the game with that yellow 🤦🏾‍♀️. Maguire playing 81 minutes against Vardy on a yellow card.")</f>
        <v>Maguire on a yellow already ffs they’re gonna target him. Thats a bad yellow maguire man, so early in the game. Maguire now at risk for the rest of the game with that yellow 🤦🏾‍♀️. Maguire playing 81 minutes against Vardy on a yellow card.</v>
      </c>
      <c r="V11" s="39" t="s">
        <v>17</v>
      </c>
      <c r="W11" s="40">
        <f>IFERROR(__xludf.DUMMYFUNCTION("""COMPUTED_VALUE"""),44038.63552083333)</f>
        <v>44038.63552</v>
      </c>
      <c r="X11" s="5" t="str">
        <f>IFERROR(__xludf.DUMMYFUNCTION("""COMPUTED_VALUE"""),"Matic I swear to the living Jesus don’t let me fucking slap u. Wallahi I hate Maguire and matic ffs 2 tall dumb fools. Matic mistake ffs!! Matic a true Jose patriot ffs. Ffs Matic! Matic has not been the same since he signed new contract ffs. What did Mat"&amp;"ic do my streams down.")</f>
        <v>Matic I swear to the living Jesus don’t let me fucking slap u. Wallahi I hate Maguire and matic ffs 2 tall dumb fools. Matic mistake ffs!! Matic a true Jose patriot ffs. Ffs Matic! Matic has not been the same since he signed new contract ffs. What did Matic do my streams down.</v>
      </c>
      <c r="Y11" s="39" t="s">
        <v>15</v>
      </c>
      <c r="Z11" s="40">
        <f>IFERROR(__xludf.DUMMYFUNCTION("""COMPUTED_VALUE"""),44038.63615740741)</f>
        <v>44038.63616</v>
      </c>
      <c r="AA11" s="5" t="str">
        <f>IFERROR(__xludf.DUMMYFUNCTION("""COMPUTED_VALUE"""),"Ndidi calm down. That shoulda been the goal. #LEIMUN. Ndidi should have scored that. Ndidi cmon man. That should’ve been a goal! Just get it under the bar there Ndidi, make the keeper make the play, don't give it to him. That was ripe to be put on goal.")</f>
        <v>Ndidi calm down. That shoulda been the goal. #LEIMUN. Ndidi should have scored that. Ndidi cmon man. That should’ve been a goal! Just get it under the bar there Ndidi, make the keeper make the play, don't give it to him. That was ripe to be put on goal.</v>
      </c>
      <c r="AB11" s="39" t="s">
        <v>18</v>
      </c>
      <c r="AC11" s="40">
        <f>IFERROR(__xludf.DUMMYFUNCTION("""COMPUTED_VALUE"""),44038.643055555556)</f>
        <v>44038.64306</v>
      </c>
      <c r="AD11" s="5" t="str">
        <f>IFERROR(__xludf.DUMMYFUNCTION("""COMPUTED_VALUE"""),"Hope vardy's knee knocked some sense into de gea. De Gea needs the season to end more than any other player. Just look De Gea again. What is wrong with my favorite manutd player? 😩😩. De Gea needs to take a year out of something. Please is it too late to"&amp;" take De gea off?")</f>
        <v>Hope vardy's knee knocked some sense into de gea. De Gea needs the season to end more than any other player. Just look De Gea again. What is wrong with my favorite manutd player? 😩😩. De Gea needs to take a year out of something. Please is it too late to take De gea off?</v>
      </c>
      <c r="AE11" s="39" t="s">
        <v>15</v>
      </c>
      <c r="AF11" s="40">
        <f>IFERROR(__xludf.DUMMYFUNCTION("""COMPUTED_VALUE"""),44038.643125)</f>
        <v>44038.64313</v>
      </c>
      <c r="AG11" s="5" t="str">
        <f>IFERROR(__xludf.DUMMYFUNCTION("""COMPUTED_VALUE"""),"WHAT A SAVE DE GEA!!!! David De Gea. Awful keeper. De Gea is a piece of shit excuse for a goalkeeper. De Gea fucking again spilling the ball seriously how can you still defend de gea Jesus fuck. #LEIMUN. De gea doing his best to lose us UCL. De gea is one"&amp;" of the worst keeper😓.")</f>
        <v>WHAT A SAVE DE GEA!!!! David De Gea. Awful keeper. De Gea is a piece of shit excuse for a goalkeeper. De Gea fucking again spilling the ball seriously how can you still defend de gea Jesus fuck. #LEIMUN. De gea doing his best to lose us UCL. De gea is one of the worst keeper😓.</v>
      </c>
      <c r="AH11" s="39" t="s">
        <v>18</v>
      </c>
      <c r="AI11" s="40">
        <f>IFERROR(__xludf.DUMMYFUNCTION("""COMPUTED_VALUE"""),44038.66332175926)</f>
        <v>44038.66332</v>
      </c>
      <c r="AJ11" s="5" t="str">
        <f>IFERROR(__xludf.DUMMYFUNCTION("""COMPUTED_VALUE"""),"I see Leicester winning Man Utd... #LEIMUN. Want Leicester to win now, they deserve it more than Utd. Leicester Vs Man Utd is totally end to to see! Come on Leicester!!! Need Leicester City to score, just want to see the Man Utd fans reaction!!! #LEIMUN.")</f>
        <v>I see Leicester winning Man Utd... #LEIMUN. Want Leicester to win now, they deserve it more than Utd. Leicester Vs Man Utd is totally end to to see! Come on Leicester!!! Need Leicester City to score, just want to see the Man Utd fans reaction!!! #LEIMUN.</v>
      </c>
      <c r="AK11" s="39" t="s">
        <v>16</v>
      </c>
      <c r="AL11" s="40">
        <f>IFERROR(__xludf.DUMMYFUNCTION("""COMPUTED_VALUE"""),44038.67973379629)</f>
        <v>44038.67973</v>
      </c>
      <c r="AM11" s="5" t="str">
        <f>IFERROR(__xludf.DUMMYFUNCTION("""COMPUTED_VALUE"""),"Vardy hits the bar. This game is heating up. Vardy hits the bar. So close😡😡😡😡. Oooooh Vardy hits the wood work. Vardy hit the bar 😭 fuck off man. Vardy has hit bar 😂. This team go kill me walahi. James Vardy hits the crossbar 😳🤬. Come on Leicester"&amp;". Hit the post so close.")</f>
        <v>Vardy hits the bar. This game is heating up. Vardy hits the bar. So close😡😡😡😡. Oooooh Vardy hits the wood work. Vardy hit the bar 😭 fuck off man. Vardy has hit bar 😂. This team go kill me walahi. James Vardy hits the crossbar 😳🤬. Come on Leicester. Hit the post so close.</v>
      </c>
      <c r="AN11" s="39" t="s">
        <v>18</v>
      </c>
      <c r="AO11" s="40"/>
      <c r="AP11" s="5"/>
      <c r="AQ11" s="5"/>
      <c r="AR11" s="40"/>
      <c r="AS11" s="5"/>
      <c r="AT11" s="5"/>
      <c r="AU11" s="40"/>
      <c r="AV11" s="5"/>
      <c r="AW11" s="5"/>
      <c r="AX11" s="40"/>
      <c r="AY11" s="5"/>
      <c r="AZ11" s="5"/>
      <c r="BA11" s="40"/>
      <c r="BB11" s="5"/>
      <c r="BC11" s="5"/>
      <c r="BD11" s="40"/>
      <c r="BE11" s="5"/>
      <c r="BF11" s="5"/>
      <c r="BG11" s="40"/>
      <c r="BH11" s="5"/>
      <c r="BI11" s="5"/>
      <c r="BJ11" s="40"/>
      <c r="BK11" s="5"/>
      <c r="BL11" s="5"/>
      <c r="BM11" s="40"/>
      <c r="BN11" s="5"/>
      <c r="BO11" s="5"/>
      <c r="BP11" s="40"/>
      <c r="BQ11" s="5"/>
      <c r="BR11" s="5"/>
      <c r="BS11" s="40"/>
      <c r="BT11" s="5"/>
      <c r="BU11" s="5"/>
      <c r="BV11" s="40"/>
      <c r="BW11" s="5"/>
      <c r="BX11" s="5"/>
      <c r="BY11" s="40"/>
      <c r="BZ11" s="5"/>
      <c r="CA11" s="5"/>
      <c r="CB11" s="40"/>
      <c r="CC11" s="5"/>
      <c r="CD11" s="5"/>
      <c r="CE11" s="40"/>
      <c r="CF11" s="5"/>
      <c r="CG11" s="5"/>
      <c r="CH11" s="40"/>
      <c r="CI11" s="5"/>
      <c r="CJ11" s="5"/>
      <c r="CK11" s="40"/>
      <c r="CL11" s="5"/>
      <c r="CM11" s="5"/>
      <c r="CN11" s="40"/>
      <c r="CO11" s="5"/>
      <c r="CP11" s="5"/>
      <c r="CQ11" s="40"/>
      <c r="CR11" s="5"/>
      <c r="CS11" s="5"/>
      <c r="CT11" s="5"/>
      <c r="CU11" s="5"/>
      <c r="CV11" s="5"/>
      <c r="CW11" s="5"/>
      <c r="CX11" s="5"/>
      <c r="CY11" s="5"/>
      <c r="CZ11" s="5"/>
      <c r="DA11" s="5"/>
      <c r="DB11" s="5"/>
      <c r="DC11" s="5"/>
      <c r="DD11" s="5"/>
      <c r="DE11" s="5"/>
      <c r="DF11" s="5"/>
    </row>
    <row r="12">
      <c r="A12" s="19" t="s">
        <v>16</v>
      </c>
      <c r="B12" s="19" t="s">
        <v>38</v>
      </c>
      <c r="C12" s="30">
        <f>IFERROR(__xludf.DUMMYFUNCTION("SUM(FILTER($E5:DF5, (COLUMN($E5:DF5)) / 3 = ROUND((COLUMN($E5:DF5)) / 3), NOT(ISERROR($E5:DF5))))"),14.0)</f>
        <v>14</v>
      </c>
      <c r="D12" s="26">
        <f t="shared" si="63"/>
        <v>0.1647058824</v>
      </c>
      <c r="E12" s="40">
        <f>IFERROR(__xludf.DUMMYFUNCTION("""COMPUTED_VALUE"""),44038.68069444444)</f>
        <v>44038.68069</v>
      </c>
      <c r="F12" s="5" t="str">
        <f>IFERROR(__xludf.DUMMYFUNCTION("""COMPUTED_VALUE"""),"That’s it Dave just let the ball bobble out 🤦🏽‍♂️ Leicester corner #LEIMUN #United. De Gea let that go out for a corner?😂😂. Fcuking DeGea really let that roll out for a corner! #MUFC #LEIMUN. Brandon Williams is tracking Wes Morgan on corners. Okay th"&amp;"en. #LEIMUN.")</f>
        <v>That’s it Dave just let the ball bobble out 🤦🏽‍♂️ Leicester corner #LEIMUN #United. De Gea let that go out for a corner?😂😂. Fcuking DeGea really let that roll out for a corner! #MUFC #LEIMUN. Brandon Williams is tracking Wes Morgan on corners. Okay then. #LEIMUN.</v>
      </c>
      <c r="G12" s="39" t="s">
        <v>18</v>
      </c>
      <c r="H12" s="40">
        <f>IFERROR(__xludf.DUMMYFUNCTION("""COMPUTED_VALUE"""),44038.62354166667)</f>
        <v>44038.62354</v>
      </c>
      <c r="I12" s="5" t="str">
        <f>IFERROR(__xludf.DUMMYFUNCTION("""COMPUTED_VALUE"""),"Leicester with two strikers just to win man u #LEIMUN. Hoping for Leicester v United as a draw and Wolves win🤤. Finally finally dem come reach King power 😹... Leicester city we move.. Win win 😂😂😂. Chelsea to win. Leicester to win. Do it lord🙏🏿.")</f>
        <v>Leicester with two strikers just to win man u #LEIMUN. Hoping for Leicester v United as a draw and Wolves win🤤. Finally finally dem come reach King power 😹... Leicester city we move.. Win win 😂😂😂. Chelsea to win. Leicester to win. Do it lord🙏🏿.</v>
      </c>
      <c r="J12" s="5"/>
      <c r="K12" s="40">
        <f>IFERROR(__xludf.DUMMYFUNCTION("""COMPUTED_VALUE"""),44038.632314814815)</f>
        <v>44038.63231</v>
      </c>
      <c r="L12" s="5" t="str">
        <f>IFERROR(__xludf.DUMMYFUNCTION("""COMPUTED_VALUE"""),"Hopefully Maguire gets a second yellow. Really there was no need for a tackle from Maguire. Maguire needs to hold kelechi's slippers. Maguire, dead was that, not needed at all. Harry Maguire is booked for a foul on the half way line. Maguire needs to be c"&amp;"areful #LEIMUN.")</f>
        <v>Hopefully Maguire gets a second yellow. Really there was no need for a tackle from Maguire. Maguire needs to hold kelechi's slippers. Maguire, dead was that, not needed at all. Harry Maguire is booked for a foul on the half way line. Maguire needs to be careful #LEIMUN.</v>
      </c>
      <c r="M12" s="39" t="s">
        <v>17</v>
      </c>
      <c r="N12" s="40">
        <f>IFERROR(__xludf.DUMMYFUNCTION("""COMPUTED_VALUE"""),44038.631793981476)</f>
        <v>44038.63179</v>
      </c>
      <c r="O12" s="5" t="str">
        <f>IFERROR(__xludf.DUMMYFUNCTION("""COMPUTED_VALUE"""),"Maguire lool should be a red ref. Maguire that was so so stupid. No need to be diving in like that. Lot of pressure the rest of the game now. Maguire the fridge is going to give away a penalty this game #MUFC. Maguire booked so early on and for what?")</f>
        <v>Maguire lool should be a red ref. Maguire that was so so stupid. No need to be diving in like that. Lot of pressure the rest of the game now. Maguire the fridge is going to give away a penalty this game #MUFC. Maguire booked so early on and for what?</v>
      </c>
      <c r="P12" s="39" t="s">
        <v>17</v>
      </c>
      <c r="Q12" s="40">
        <f>IFERROR(__xludf.DUMMYFUNCTION("""COMPUTED_VALUE"""),44038.63329861111)</f>
        <v>44038.6333</v>
      </c>
      <c r="R12" s="5" t="str">
        <f>IFERROR(__xludf.DUMMYFUNCTION("""COMPUTED_VALUE"""),"I don’t think rashford or pogba have actually strung a pass in the first 10mins. Wake up. How tf is Rashford’s long range passing so good post lockdown. I can’t lie that was a good ball from rashford. Rashford why you so deep hog the touch like come on ma"&amp;"n!")</f>
        <v>I don’t think rashford or pogba have actually strung a pass in the first 10mins. Wake up. How tf is Rashford’s long range passing so good post lockdown. I can’t lie that was a good ball from rashford. Rashford why you so deep hog the touch like come on man!</v>
      </c>
      <c r="S12" s="39" t="s">
        <v>18</v>
      </c>
      <c r="T12" s="40">
        <f>IFERROR(__xludf.DUMMYFUNCTION("""COMPUTED_VALUE"""),44038.645520833335)</f>
        <v>44038.64552</v>
      </c>
      <c r="U12" s="5" t="str">
        <f>IFERROR(__xludf.DUMMYFUNCTION("""COMPUTED_VALUE"""),"Maguire shirt tugging. I said earlier he’ll get a red card. Maguire forgets he is on a yellow 😂. Maguire wants us out of the champions league. He's definitely looking for a red card. Makgowa ke masepa. Maguire will see red today 🤞🏿. Maguire have a seri"&amp;"ous dribbling problem.")</f>
        <v>Maguire shirt tugging. I said earlier he’ll get a red card. Maguire forgets he is on a yellow 😂. Maguire wants us out of the champions league. He's definitely looking for a red card. Makgowa ke masepa. Maguire will see red today 🤞🏿. Maguire have a serious dribbling problem.</v>
      </c>
      <c r="V12" s="39" t="s">
        <v>18</v>
      </c>
      <c r="W12" s="40">
        <f>IFERROR(__xludf.DUMMYFUNCTION("""COMPUTED_VALUE"""),44038.68697916667)</f>
        <v>44038.68698</v>
      </c>
      <c r="X12" s="5" t="str">
        <f>IFERROR(__xludf.DUMMYFUNCTION("""COMPUTED_VALUE"""),"Real Madrid 🤝 Manchester United. Getting free pens. Bruno Fernandes with another pen we can't beat this guy ffs. Gol do Manchester United 🤦🏾‍♂️. GOAL! Leicester City 0-1 Manchester United (Fernandes pen 64). Watch #LEIMUN live on Sky Sports Main Event "&amp;"or follow it here 👇.")</f>
        <v>Real Madrid 🤝 Manchester United. Getting free pens. Bruno Fernandes with another pen we can't beat this guy ffs. Gol do Manchester United 🤦🏾‍♂️. GOAL! Leicester City 0-1 Manchester United (Fernandes pen 64). Watch #LEIMUN live on Sky Sports Main Event or follow it here 👇.</v>
      </c>
      <c r="Y12" s="39" t="s">
        <v>17</v>
      </c>
      <c r="Z12" s="40">
        <f>IFERROR(__xludf.DUMMYFUNCTION("""COMPUTED_VALUE"""),44038.64282407408)</f>
        <v>44038.64282</v>
      </c>
      <c r="AA12" s="5" t="str">
        <f>IFERROR(__xludf.DUMMYFUNCTION("""COMPUTED_VALUE"""),"De Gea ik it was offsides but that save was abysmal that could have cost us Champions League. Eeii so De Gea that ball no be offside anka what we go do...? Char the man for sit up oo. We no dey joke for here... Offside but how about that for a pass from P"&amp;"ogba to find Bruno 🔥🔥.")</f>
        <v>De Gea ik it was offsides but that save was abysmal that could have cost us Champions League. Eeii so De Gea that ball no be offside anka what we go do...? Char the man for sit up oo. We no dey joke for here... Offside but how about that for a pass from Pogba to find Bruno 🔥🔥.</v>
      </c>
      <c r="AB12" s="39" t="s">
        <v>18</v>
      </c>
      <c r="AC12" s="40">
        <f>IFERROR(__xludf.DUMMYFUNCTION("""COMPUTED_VALUE"""),44038.654594907406)</f>
        <v>44038.65459</v>
      </c>
      <c r="AD12" s="5" t="str">
        <f>IFERROR(__xludf.DUMMYFUNCTION("""COMPUTED_VALUE"""),"Rashford man you need to take that. Naa rashford’s taking the piss today. #rashford Best player ever 👏 😏😏😏. No time to carry players and Rashford has been terrible so far. Rashford isnt the player united fans think he is. Rashford is the MOST overrate"&amp;"d player in EPL.")</f>
        <v>Rashford man you need to take that. Naa rashford’s taking the piss today. #rashford Best player ever 👏 😏😏😏. No time to carry players and Rashford has been terrible so far. Rashford isnt the player united fans think he is. Rashford is the MOST overrated player in EPL.</v>
      </c>
      <c r="AE12" s="39" t="s">
        <v>16</v>
      </c>
      <c r="AF12" s="40">
        <f>IFERROR(__xludf.DUMMYFUNCTION("""COMPUTED_VALUE"""),44038.65822916667)</f>
        <v>44038.65823</v>
      </c>
      <c r="AG12" s="5" t="str">
        <f>IFERROR(__xludf.DUMMYFUNCTION("""COMPUTED_VALUE"""),"Rashford’s effort saved. What a save from Schmeichel. Greenwood will save the day. What a save! Leicester 💙. #LEIMUN EPLFinal Day. What a save ! (Leicester) Lol how did the keeper save that shot from Rashford. Great save to stop Rashford! Good save that "&amp;"from kasper #LEIMUN.")</f>
        <v>Rashford’s effort saved. What a save from Schmeichel. Greenwood will save the day. What a save! Leicester 💙. #LEIMUN EPLFinal Day. What a save ! (Leicester) Lol how did the keeper save that shot from Rashford. Great save to stop Rashford! Good save that from kasper #LEIMUN.</v>
      </c>
      <c r="AH12" s="39" t="s">
        <v>18</v>
      </c>
      <c r="AI12" s="40">
        <f>IFERROR(__xludf.DUMMYFUNCTION("""COMPUTED_VALUE"""),44038.66474537037)</f>
        <v>44038.66475</v>
      </c>
      <c r="AJ12" s="5" t="str">
        <f>IFERROR(__xludf.DUMMYFUNCTION("""COMPUTED_VALUE"""),"Battle for the top four as it stands: 3️⃣ Chelsea - 66 points. 4️⃣ Man Utd - 64 points. --------- 5️⃣ Leicester - 63 points.")</f>
        <v>Battle for the top four as it stands: 3️⃣ Chelsea - 66 points. 4️⃣ Man Utd - 64 points. --------- 5️⃣ Leicester - 63 points.</v>
      </c>
      <c r="AK12" s="39" t="s">
        <v>18</v>
      </c>
      <c r="AN12" s="5"/>
      <c r="AO12" s="40"/>
      <c r="AP12" s="5"/>
      <c r="AQ12" s="5"/>
      <c r="AR12" s="40"/>
      <c r="AS12" s="5"/>
      <c r="AT12" s="5"/>
      <c r="AU12" s="40"/>
      <c r="AV12" s="5"/>
      <c r="AW12" s="5"/>
      <c r="AX12" s="40"/>
      <c r="AY12" s="5"/>
      <c r="AZ12" s="5"/>
      <c r="BA12" s="40"/>
      <c r="BB12" s="5"/>
      <c r="BC12" s="5"/>
      <c r="BD12" s="40"/>
      <c r="BE12" s="5"/>
      <c r="BF12" s="5"/>
      <c r="BG12" s="40"/>
      <c r="BH12" s="5"/>
      <c r="BI12" s="5"/>
      <c r="BJ12" s="40"/>
      <c r="BK12" s="5"/>
      <c r="BL12" s="5"/>
      <c r="BM12" s="40"/>
      <c r="BN12" s="5"/>
      <c r="BO12" s="5"/>
      <c r="BP12" s="40"/>
      <c r="BQ12" s="5"/>
      <c r="BR12" s="5"/>
      <c r="BS12" s="40"/>
      <c r="BT12" s="5"/>
      <c r="BU12" s="5"/>
      <c r="BV12" s="40"/>
      <c r="BW12" s="5"/>
      <c r="BX12" s="5"/>
      <c r="BY12" s="40"/>
      <c r="BZ12" s="5"/>
      <c r="CA12" s="5"/>
      <c r="CB12" s="40"/>
      <c r="CC12" s="5"/>
      <c r="CD12" s="5"/>
      <c r="CE12" s="40"/>
      <c r="CF12" s="5"/>
      <c r="CG12" s="5"/>
      <c r="CH12" s="40"/>
      <c r="CI12" s="5"/>
      <c r="CJ12" s="5"/>
      <c r="CK12" s="40"/>
      <c r="CL12" s="5"/>
      <c r="CM12" s="5"/>
      <c r="CN12" s="40"/>
      <c r="CO12" s="5"/>
      <c r="CP12" s="5"/>
      <c r="CQ12" s="40"/>
      <c r="CR12" s="5"/>
      <c r="CS12" s="5"/>
      <c r="CT12" s="5"/>
      <c r="CU12" s="5"/>
      <c r="CV12" s="5"/>
      <c r="CW12" s="5"/>
      <c r="CX12" s="5"/>
      <c r="CY12" s="5"/>
      <c r="CZ12" s="5"/>
      <c r="DA12" s="5"/>
      <c r="DB12" s="5"/>
      <c r="DC12" s="5"/>
      <c r="DD12" s="5"/>
      <c r="DE12" s="5"/>
      <c r="DF12" s="5"/>
    </row>
    <row r="13">
      <c r="A13" s="19" t="s">
        <v>17</v>
      </c>
      <c r="B13" s="19" t="s">
        <v>39</v>
      </c>
      <c r="C13" s="30">
        <f>IFERROR(__xludf.DUMMYFUNCTION("SUM(FILTER($E6:DF6, (COLUMN($E6:DF6)) / 3 = ROUND((COLUMN($E6:DF6)) / 3), NOT(ISERROR($E6:DF6))))"),26.0)</f>
        <v>26</v>
      </c>
      <c r="D13" s="26">
        <f t="shared" si="63"/>
        <v>0.3058823529</v>
      </c>
      <c r="E13" s="40">
        <f>IFERROR(__xludf.DUMMYFUNCTION("""COMPUTED_VALUE"""),44038.69621527778)</f>
        <v>44038.69622</v>
      </c>
      <c r="F13" s="5" t="str">
        <f>IFERROR(__xludf.DUMMYFUNCTION("""COMPUTED_VALUE"""),"Score this free kick Leicester. Pogba clumsy in possession again and nearly cost utd a goal. And now a free kick in a threatening position 😭😭😭. Maguire giving away a free kick right infront of the box, in this dying minute, is everything you need to kn"&amp;"ow about him.")</f>
        <v>Score this free kick Leicester. Pogba clumsy in possession again and nearly cost utd a goal. And now a free kick in a threatening position 😭😭😭. Maguire giving away a free kick right infront of the box, in this dying minute, is everything you need to know about him.</v>
      </c>
      <c r="G13" s="39" t="s">
        <v>18</v>
      </c>
      <c r="H13" s="40">
        <f>IFERROR(__xludf.DUMMYFUNCTION("""COMPUTED_VALUE"""),44038.63984953704)</f>
        <v>44038.63985</v>
      </c>
      <c r="I13" s="5" t="str">
        <f>IFERROR(__xludf.DUMMYFUNCTION("""COMPUTED_VALUE"""),"Maguire can’t be a real footballer 😭. Well if United get champions league they won’t be getting far with Maguire CB, fraud is an understatement. See maguire. And someone genuinely believes his top 3 cb’s in the league. Maguire is gonna win us this game.")</f>
        <v>Maguire can’t be a real footballer 😭. Well if United get champions league they won’t be getting far with Maguire CB, fraud is an understatement. See maguire. And someone genuinely believes his top 3 cb’s in the league. Maguire is gonna win us this game.</v>
      </c>
      <c r="J13" s="39" t="s">
        <v>16</v>
      </c>
      <c r="K13" s="40">
        <f>IFERROR(__xludf.DUMMYFUNCTION("""COMPUTED_VALUE"""),44038.64277777778)</f>
        <v>44038.64278</v>
      </c>
      <c r="L13" s="5" t="str">
        <f>IFERROR(__xludf.DUMMYFUNCTION("""COMPUTED_VALUE"""),"Ok so you're telling me that Manchester United's second choice goalie is worse than David De Gea??? I'm considering subbing off de gea and Maguire. De gea needs to wake the fuck up. De Gea needs to be put down. #LEIMUN De Gea needs to stop playing with me"&amp;" fr.")</f>
        <v>Ok so you're telling me that Manchester United's second choice goalie is worse than David De Gea??? I'm considering subbing off de gea and Maguire. De gea needs to wake the fuck up. De Gea needs to be put down. #LEIMUN De Gea needs to stop playing with me fr.</v>
      </c>
      <c r="M13" s="39" t="s">
        <v>16</v>
      </c>
      <c r="N13" s="40">
        <f>IFERROR(__xludf.DUMMYFUNCTION("""COMPUTED_VALUE"""),44038.671006944445)</f>
        <v>44038.67101</v>
      </c>
      <c r="O13" s="5" t="str">
        <f>IFERROR(__xludf.DUMMYFUNCTION("""COMPUTED_VALUE"""),"That's a clear penalty for Martial #LEIMUN. This martial go dey dive. Why is Martial looking for a Penalty nah? Thats a diving from martial. What a pass that is from Matic into Martial. Martial goes down under pressure but never a penalty there. How’s tha"&amp;"t not a pen on martial.")</f>
        <v>That's a clear penalty for Martial #LEIMUN. This martial go dey dive. Why is Martial looking for a Penalty nah? Thats a diving from martial. What a pass that is from Matic into Martial. Martial goes down under pressure but never a penalty there. How’s that not a pen on martial.</v>
      </c>
      <c r="P13" s="39" t="s">
        <v>18</v>
      </c>
      <c r="Q13" s="40">
        <f>IFERROR(__xludf.DUMMYFUNCTION("""COMPUTED_VALUE"""),44038.63550925926)</f>
        <v>44038.63551</v>
      </c>
      <c r="R13" s="5" t="str">
        <f>IFERROR(__xludf.DUMMYFUNCTION("""COMPUTED_VALUE"""),"Terrible from the CBs and Matic again. Time and time again they are appalling at passing from the back. A chronic problem. What was that by Matic? In the box all you do is get the ball out. Matic sometimes need to look where he is passing 😳😳😳😳.")</f>
        <v>Terrible from the CBs and Matic again. Time and time again they are appalling at passing from the back. A chronic problem. What was that by Matic? In the box all you do is get the ball out. Matic sometimes need to look where he is passing 😳😳😳😳.</v>
      </c>
      <c r="S13" s="39" t="s">
        <v>18</v>
      </c>
      <c r="T13" s="40">
        <f>IFERROR(__xludf.DUMMYFUNCTION("""COMPUTED_VALUE"""),44038.67766203704)</f>
        <v>44038.67766</v>
      </c>
      <c r="U13" s="5" t="str">
        <f>IFERROR(__xludf.DUMMYFUNCTION("""COMPUTED_VALUE"""),"Keep. Fighting. Reds. 😤. #MUFC #LEIMUN.")</f>
        <v>Keep. Fighting. Reds. 😤. #MUFC #LEIMUN.</v>
      </c>
      <c r="V13" s="39" t="s">
        <v>15</v>
      </c>
      <c r="W13" s="40">
        <f>IFERROR(__xludf.DUMMYFUNCTION("""COMPUTED_VALUE"""),44038.69131944445)</f>
        <v>44038.69132</v>
      </c>
      <c r="X13" s="5" t="str">
        <f>IFERROR(__xludf.DUMMYFUNCTION("""COMPUTED_VALUE"""),"Lingard ffs. 😂😂. Lingard coming on. FFS. I think Olé doesn’t want us to qualify with ease. #LEIMUN #MUFC. Ffs was just saying we need to make subs, but having Lingard come in wasn't what I had in mind. Need Ighalo and James. Why am I seeing Jesse Lingar"&amp;"d on my screen ffs.")</f>
        <v>Lingard ffs. 😂😂. Lingard coming on. FFS. I think Olé doesn’t want us to qualify with ease. #LEIMUN #MUFC. Ffs was just saying we need to make subs, but having Lingard come in wasn't what I had in mind. Need Ighalo and James. Why am I seeing Jesse Lingard on my screen ffs.</v>
      </c>
      <c r="Y13" s="39" t="s">
        <v>17</v>
      </c>
      <c r="Z13" s="40">
        <f>IFERROR(__xludf.DUMMYFUNCTION("""COMPUTED_VALUE"""),44038.649259259255)</f>
        <v>44038.64926</v>
      </c>
      <c r="AA13" s="5" t="str">
        <f>IFERROR(__xludf.DUMMYFUNCTION("""COMPUTED_VALUE"""),"What a goal that would have been, Leicester sitting so deep. Vardy might not get golden boot unless he scores now. Aubameyang one more goal and he will be equal to Vardy's 23 goals. Auba needs one more goal to be on par with vardy? cmon lad.")</f>
        <v>What a goal that would have been, Leicester sitting so deep. Vardy might not get golden boot unless he scores now. Aubameyang one more goal and he will be equal to Vardy's 23 goals. Auba needs one more goal to be on par with vardy? cmon lad.</v>
      </c>
      <c r="AB13" s="39" t="s">
        <v>18</v>
      </c>
      <c r="AC13" s="40">
        <f>IFERROR(__xludf.DUMMYFUNCTION("""COMPUTED_VALUE"""),44038.659733796296)</f>
        <v>44038.65973</v>
      </c>
      <c r="AD13" s="5" t="str">
        <f>IFERROR(__xludf.DUMMYFUNCTION("""COMPUTED_VALUE"""),"Vardy u crackhead im on my KNEES. On my knees Leicester now. Leicester I’m on my knees. Nah Leicester need to do the job on my KNEES. Leicester... I. Am. On. My. Knees. PLEASE.")</f>
        <v>Vardy u crackhead im on my KNEES. On my knees Leicester now. Leicester I’m on my knees. Nah Leicester need to do the job on my KNEES. Leicester... I. Am. On. My. Knees. PLEASE.</v>
      </c>
      <c r="AE13" s="39" t="s">
        <v>16</v>
      </c>
      <c r="AF13" s="40">
        <f>IFERROR(__xludf.DUMMYFUNCTION("""COMPUTED_VALUE"""),44038.69010416667)</f>
        <v>44038.6901</v>
      </c>
      <c r="AG13" s="5" t="str">
        <f>IFERROR(__xludf.DUMMYFUNCTION("""COMPUTED_VALUE"""),"De gea of the best of bests. De Gea my keeper🤩🤩🤩🤩🤩. Jir nice save de gea. 75’ De Gea what a save! #LEIMUN. De Gea my best pal. Can De Gea act like he's a goalkeeper now?? 😭😭. We've made a triple-substitution 🔄. Barnes almost made an immediate impa"&amp;"ct, but De Gea saves. Lei Mun.")</f>
        <v>De gea of the best of bests. De Gea my keeper🤩🤩🤩🤩🤩. Jir nice save de gea. 75’ De Gea what a save! #LEIMUN. De Gea my best pal. Can De Gea act like he's a goalkeeper now?? 😭😭. We've made a triple-substitution 🔄. Barnes almost made an immediate impact, but De Gea saves. Lei Mun.</v>
      </c>
      <c r="AH13" s="39" t="s">
        <v>15</v>
      </c>
      <c r="AI13" s="40">
        <f>IFERROR(__xludf.DUMMYFUNCTION("""COMPUTED_VALUE"""),44038.685486111106)</f>
        <v>44038.68549</v>
      </c>
      <c r="AJ13" s="5" t="str">
        <f>IFERROR(__xludf.DUMMYFUNCTION("""COMPUTED_VALUE"""),"Utd penalty Martial foiled Evans yellow. Penalty to Utd!🙌 #LEIMUN. VAR officials have just confirmed that Man Utd will get a penalty each in both halves of the game against Leicester City today. Of course, as soon as I cheer on for Leicester.. penalty is"&amp;" given to Man Utd.")</f>
        <v>Utd penalty Martial foiled Evans yellow. Penalty to Utd!🙌 #LEIMUN. VAR officials have just confirmed that Man Utd will get a penalty each in both halves of the game against Leicester City today. Of course, as soon as I cheer on for Leicester.. penalty is given to Man Utd.</v>
      </c>
      <c r="AK13" s="39" t="s">
        <v>17</v>
      </c>
      <c r="AN13" s="5"/>
      <c r="AO13" s="40"/>
      <c r="AP13" s="5"/>
      <c r="AQ13" s="5"/>
      <c r="AR13" s="40"/>
      <c r="AS13" s="5"/>
      <c r="AT13" s="5"/>
      <c r="AU13" s="40"/>
      <c r="AV13" s="5"/>
      <c r="AW13" s="5"/>
      <c r="AX13" s="40"/>
      <c r="AY13" s="5"/>
      <c r="AZ13" s="5"/>
      <c r="BA13" s="40"/>
      <c r="BB13" s="5"/>
      <c r="BC13" s="5"/>
      <c r="BD13" s="40"/>
      <c r="BE13" s="5"/>
      <c r="BF13" s="5"/>
      <c r="BG13" s="40"/>
      <c r="BH13" s="5"/>
      <c r="BI13" s="5"/>
      <c r="BJ13" s="40"/>
      <c r="BK13" s="5"/>
      <c r="BL13" s="5"/>
      <c r="BM13" s="40"/>
      <c r="BN13" s="5"/>
      <c r="BO13" s="5"/>
      <c r="BP13" s="40"/>
      <c r="BQ13" s="5"/>
      <c r="BR13" s="5"/>
      <c r="BS13" s="40"/>
      <c r="BT13" s="5"/>
      <c r="BU13" s="5"/>
      <c r="BV13" s="40"/>
      <c r="BW13" s="5"/>
      <c r="BX13" s="5"/>
      <c r="BY13" s="40"/>
      <c r="BZ13" s="5"/>
      <c r="CA13" s="5"/>
      <c r="CB13" s="40"/>
      <c r="CC13" s="5"/>
      <c r="CD13" s="5"/>
      <c r="CE13" s="40"/>
      <c r="CF13" s="5"/>
      <c r="CG13" s="5"/>
      <c r="CH13" s="40"/>
      <c r="CI13" s="5"/>
      <c r="CJ13" s="5"/>
      <c r="CK13" s="40"/>
      <c r="CL13" s="5"/>
      <c r="CM13" s="5"/>
      <c r="CN13" s="40"/>
      <c r="CO13" s="5"/>
      <c r="CP13" s="5"/>
      <c r="CQ13" s="40"/>
      <c r="CR13" s="5"/>
      <c r="CS13" s="5"/>
      <c r="CT13" s="5"/>
      <c r="CU13" s="5"/>
      <c r="CV13" s="5"/>
      <c r="CW13" s="5"/>
      <c r="CX13" s="5"/>
      <c r="CY13" s="5"/>
      <c r="CZ13" s="5"/>
      <c r="DA13" s="5"/>
      <c r="DB13" s="5"/>
      <c r="DC13" s="5"/>
      <c r="DD13" s="5"/>
      <c r="DE13" s="5"/>
      <c r="DF13" s="5"/>
    </row>
    <row r="14">
      <c r="A14" s="19" t="s">
        <v>18</v>
      </c>
      <c r="B14" s="19" t="s">
        <v>40</v>
      </c>
      <c r="C14" s="30">
        <f>IFERROR(__xludf.DUMMYFUNCTION("SUM(FILTER($E7:DF7, (COLUMN($E7:DF7)) / 3 = ROUND((COLUMN($E7:DF7)) / 3), NOT(ISERROR($E7:DF7))))"),35.0)</f>
        <v>35</v>
      </c>
      <c r="D14" s="26">
        <f t="shared" si="63"/>
        <v>0.4117647059</v>
      </c>
      <c r="G14" s="5"/>
      <c r="H14" s="40">
        <f>IFERROR(__xludf.DUMMYFUNCTION("""COMPUTED_VALUE"""),44038.64333333333)</f>
        <v>44038.64333</v>
      </c>
      <c r="I14" s="5" t="str">
        <f>IFERROR(__xludf.DUMMYFUNCTION("""COMPUTED_VALUE"""),"De Gea needs a long break away from football. De gea must not like champions league 😂😂😂😂😂😂😂😂😂😂😂😂😂😂😂😂😂😐😐😐😐😐😐😂😂😂😂😂😂😂😂😂😂😂😂😂😂. De Gea and Maguire are both absolute garbage footballers. Man Utd playing with Leicester so we "&amp;"just draw😂. Wolves we only need you to win k3k3😂.")</f>
        <v>De Gea needs a long break away from football. De gea must not like champions league 😂😂😂😂😂😂😂😂😂😂😂😂😂😂😂😂😂😐😐😐😐😐😐😂😂😂😂😂😂😂😂😂😂😂😂😂😂. De Gea and Maguire are both absolute garbage footballers. Man Utd playing with Leicester so we just draw😂. Wolves we only need you to win k3k3😂.</v>
      </c>
      <c r="J14" s="39" t="s">
        <v>16</v>
      </c>
      <c r="K14" s="40">
        <f>IFERROR(__xludf.DUMMYFUNCTION("""COMPUTED_VALUE"""),44038.64681712963)</f>
        <v>44038.64682</v>
      </c>
      <c r="L14" s="5" t="str">
        <f>IFERROR(__xludf.DUMMYFUNCTION("""COMPUTED_VALUE"""),"Leicester us playing us half field. Get McTominay or Fred in for Matic in the 2nd half. Maguire should better give Iheanacho his slippers at half time. Greenwood's had half the pitch to himself for most of this half. Not moving the ball quick enough. #MUF"&amp;"C.")</f>
        <v>Leicester us playing us half field. Get McTominay or Fred in for Matic in the 2nd half. Maguire should better give Iheanacho his slippers at half time. Greenwood's had half the pitch to himself for most of this half. Not moving the ball quick enough. #MUFC.</v>
      </c>
      <c r="M14" s="39" t="s">
        <v>16</v>
      </c>
      <c r="N14" s="40">
        <f>IFERROR(__xludf.DUMMYFUNCTION("""COMPUTED_VALUE"""),44038.68554398148)</f>
        <v>44038.68554</v>
      </c>
      <c r="O14" s="5" t="str">
        <f>IFERROR(__xludf.DUMMYFUNCTION("""COMPUTED_VALUE"""),"Martial brought down in the area by Evans. Penalty for #MUFC. Penalty!! Thought martial would have got through there. It's not Manchester United if there is no penalty. I just hope that Leicester score before Man Utd get a penalty.")</f>
        <v>Martial brought down in the area by Evans. Penalty for #MUFC. Penalty!! Thought martial would have got through there. It's not Manchester United if there is no penalty. I just hope that Leicester score before Man Utd get a penalty.</v>
      </c>
      <c r="P14" s="39" t="s">
        <v>18</v>
      </c>
      <c r="Q14" s="40">
        <f>IFERROR(__xludf.DUMMYFUNCTION("""COMPUTED_VALUE"""),44038.64074074074)</f>
        <v>44038.64074</v>
      </c>
      <c r="R14" s="5" t="str">
        <f>IFERROR(__xludf.DUMMYFUNCTION("""COMPUTED_VALUE"""),"Martial must always take a first touch, never hits the ball immediately. One touch curl that Martial 🤦🏻‍♂️. #LEIMUN my heart everytime maguire touches the ball.. That touch from Greenwood 😳 #LEIMUN. Harry Maguire there, with the touch of Chris Grayling"&amp;" and a government contract.")</f>
        <v>Martial must always take a first touch, never hits the ball immediately. One touch curl that Martial 🤦🏻‍♂️. #LEIMUN my heart everytime maguire touches the ball.. That touch from Greenwood 😳 #LEIMUN. Harry Maguire there, with the touch of Chris Grayling and a government contract.</v>
      </c>
      <c r="S14" s="39" t="s">
        <v>18</v>
      </c>
      <c r="T14" s="40">
        <f>IFERROR(__xludf.DUMMYFUNCTION("""COMPUTED_VALUE"""),44038.68199074074)</f>
        <v>44038.68199</v>
      </c>
      <c r="U14" s="5" t="str">
        <f>IFERROR(__xludf.DUMMYFUNCTION("""COMPUTED_VALUE"""),"Lindelof and Maguire on yellow cards. Last 30 to go. Nervy. #MUFC. United has no game plan. 2 cb on yellows. The pressure is too much. #LEIMUN. Both CBs on yellow cards against Jamie Vardy 👏👏. The two center halves now on yellow card. These guys are som"&amp;"ething else. #LEIMUN.")</f>
        <v>Lindelof and Maguire on yellow cards. Last 30 to go. Nervy. #MUFC. United has no game plan. 2 cb on yellows. The pressure is too much. #LEIMUN. Both CBs on yellow cards against Jamie Vardy 👏👏. The two center halves now on yellow card. These guys are something else. #LEIMUN.</v>
      </c>
      <c r="V14" s="39" t="s">
        <v>17</v>
      </c>
      <c r="W14" s="40">
        <f>IFERROR(__xludf.DUMMYFUNCTION("""COMPUTED_VALUE"""),44038.696111111116)</f>
        <v>44038.69611</v>
      </c>
      <c r="X14" s="5" t="str">
        <f>IFERROR(__xludf.DUMMYFUNCTION("""COMPUTED_VALUE"""),"Jamie Vardy should score this free kick and it is game on! The free kick conceded cause of playing out from the back. Just kick it forward!! #LEIMUN. This is like the hundredth free kick for Leicester😭😭😭. Free kick for Leicester in a very dangerous are"&amp;"a...👀.")</f>
        <v>Jamie Vardy should score this free kick and it is game on! The free kick conceded cause of playing out from the back. Just kick it forward!! #LEIMUN. This is like the hundredth free kick for Leicester😭😭😭. Free kick for Leicester in a very dangerous area...👀.</v>
      </c>
      <c r="Y14" s="39" t="s">
        <v>18</v>
      </c>
      <c r="Z14" s="40">
        <f>IFERROR(__xludf.DUMMYFUNCTION("""COMPUTED_VALUE"""),44038.6503125)</f>
        <v>44038.65031</v>
      </c>
      <c r="AA14" s="5" t="str">
        <f>IFERROR(__xludf.DUMMYFUNCTION("""COMPUTED_VALUE"""),"When Auba scores one more goal and then Vardy does. Aubameyang a goal behind Vardy in terms of the golden boot. The way Watford are defending him winning it is a realistic possibility. Aubameyang go do then Vardy just go start dey score is this la? United"&amp;" Nyame🙏🏻.")</f>
        <v>When Auba scores one more goal and then Vardy does. Aubameyang a goal behind Vardy in terms of the golden boot. The way Watford are defending him winning it is a realistic possibility. Aubameyang go do then Vardy just go start dey score is this la? United Nyame🙏🏻.</v>
      </c>
      <c r="AB14" s="39" t="s">
        <v>14</v>
      </c>
      <c r="AC14" s="40">
        <f>IFERROR(__xludf.DUMMYFUNCTION("""COMPUTED_VALUE"""),44038.67524305556)</f>
        <v>44038.67524</v>
      </c>
      <c r="AD14" s="5" t="str">
        <f>IFERROR(__xludf.DUMMYFUNCTION("""COMPUTED_VALUE"""),"At this point I’m taking Bruno off and pushing Pogba forward. Take off Bruno and Matic. Bring on Fred McTominay and push Pogba forward.")</f>
        <v>At this point I’m taking Bruno off and pushing Pogba forward. Take off Bruno and Matic. Bring on Fred McTominay and push Pogba forward.</v>
      </c>
      <c r="AE14" s="39" t="s">
        <v>16</v>
      </c>
      <c r="AF14" s="40">
        <f>IFERROR(__xludf.DUMMYFUNCTION("""COMPUTED_VALUE"""),44038.70422453704)</f>
        <v>44038.70422</v>
      </c>
      <c r="AG14" s="5" t="str">
        <f>IFERROR(__xludf.DUMMYFUNCTION("""COMPUTED_VALUE"""),"RED CARD! Leicester City defender Jonny Evans (90+4 mins) Penalty and a red card, this is undoubtedly Jonny Evans' best ever performance for United.")</f>
        <v>RED CARD! Leicester City defender Jonny Evans (90+4 mins) Penalty and a red card, this is undoubtedly Jonny Evans' best ever performance for United.</v>
      </c>
      <c r="AH14" s="39" t="s">
        <v>17</v>
      </c>
      <c r="AI14" s="40">
        <f>IFERROR(__xludf.DUMMYFUNCTION("""COMPUTED_VALUE"""),44038.68753472222)</f>
        <v>44038.68753</v>
      </c>
      <c r="AJ14" s="5" t="str">
        <f>IFERROR(__xludf.DUMMYFUNCTION("""COMPUTED_VALUE"""),"Pen confirmed, Fernandes scores. Man Utd lead at Leicester 1-0. Bruno Fernandes going to send Man Utd to the Champions League?? 1-0 Man Utd. Man utd penalty? fernandes takes it? never seen it befors. Goal - FERNANDES. Assist - MARTIAL. Leicester 0-1 Man U"&amp;"td (71 mins) #FPL #LEIMUN.")</f>
        <v>Pen confirmed, Fernandes scores. Man Utd lead at Leicester 1-0. Bruno Fernandes going to send Man Utd to the Champions League?? 1-0 Man Utd. Man utd penalty? fernandes takes it? never seen it befors. Goal - FERNANDES. Assist - MARTIAL. Leicester 0-1 Man Utd (71 mins) #FPL #LEIMUN.</v>
      </c>
      <c r="AK14" s="39" t="s">
        <v>17</v>
      </c>
      <c r="AN14" s="5"/>
      <c r="AO14" s="40"/>
      <c r="AP14" s="5"/>
      <c r="AQ14" s="5"/>
      <c r="AR14" s="40"/>
      <c r="AS14" s="5"/>
      <c r="AT14" s="5"/>
      <c r="AU14" s="40"/>
      <c r="AV14" s="5"/>
      <c r="AW14" s="5"/>
      <c r="AX14" s="40"/>
      <c r="AY14" s="5"/>
      <c r="AZ14" s="5"/>
      <c r="BA14" s="40"/>
      <c r="BB14" s="5"/>
      <c r="BC14" s="5"/>
      <c r="BD14" s="40"/>
      <c r="BE14" s="5"/>
      <c r="BF14" s="5"/>
      <c r="BG14" s="40"/>
      <c r="BH14" s="5"/>
      <c r="BI14" s="5"/>
      <c r="BJ14" s="40"/>
      <c r="BK14" s="5"/>
      <c r="BL14" s="5"/>
      <c r="BM14" s="40"/>
      <c r="BN14" s="5"/>
      <c r="BO14" s="5"/>
      <c r="BP14" s="40"/>
      <c r="BQ14" s="5"/>
      <c r="BR14" s="5"/>
      <c r="BS14" s="40"/>
      <c r="BT14" s="5"/>
      <c r="BU14" s="5"/>
      <c r="BV14" s="40"/>
      <c r="BW14" s="5"/>
      <c r="BX14" s="5"/>
      <c r="BY14" s="40"/>
      <c r="BZ14" s="5"/>
      <c r="CA14" s="5"/>
      <c r="CB14" s="40"/>
      <c r="CC14" s="5"/>
      <c r="CD14" s="5"/>
      <c r="CE14" s="40"/>
      <c r="CF14" s="5"/>
      <c r="CG14" s="5"/>
      <c r="CH14" s="40"/>
      <c r="CI14" s="5"/>
      <c r="CJ14" s="5"/>
      <c r="CK14" s="40"/>
      <c r="CL14" s="5"/>
      <c r="CM14" s="5"/>
      <c r="CN14" s="40"/>
      <c r="CO14" s="5"/>
      <c r="CP14" s="5"/>
      <c r="CQ14" s="40"/>
      <c r="CR14" s="5"/>
      <c r="CS14" s="5"/>
      <c r="CT14" s="5"/>
      <c r="CU14" s="5"/>
      <c r="CV14" s="5"/>
      <c r="CW14" s="5"/>
      <c r="CX14" s="5"/>
      <c r="CY14" s="5"/>
      <c r="CZ14" s="5"/>
      <c r="DA14" s="5"/>
      <c r="DB14" s="5"/>
      <c r="DC14" s="5"/>
      <c r="DD14" s="5"/>
      <c r="DE14" s="5"/>
      <c r="DF14" s="5"/>
    </row>
    <row r="15">
      <c r="A15" s="19"/>
      <c r="B15" s="14" t="s">
        <v>41</v>
      </c>
      <c r="C15" s="31">
        <f t="shared" ref="C15:D15" si="64">SUM(C10:C14)</f>
        <v>85</v>
      </c>
      <c r="D15" s="26">
        <f t="shared" si="64"/>
        <v>1</v>
      </c>
      <c r="G15" s="5"/>
      <c r="H15" s="40">
        <f>IFERROR(__xludf.DUMMYFUNCTION("""COMPUTED_VALUE"""),44038.64732638889)</f>
        <v>44038.64733</v>
      </c>
      <c r="I15" s="5" t="str">
        <f>IFERROR(__xludf.DUMMYFUNCTION("""COMPUTED_VALUE"""),"This final day #LEIMUN Champions League ""playoff"" is like watching 2 counter attack teams with no midfield. I need Pogba to start playing like a kaffir so we can win this game. Man United doesn't look like it HAS to win. #LEIMUN. These man playing like "&amp;"it's Sunday league #LEIMUN.")</f>
        <v>This final day #LEIMUN Champions League "playoff" is like watching 2 counter attack teams with no midfield. I need Pogba to start playing like a kaffir so we can win this game. Man United doesn't look like it HAS to win. #LEIMUN. These man playing like it's Sunday league #LEIMUN.</v>
      </c>
      <c r="J15" s="39" t="s">
        <v>18</v>
      </c>
      <c r="K15" s="40">
        <f>IFERROR(__xludf.DUMMYFUNCTION("""COMPUTED_VALUE"""),44038.65038194445)</f>
        <v>44038.65038</v>
      </c>
      <c r="L15" s="5" t="str">
        <f>IFERROR(__xludf.DUMMYFUNCTION("""COMPUTED_VALUE"""),"Aubameyang gets his second and arsenal 3rd leaving him one goal behind vardy #ARSWAT. Aubameyang needs just 1 goal to level up with Vardy..... Crazy day in the epl mhen. Don't let Vardy find out Aubameyang needs one more goal to match him for the Golden b"&amp;"oot.")</f>
        <v>Aubameyang gets his second and arsenal 3rd leaving him one goal behind vardy #ARSWAT. Aubameyang needs just 1 goal to level up with Vardy..... Crazy day in the epl mhen. Don't let Vardy find out Aubameyang needs one more goal to match him for the Golden boot.</v>
      </c>
      <c r="M15" s="39" t="s">
        <v>18</v>
      </c>
      <c r="N15" s="40">
        <f>IFERROR(__xludf.DUMMYFUNCTION("""COMPUTED_VALUE"""),44038.688993055555)</f>
        <v>44038.68899</v>
      </c>
      <c r="O15" s="5" t="str">
        <f>IFERROR(__xludf.DUMMYFUNCTION("""COMPUTED_VALUE"""),"Manchester United were just awarded their 14th penalty of the season. #Arsenal got their 3rd today. 20 penalties in all competitions. Record 14th in the EPL. Penchester United. #LEIMUN. That was Manchester United's 1⃣4⃣th penalty of the season, a new Prem"&amp;"ier League record...👀.")</f>
        <v>Manchester United were just awarded their 14th penalty of the season. #Arsenal got their 3rd today. 20 penalties in all competitions. Record 14th in the EPL. Penchester United. #LEIMUN. That was Manchester United's 1⃣4⃣th penalty of the season, a new Premier League record...👀.</v>
      </c>
      <c r="P15" s="39" t="s">
        <v>18</v>
      </c>
      <c r="Q15" s="40">
        <f>IFERROR(__xludf.DUMMYFUNCTION("""COMPUTED_VALUE"""),44038.64497685185)</f>
        <v>44038.64498</v>
      </c>
      <c r="R15" s="5" t="str">
        <f>IFERROR(__xludf.DUMMYFUNCTION("""COMPUTED_VALUE"""),"Literally don't understand it. Every time Rashford gets the ball he's almost at left back. Really need a player that can actually play ball to come and bench this useless Rashford. What’s with Rashford and these get-in behind passes, just run at them man "&amp;"please !!!")</f>
        <v>Literally don't understand it. Every time Rashford gets the ball he's almost at left back. Really need a player that can actually play ball to come and bench this useless Rashford. What’s with Rashford and these get-in behind passes, just run at them man please !!!</v>
      </c>
      <c r="S15" s="39" t="s">
        <v>18</v>
      </c>
      <c r="T15" s="40">
        <f>IFERROR(__xludf.DUMMYFUNCTION("""COMPUTED_VALUE"""),44038.68574074074)</f>
        <v>44038.68574</v>
      </c>
      <c r="U15" s="5" t="str">
        <f>IFERROR(__xludf.DUMMYFUNCTION("""COMPUTED_VALUE"""),"Utd penalty Martial foiled Evans yellow. Jonny Evans you're still a red!!!!!! Cmon!!! Jonny Evans you know you can't tackle in the box vs United. You should know better. That’s a great tackle by Jonny Evans. No chance VAR overturns it for those rats. 🎶 J"&amp;"onny Evans is a Red 🎶.")</f>
        <v>Utd penalty Martial foiled Evans yellow. Jonny Evans you're still a red!!!!!! Cmon!!! Jonny Evans you know you can't tackle in the box vs United. You should know better. That’s a great tackle by Jonny Evans. No chance VAR overturns it for those rats. 🎶 Jonny Evans is a Red 🎶.</v>
      </c>
      <c r="V15" s="39" t="s">
        <v>17</v>
      </c>
      <c r="W15" s="40">
        <f>IFERROR(__xludf.DUMMYFUNCTION("""COMPUTED_VALUE"""),44038.70609953704)</f>
        <v>44038.7061</v>
      </c>
      <c r="X15" s="5" t="str">
        <f>IFERROR(__xludf.DUMMYFUNCTION("""COMPUTED_VALUE"""),"Mds o lingard fez gol. Goooooooooooooooooollllll do United. Lingard 🔥. Lord lingard gol siot. Gooooool Lingard pone el 0-2 #mufc. How has lingard scored ffs. GOAL! Leicester City 0-2 Manchester United (Lingard 90+8). Watch #LEIMUN live on Sky Sports Main"&amp;" Event or follow it here 👇.")</f>
        <v>Mds o lingard fez gol. Goooooooooooooooooollllll do United. Lingard 🔥. Lord lingard gol siot. Gooooool Lingard pone el 0-2 #mufc. How has lingard scored ffs. GOAL! Leicester City 0-2 Manchester United (Lingard 90+8). Watch #LEIMUN live on Sky Sports Main Event or follow it here 👇.</v>
      </c>
      <c r="Y15" s="39" t="s">
        <v>17</v>
      </c>
      <c r="Z15" s="40">
        <f>IFERROR(__xludf.DUMMYFUNCTION("""COMPUTED_VALUE"""),44038.654282407406)</f>
        <v>44038.65428</v>
      </c>
      <c r="AA15" s="5" t="str">
        <f>IFERROR(__xludf.DUMMYFUNCTION("""COMPUTED_VALUE"""),"That would have been a goal if it was Greenwood. Damn rashford. Rashford letting down Pogba there. A beautiful assist wasted hm. Thought that was a certain goal for rashford then. Rashford come on man you have to score that 🤦🏾‍♂️.")</f>
        <v>That would have been a goal if it was Greenwood. Damn rashford. Rashford letting down Pogba there. A beautiful assist wasted hm. Thought that was a certain goal for rashford then. Rashford come on man you have to score that 🤦🏾‍♂️.</v>
      </c>
      <c r="AB15" s="39" t="s">
        <v>18</v>
      </c>
      <c r="AC15" s="40">
        <f>IFERROR(__xludf.DUMMYFUNCTION("""COMPUTED_VALUE"""),44038.687418981484)</f>
        <v>44038.68742</v>
      </c>
      <c r="AD15" s="5" t="str">
        <f>IFERROR(__xludf.DUMMYFUNCTION("""COMPUTED_VALUE"""),"I see why rivals are always mad. Bruno played nothing in this game and got rewarded. Martial should be taking that. I've never seen a player have so many awful performances and still manages to get a goal from a penalty in the end like Bruno Fernandes 😭.")</f>
        <v>I see why rivals are always mad. Bruno played nothing in this game and got rewarded. Martial should be taking that. I've never seen a player have so many awful performances and still manages to get a goal from a penalty in the end like Bruno Fernandes 😭.</v>
      </c>
      <c r="AE15" s="39" t="s">
        <v>17</v>
      </c>
      <c r="AH15" s="5"/>
      <c r="AI15" s="40">
        <f>IFERROR(__xludf.DUMMYFUNCTION("""COMPUTED_VALUE"""),44038.689675925925)</f>
        <v>44038.68968</v>
      </c>
      <c r="AJ15" s="5" t="str">
        <f>IFERROR(__xludf.DUMMYFUNCTION("""COMPUTED_VALUE"""),"Leicester were 14 points ahead of Man Utd at one point, huge bottlers this season 👎🏻. Rodgers blowing a 15 point lead to Utd is ridiculous. Battle for the top four as it stands: 3️⃣ Man Utd - 66 points. 4️⃣ Chelsea - 66 points. --------- 5️⃣ Leicester -"&amp;" 62 points.")</f>
        <v>Leicester were 14 points ahead of Man Utd at one point, huge bottlers this season 👎🏻. Rodgers blowing a 15 point lead to Utd is ridiculous. Battle for the top four as it stands: 3️⃣ Man Utd - 66 points. 4️⃣ Chelsea - 66 points. --------- 5️⃣ Leicester - 62 points.</v>
      </c>
      <c r="AK15" s="39" t="s">
        <v>18</v>
      </c>
      <c r="AN15" s="5"/>
      <c r="AO15" s="40"/>
      <c r="AP15" s="5"/>
      <c r="AQ15" s="5"/>
      <c r="AR15" s="40"/>
      <c r="AS15" s="5"/>
      <c r="AT15" s="5"/>
      <c r="AU15" s="40"/>
      <c r="AV15" s="5"/>
      <c r="AW15" s="5"/>
      <c r="AX15" s="40"/>
      <c r="AY15" s="5"/>
      <c r="AZ15" s="5"/>
      <c r="BA15" s="40"/>
      <c r="BB15" s="5"/>
      <c r="BC15" s="5"/>
      <c r="BD15" s="40"/>
      <c r="BE15" s="5"/>
      <c r="BF15" s="5"/>
      <c r="BG15" s="40"/>
      <c r="BH15" s="5"/>
      <c r="BI15" s="5"/>
      <c r="BJ15" s="40"/>
      <c r="BK15" s="5"/>
      <c r="BL15" s="5"/>
      <c r="BM15" s="40"/>
      <c r="BN15" s="5"/>
      <c r="BO15" s="5"/>
      <c r="BP15" s="40"/>
      <c r="BQ15" s="5"/>
      <c r="BR15" s="5"/>
      <c r="BS15" s="40"/>
      <c r="BT15" s="5"/>
      <c r="BU15" s="5"/>
      <c r="BV15" s="40"/>
      <c r="BW15" s="5"/>
      <c r="BX15" s="5"/>
      <c r="BY15" s="40"/>
      <c r="BZ15" s="5"/>
      <c r="CA15" s="5"/>
      <c r="CB15" s="40"/>
      <c r="CC15" s="5"/>
      <c r="CD15" s="5"/>
      <c r="CE15" s="40"/>
      <c r="CF15" s="5"/>
      <c r="CG15" s="5"/>
      <c r="CH15" s="40"/>
      <c r="CI15" s="5"/>
      <c r="CJ15" s="5"/>
      <c r="CK15" s="40"/>
      <c r="CL15" s="5"/>
      <c r="CM15" s="5"/>
      <c r="CN15" s="40"/>
      <c r="CO15" s="5"/>
      <c r="CP15" s="5"/>
      <c r="CQ15" s="40"/>
      <c r="CR15" s="5"/>
      <c r="CS15" s="5"/>
      <c r="CT15" s="5"/>
      <c r="CU15" s="5"/>
      <c r="CV15" s="5"/>
      <c r="CW15" s="5"/>
      <c r="CX15" s="5"/>
      <c r="CY15" s="5"/>
      <c r="CZ15" s="5"/>
      <c r="DA15" s="5"/>
      <c r="DB15" s="5"/>
      <c r="DC15" s="5"/>
      <c r="DD15" s="5"/>
      <c r="DE15" s="5"/>
      <c r="DF15" s="5"/>
    </row>
    <row r="16">
      <c r="A16" s="19"/>
      <c r="B16" s="32" t="s">
        <v>42</v>
      </c>
      <c r="D16" s="26">
        <f>IFERROR(__xludf.DUMMYFUNCTION("AVERAGE(FILTER($E8:DF8, (COLUMN($E8:DF8) - 1) / 3 = ROUND((COLUMN($E8:DF8) - 1) / 3), NOT(ISERROR($E8:DF8))))"),0.769047619047619)</f>
        <v>0.769047619</v>
      </c>
      <c r="G16" s="5"/>
      <c r="H16" s="40">
        <f>IFERROR(__xludf.DUMMYFUNCTION("""COMPUTED_VALUE"""),44038.65491898148)</f>
        <v>44038.65492</v>
      </c>
      <c r="I16" s="5" t="str">
        <f>IFERROR(__xludf.DUMMYFUNCTION("""COMPUTED_VALUE"""),"It’s like this doctorate is making Rashford a useless footballer oh! #LEIMUN. Rashford should be helping kids, at what he is good than playing football #mufc. You look at Bruno and wonder if it's the same football that troubles Rashford.")</f>
        <v>It’s like this doctorate is making Rashford a useless footballer oh! #LEIMUN. Rashford should be helping kids, at what he is good than playing football #mufc. You look at Bruno and wonder if it's the same football that troubles Rashford.</v>
      </c>
      <c r="J16" s="39" t="s">
        <v>16</v>
      </c>
      <c r="K16" s="40">
        <f>IFERROR(__xludf.DUMMYFUNCTION("""COMPUTED_VALUE"""),44038.659212962964)</f>
        <v>44038.65921</v>
      </c>
      <c r="L16" s="5" t="str">
        <f>IFERROR(__xludf.DUMMYFUNCTION("""COMPUTED_VALUE"""),"Need to push from the wings and create but we end up giving Pogba and Fernandes space in midfield.. United applied some pressure towards the end of the half, but the first 45 ends goalless. #MUFC #LEIMUN Chevrolet.")</f>
        <v>Need to push from the wings and create but we end up giving Pogba and Fernandes space in midfield.. United applied some pressure towards the end of the half, but the first 45 ends goalless. #MUFC #LEIMUN Chevrolet.</v>
      </c>
      <c r="M16" s="39" t="s">
        <v>17</v>
      </c>
      <c r="N16" s="40">
        <f>IFERROR(__xludf.DUMMYFUNCTION("""COMPUTED_VALUE"""),44038.69393518519)</f>
        <v>44038.69394</v>
      </c>
      <c r="O16" s="5" t="str">
        <f>IFERROR(__xludf.DUMMYFUNCTION("""COMPUTED_VALUE"""),"Does anyone love scoring penalties more than Bruno Fernandes?.")</f>
        <v>Does anyone love scoring penalties more than Bruno Fernandes?.</v>
      </c>
      <c r="P16" s="39" t="s">
        <v>15</v>
      </c>
      <c r="Q16" s="40">
        <f>IFERROR(__xludf.DUMMYFUNCTION("""COMPUTED_VALUE"""),44038.64778935185)</f>
        <v>44038.64779</v>
      </c>
      <c r="R16" s="5" t="str">
        <f>IFERROR(__xludf.DUMMYFUNCTION("""COMPUTED_VALUE"""),"Bruno scores off a lovely Pogba pass, but he’s offsides. Fuck sake Bruno stay on great ball from pogba tho. Lovely ball from Pogba over the top, and Bruno puts in the net, but he's a mile offside. Signs of life at least. What a ball from Pogba 👏🏻 unluck"&amp;"y it was offside from bruno.")</f>
        <v>Bruno scores off a lovely Pogba pass, but he’s offsides. Fuck sake Bruno stay on great ball from pogba tho. Lovely ball from Pogba over the top, and Bruno puts in the net, but he's a mile offside. Signs of life at least. What a ball from Pogba 👏🏻 unlucky it was offside from bruno.</v>
      </c>
      <c r="S16" s="39" t="s">
        <v>17</v>
      </c>
      <c r="T16" s="40">
        <f>IFERROR(__xludf.DUMMYFUNCTION("""COMPUTED_VALUE"""),44038.695868055554)</f>
        <v>44038.69587</v>
      </c>
      <c r="U16" s="5" t="str">
        <f>IFERROR(__xludf.DUMMYFUNCTION("""COMPUTED_VALUE"""),"If that’s a foul it’s another yellow for Maguire. Three slowest United players Maguire, Lingard and Matic on a yellow now. How has Maguire escaped a 2nd yellow there?? One of those yellow card unless it's a second yellow tackles by Maguire...")</f>
        <v>If that’s a foul it’s another yellow for Maguire. Three slowest United players Maguire, Lingard and Matic on a yellow now. How has Maguire escaped a 2nd yellow there?? One of those yellow card unless it's a second yellow tackles by Maguire...</v>
      </c>
      <c r="V16" s="39" t="s">
        <v>18</v>
      </c>
      <c r="Y16" s="5"/>
      <c r="Z16" s="40">
        <f>IFERROR(__xludf.DUMMYFUNCTION("""COMPUTED_VALUE"""),44038.66373842592)</f>
        <v>44038.66374</v>
      </c>
      <c r="AA16" s="5" t="str">
        <f>IFERROR(__xludf.DUMMYFUNCTION("""COMPUTED_VALUE"""),"Come on Leicester!!! Need Leicester City to score, just want to see the Man Utd fans reaction!!! #LEIMUN.")</f>
        <v>Come on Leicester!!! Need Leicester City to score, just want to see the Man Utd fans reaction!!! #LEIMUN.</v>
      </c>
      <c r="AB16" s="39" t="s">
        <v>16</v>
      </c>
      <c r="AC16" s="40">
        <f>IFERROR(__xludf.DUMMYFUNCTION("""COMPUTED_VALUE"""),44038.69081018519)</f>
        <v>44038.69081</v>
      </c>
      <c r="AD16" s="5" t="str">
        <f>IFERROR(__xludf.DUMMYFUNCTION("""COMPUTED_VALUE"""),"Bruno Fernandes be like..""I Know a spot"" then he takes you to the penalty spot 🤡. #LEIMUN.")</f>
        <v>Bruno Fernandes be like.."I Know a spot" then he takes you to the penalty spot 🤡. #LEIMUN.</v>
      </c>
      <c r="AE16" s="39" t="s">
        <v>15</v>
      </c>
      <c r="AH16" s="5"/>
      <c r="AI16" s="40">
        <f>IFERROR(__xludf.DUMMYFUNCTION("""COMPUTED_VALUE"""),44038.70379629629)</f>
        <v>44038.7038</v>
      </c>
      <c r="AJ16" s="5" t="str">
        <f>IFERROR(__xludf.DUMMYFUNCTION("""COMPUTED_VALUE"""),"Jonny Evans doing more for Utd than Maguire. Jonny Evans Utd spy😂. Red Card Evans How Much Did Man Utd Pay Him.. We Paid Him Very Well I Think😂🤣#LEIMUN. RED CARD Jonny Evans is sent off for a dangerous tackle on Scott McTominay. Leicester 0-1 Man Utd ("&amp;"90+4 mins) #LEIMUN.")</f>
        <v>Jonny Evans doing more for Utd than Maguire. Jonny Evans Utd spy😂. Red Card Evans How Much Did Man Utd Pay Him.. We Paid Him Very Well I Think😂🤣#LEIMUN. RED CARD Jonny Evans is sent off for a dangerous tackle on Scott McTominay. Leicester 0-1 Man Utd (90+4 mins) #LEIMUN.</v>
      </c>
      <c r="AK16" s="39" t="s">
        <v>17</v>
      </c>
      <c r="AN16" s="5"/>
      <c r="AO16" s="40"/>
      <c r="AP16" s="5"/>
      <c r="AQ16" s="5"/>
      <c r="AR16" s="40"/>
      <c r="AS16" s="5"/>
      <c r="AT16" s="5"/>
      <c r="AU16" s="40"/>
      <c r="AV16" s="5"/>
      <c r="AW16" s="5"/>
      <c r="AX16" s="40"/>
      <c r="AY16" s="5"/>
      <c r="AZ16" s="5"/>
      <c r="BA16" s="40"/>
      <c r="BB16" s="5"/>
      <c r="BC16" s="5"/>
      <c r="BD16" s="40"/>
      <c r="BE16" s="5"/>
      <c r="BF16" s="5"/>
      <c r="BG16" s="40"/>
      <c r="BH16" s="5"/>
      <c r="BI16" s="5"/>
      <c r="BJ16" s="40"/>
      <c r="BK16" s="5"/>
      <c r="BL16" s="5"/>
      <c r="BM16" s="40"/>
      <c r="BN16" s="5"/>
      <c r="BO16" s="5"/>
      <c r="BP16" s="40"/>
      <c r="BQ16" s="5"/>
      <c r="BR16" s="5"/>
      <c r="BS16" s="40"/>
      <c r="BT16" s="5"/>
      <c r="BU16" s="5"/>
      <c r="BV16" s="40"/>
      <c r="BW16" s="5"/>
      <c r="BX16" s="5"/>
      <c r="BY16" s="40"/>
      <c r="BZ16" s="5"/>
      <c r="CA16" s="5"/>
      <c r="CB16" s="40"/>
      <c r="CC16" s="5"/>
      <c r="CD16" s="5"/>
      <c r="CE16" s="40"/>
      <c r="CF16" s="5"/>
      <c r="CG16" s="5"/>
      <c r="CH16" s="40"/>
      <c r="CI16" s="5"/>
      <c r="CJ16" s="5"/>
      <c r="CK16" s="40"/>
      <c r="CL16" s="5"/>
      <c r="CM16" s="5"/>
      <c r="CN16" s="40"/>
      <c r="CO16" s="5"/>
      <c r="CP16" s="5"/>
      <c r="CQ16" s="40"/>
      <c r="CR16" s="5"/>
      <c r="CS16" s="5"/>
      <c r="CT16" s="5"/>
      <c r="CU16" s="5"/>
      <c r="CV16" s="5"/>
      <c r="CW16" s="5"/>
      <c r="CX16" s="5"/>
      <c r="CY16" s="5"/>
      <c r="CZ16" s="5"/>
      <c r="DA16" s="5"/>
      <c r="DB16" s="5"/>
      <c r="DC16" s="5"/>
      <c r="DD16" s="5"/>
      <c r="DE16" s="5"/>
      <c r="DF16" s="5"/>
    </row>
    <row r="17">
      <c r="B17" s="1" t="s">
        <v>43</v>
      </c>
      <c r="D17" s="6">
        <f>SUM(D13:D14)</f>
        <v>0.7176470588</v>
      </c>
      <c r="G17" s="5"/>
      <c r="H17" s="40">
        <f>IFERROR(__xludf.DUMMYFUNCTION("""COMPUTED_VALUE"""),44038.6565162037)</f>
        <v>44038.65652</v>
      </c>
      <c r="I17" s="5" t="str">
        <f>IFERROR(__xludf.DUMMYFUNCTION("""COMPUTED_VALUE"""),"Rashy ain’t really been at it since football returned tbh! Don’t need stats for this one I’m afraid! #LEIMUN.")</f>
        <v>Rashy ain’t really been at it since football returned tbh! Don’t need stats for this one I’m afraid! #LEIMUN.</v>
      </c>
      <c r="J17" s="39" t="s">
        <v>16</v>
      </c>
      <c r="K17" s="40">
        <f>IFERROR(__xludf.DUMMYFUNCTION("""COMPUTED_VALUE"""),44038.678240740745)</f>
        <v>44038.67824</v>
      </c>
      <c r="L17" s="5" t="str">
        <f>IFERROR(__xludf.DUMMYFUNCTION("""COMPUTED_VALUE"""),"Ole should sub Rashford biko! Rashford should be subbed off rn. Sub off Rashford for Christ sake. Ridiculous sub from Rodgers. Fuck Ayoze Perez being subbed 😭😭😭. Iheanacho shouldn't have been subbed. Sub Ndidi too🙂 #LEIMUN. A strange sub if your hunti"&amp;"ng’s goal #LEIMUN.")</f>
        <v>Ole should sub Rashford biko! Rashford should be subbed off rn. Sub off Rashford for Christ sake. Ridiculous sub from Rodgers. Fuck Ayoze Perez being subbed 😭😭😭. Iheanacho shouldn't have been subbed. Sub Ndidi too🙂 #LEIMUN. A strange sub if your hunting’s goal #LEIMUN.</v>
      </c>
      <c r="M17" s="39" t="s">
        <v>17</v>
      </c>
      <c r="N17" s="40">
        <f>IFERROR(__xludf.DUMMYFUNCTION("""COMPUTED_VALUE"""),44038.696284722224)</f>
        <v>44038.69628</v>
      </c>
      <c r="O17" s="5" t="str">
        <f>IFERROR(__xludf.DUMMYFUNCTION("""COMPUTED_VALUE"""),"What kind of a stupid foul are you conceding Maguire? Fuck! The penalty sef for be two cuz ebi two players way foul Martial😁😂😂. Atkinson is so shit, Vardy doing his usual and playing for a foul and the ref falls for it #MUFC. Maguire 🤝 foul 56 #LEIMUN"&amp;".")</f>
        <v>What kind of a stupid foul are you conceding Maguire? Fuck! The penalty sef for be two cuz ebi two players way foul Martial😁😂😂. Atkinson is so shit, Vardy doing his usual and playing for a foul and the ref falls for it #MUFC. Maguire 🤝 foul 56 #LEIMUN.</v>
      </c>
      <c r="P17" s="39" t="s">
        <v>18</v>
      </c>
      <c r="Q17" s="40">
        <f>IFERROR(__xludf.DUMMYFUNCTION("""COMPUTED_VALUE"""),44038.65482638888)</f>
        <v>44038.65483</v>
      </c>
      <c r="R17" s="5" t="str">
        <f>IFERROR(__xludf.DUMMYFUNCTION("""COMPUTED_VALUE"""),"Beautiful ball from pogba but as usual rashford 😡😡😡. What a beautiful pass from pogba and a good touch from rashy🔥. That’s an out of this world pass by Pogba. What a ball from Pogba he’s moving different the last 15-20. Pogba is the best passer of the"&amp;" ball on this man u team.")</f>
        <v>Beautiful ball from pogba but as usual rashford 😡😡😡. What a beautiful pass from pogba and a good touch from rashy🔥. That’s an out of this world pass by Pogba. What a ball from Pogba he’s moving different the last 15-20. Pogba is the best passer of the ball on this man u team.</v>
      </c>
      <c r="S17" s="39" t="s">
        <v>18</v>
      </c>
      <c r="T17" s="40">
        <f>IFERROR(__xludf.DUMMYFUNCTION("""COMPUTED_VALUE"""),44038.702881944446)</f>
        <v>44038.70288</v>
      </c>
      <c r="U17" s="5" t="str">
        <f>IFERROR(__xludf.DUMMYFUNCTION("""COMPUTED_VALUE"""),"Straight red for Evans! Riley not happy with that on McTominay, and it looked nasty in real time. Expected a red for maguire but where did Evans come from 😂. That red card was a long time coming for Leicester. Kade nisiqalile. Jonny Evans is a red and he"&amp;" loves get a red!!")</f>
        <v>Straight red for Evans! Riley not happy with that on McTominay, and it looked nasty in real time. Expected a red for maguire but where did Evans come from 😂. That red card was a long time coming for Leicester. Kade nisiqalile. Jonny Evans is a red and he loves get a red!!</v>
      </c>
      <c r="V17" s="39" t="s">
        <v>17</v>
      </c>
      <c r="Y17" s="5"/>
      <c r="Z17" s="40">
        <f>IFERROR(__xludf.DUMMYFUNCTION("""COMPUTED_VALUE"""),44038.686631944445)</f>
        <v>44038.68663</v>
      </c>
      <c r="AA17" s="5" t="str">
        <f>IFERROR(__xludf.DUMMYFUNCTION("""COMPUTED_VALUE"""),"Brunoooo. And he scores. Leicester 0-1 United.. #LEIMUN. GOOAAAAALLLLLL!!! Bruno Fernandes puts us ahead with a big, big goal from the spot! #MUFC #LEIMUN. 68 mins. Martial wins a penalty conceded by Evans and Morgan. VAR big decision. Bruno Fernandes 1-0"&amp;". #LEIMUN.")</f>
        <v>Brunoooo. And he scores. Leicester 0-1 United.. #LEIMUN. GOOAAAAALLLLLL!!! Bruno Fernandes puts us ahead with a big, big goal from the spot! #MUFC #LEIMUN. 68 mins. Martial wins a penalty conceded by Evans and Morgan. VAR big decision. Bruno Fernandes 1-0. #LEIMUN.</v>
      </c>
      <c r="AB17" s="39" t="s">
        <v>17</v>
      </c>
      <c r="AC17" s="40">
        <f>IFERROR(__xludf.DUMMYFUNCTION("""COMPUTED_VALUE"""),44038.70375)</f>
        <v>44038.70375</v>
      </c>
      <c r="AD17" s="5" t="str">
        <f>IFERROR(__xludf.DUMMYFUNCTION("""COMPUTED_VALUE"""),"Johnny Evans is my new favourite players... Mctominay is a cunt. Johnny Evans is our guy.....a great player indeed #LEIMUN. Now Evans taking his anger on McTominay 😡. Johnny Evans red card? A true Manchester United player at heart. Big bad jonny Evans ta"&amp;"king us back there 🤣🤣🤣.")</f>
        <v>Johnny Evans is my new favourite players... Mctominay is a cunt. Johnny Evans is our guy.....a great player indeed #LEIMUN. Now Evans taking his anger on McTominay 😡. Johnny Evans red card? A true Manchester United player at heart. Big bad jonny Evans taking us back there 🤣🤣🤣.</v>
      </c>
      <c r="AE17" s="39" t="s">
        <v>17</v>
      </c>
      <c r="AH17" s="5"/>
      <c r="AI17" s="40">
        <f>IFERROR(__xludf.DUMMYFUNCTION("""COMPUTED_VALUE"""),44038.70715277777)</f>
        <v>44038.70715</v>
      </c>
      <c r="AJ17" s="5" t="str">
        <f>IFERROR(__xludf.DUMMYFUNCTION("""COMPUTED_VALUE"""),"Goal - LINGARD. Assist - none. Leicester 0-2 Man Utd (90+8 mins) #FPL #LEIMUN. Lingard scores and Utd finish third not a sentence I expected back in November or even 20 minutes ago. FULL-TIME Leicester 0-2 Man Utd. Man Utd finish in third place as Leicest"&amp;"er drop to fifth. #LEIMUN.")</f>
        <v>Goal - LINGARD. Assist - none. Leicester 0-2 Man Utd (90+8 mins) #FPL #LEIMUN. Lingard scores and Utd finish third not a sentence I expected back in November or even 20 minutes ago. FULL-TIME Leicester 0-2 Man Utd. Man Utd finish in third place as Leicester drop to fifth. #LEIMUN.</v>
      </c>
      <c r="AK17" s="39" t="s">
        <v>17</v>
      </c>
      <c r="AN17" s="5"/>
      <c r="AO17" s="40"/>
      <c r="AP17" s="5"/>
      <c r="AQ17" s="5"/>
      <c r="AR17" s="40"/>
      <c r="AS17" s="5"/>
      <c r="AT17" s="5"/>
      <c r="AU17" s="40"/>
      <c r="AV17" s="5"/>
      <c r="AW17" s="5"/>
      <c r="AX17" s="40"/>
      <c r="AY17" s="5"/>
      <c r="AZ17" s="5"/>
      <c r="BA17" s="40"/>
      <c r="BB17" s="5"/>
      <c r="BC17" s="5"/>
      <c r="BD17" s="40"/>
      <c r="BE17" s="5"/>
      <c r="BF17" s="5"/>
      <c r="BG17" s="40"/>
      <c r="BH17" s="5"/>
      <c r="BI17" s="5"/>
      <c r="BJ17" s="40"/>
      <c r="BK17" s="5"/>
      <c r="BL17" s="5"/>
      <c r="BM17" s="40"/>
      <c r="BN17" s="5"/>
      <c r="BO17" s="5"/>
      <c r="BP17" s="40"/>
      <c r="BQ17" s="5"/>
      <c r="BR17" s="5"/>
      <c r="BS17" s="40"/>
      <c r="BT17" s="5"/>
      <c r="BU17" s="5"/>
      <c r="BV17" s="40"/>
      <c r="BW17" s="5"/>
      <c r="BX17" s="5"/>
      <c r="BY17" s="40"/>
      <c r="BZ17" s="5"/>
      <c r="CA17" s="5"/>
      <c r="CB17" s="40"/>
      <c r="CC17" s="5"/>
      <c r="CD17" s="5"/>
      <c r="CE17" s="40"/>
      <c r="CF17" s="5"/>
      <c r="CG17" s="5"/>
      <c r="CH17" s="40"/>
      <c r="CI17" s="5"/>
      <c r="CJ17" s="5"/>
      <c r="CK17" s="40"/>
      <c r="CL17" s="5"/>
      <c r="CM17" s="5"/>
      <c r="CN17" s="40"/>
      <c r="CO17" s="5"/>
      <c r="CP17" s="5"/>
      <c r="CQ17" s="40"/>
      <c r="CR17" s="5"/>
      <c r="CS17" s="5"/>
      <c r="CT17" s="5"/>
      <c r="CU17" s="5"/>
      <c r="CV17" s="5"/>
      <c r="CW17" s="5"/>
      <c r="CX17" s="5"/>
      <c r="CY17" s="5"/>
      <c r="CZ17" s="5"/>
      <c r="DA17" s="5"/>
      <c r="DB17" s="5"/>
      <c r="DC17" s="5"/>
      <c r="DD17" s="5"/>
      <c r="DE17" s="5"/>
      <c r="DF17" s="5"/>
    </row>
    <row r="18">
      <c r="A18" s="14" t="s">
        <v>44</v>
      </c>
      <c r="B18" s="41" t="s">
        <v>842</v>
      </c>
      <c r="C18" s="33"/>
      <c r="D18" s="33"/>
      <c r="G18" s="5"/>
      <c r="H18" s="40">
        <f>IFERROR(__xludf.DUMMYFUNCTION("""COMPUTED_VALUE"""),44038.67307870371)</f>
        <v>44038.67308</v>
      </c>
      <c r="I18" s="5" t="str">
        <f>IFERROR(__xludf.DUMMYFUNCTION("""COMPUTED_VALUE"""),"All we need is Leicester City win for the victory of football. Do your thing, vardy. Rashford you don't want CL football. Scenes if Leicester get CL football. Greenwood and Williams are the only man Utd players playing great football, the rest.....")</f>
        <v>All we need is Leicester City win for the victory of football. Do your thing, vardy. Rashford you don't want CL football. Scenes if Leicester get CL football. Greenwood and Williams are the only man Utd players playing great football, the rest.....</v>
      </c>
      <c r="J18" s="39" t="s">
        <v>16</v>
      </c>
      <c r="K18" s="40">
        <f>IFERROR(__xludf.DUMMYFUNCTION("""COMPUTED_VALUE"""),44038.69152777777)</f>
        <v>44038.69153</v>
      </c>
      <c r="L18" s="5" t="str">
        <f>IFERROR(__xludf.DUMMYFUNCTION("""COMPUTED_VALUE"""),"I agree with the lingard sub, lingard runs about a lot and covers space. Would you bring Lingard on based on the first half? Ok Lingard 1 goal or assist is all I need from you for the whole season. Man put on lingard we really need some good players.")</f>
        <v>I agree with the lingard sub, lingard runs about a lot and covers space. Would you bring Lingard on based on the first half? Ok Lingard 1 goal or assist is all I need from you for the whole season. Man put on lingard we really need some good players.</v>
      </c>
      <c r="M18" s="39" t="s">
        <v>17</v>
      </c>
      <c r="N18" s="40">
        <f>IFERROR(__xludf.DUMMYFUNCTION("""COMPUTED_VALUE"""),44038.70189814815)</f>
        <v>44038.7019</v>
      </c>
      <c r="O18" s="5" t="str">
        <f>IFERROR(__xludf.DUMMYFUNCTION("""COMPUTED_VALUE"""),"Why is that a foul against Pogba? Fuck off. Ref has to be a Leicester fan. Anytime we apply pressure to a Leicester player, he gives a foul. 93 minutes played... Ref.. How far.... #Leimun. How are we constantly giving out fouls this close to the box? #LEI"&amp;"MUN.")</f>
        <v>Why is that a foul against Pogba? Fuck off. Ref has to be a Leicester fan. Anytime we apply pressure to a Leicester player, he gives a foul. 93 minutes played... Ref.. How far.... #Leimun. How are we constantly giving out fouls this close to the box? #LEIMUN.</v>
      </c>
      <c r="P18" s="39" t="s">
        <v>18</v>
      </c>
      <c r="Q18" s="40">
        <f>IFERROR(__xludf.DUMMYFUNCTION("""COMPUTED_VALUE"""),44038.67054398148)</f>
        <v>44038.67054</v>
      </c>
      <c r="R18" s="5" t="str">
        <f>IFERROR(__xludf.DUMMYFUNCTION("""COMPUTED_VALUE"""),"Am i blind or did matic make a forward pass. Ahh Martial with a clever run and great pass by Matic. What a pass from Matic, Martial should have shot with his left. What a pass that is from Matic into Martial. Martial goes down under pressure but never a p"&amp;"enalty there.")</f>
        <v>Am i blind or did matic make a forward pass. Ahh Martial with a clever run and great pass by Matic. What a pass from Matic, Martial should have shot with his left. What a pass that is from Matic into Martial. Martial goes down under pressure but never a penalty there.</v>
      </c>
      <c r="S18" s="39" t="s">
        <v>18</v>
      </c>
      <c r="V18" s="5"/>
      <c r="Y18" s="5"/>
      <c r="Z18" s="40">
        <f>IFERROR(__xludf.DUMMYFUNCTION("""COMPUTED_VALUE"""),44038.691203703704)</f>
        <v>44038.6912</v>
      </c>
      <c r="AA18" s="5" t="str">
        <f>IFERROR(__xludf.DUMMYFUNCTION("""COMPUTED_VALUE"""),"Lol that guy that bet against Lingard having a goal contribution this season is tense right now. Lingard to score and confirm 3rd place for us pls 🥺🥺. Bloody hell, we need goals, this cunt brings on Lingard. If lingard score a goal today, i will never r"&amp;"oast him ever again.")</f>
        <v>Lol that guy that bet against Lingard having a goal contribution this season is tense right now. Lingard to score and confirm 3rd place for us pls 🥺🥺. Bloody hell, we need goals, this cunt brings on Lingard. If lingard score a goal today, i will never roast him ever again.</v>
      </c>
      <c r="AB18" s="39" t="s">
        <v>17</v>
      </c>
      <c r="AE18" s="5"/>
      <c r="AH18" s="5"/>
      <c r="AK18" s="5"/>
      <c r="AN18" s="5"/>
      <c r="AO18" s="40"/>
      <c r="AP18" s="5"/>
      <c r="AQ18" s="5"/>
      <c r="AR18" s="40"/>
      <c r="AS18" s="5"/>
      <c r="AT18" s="5"/>
      <c r="AU18" s="40"/>
      <c r="AV18" s="5"/>
      <c r="AW18" s="5"/>
      <c r="AX18" s="40"/>
      <c r="AY18" s="5"/>
      <c r="AZ18" s="5"/>
      <c r="BA18" s="40"/>
      <c r="BB18" s="5"/>
      <c r="BC18" s="5"/>
      <c r="BD18" s="40"/>
      <c r="BE18" s="5"/>
      <c r="BF18" s="5"/>
      <c r="BG18" s="40"/>
      <c r="BH18" s="5"/>
      <c r="BI18" s="5"/>
      <c r="BJ18" s="40"/>
      <c r="BK18" s="5"/>
      <c r="BL18" s="5"/>
      <c r="BM18" s="40"/>
      <c r="BN18" s="5"/>
      <c r="BO18" s="5"/>
      <c r="BP18" s="40"/>
      <c r="BQ18" s="5"/>
      <c r="BR18" s="5"/>
      <c r="BS18" s="40"/>
      <c r="BT18" s="5"/>
      <c r="BU18" s="5"/>
      <c r="BV18" s="40"/>
      <c r="BW18" s="5"/>
      <c r="BX18" s="5"/>
      <c r="BY18" s="40"/>
      <c r="BZ18" s="5"/>
      <c r="CA18" s="5"/>
      <c r="CB18" s="40"/>
      <c r="CC18" s="5"/>
      <c r="CD18" s="5"/>
      <c r="CE18" s="40"/>
      <c r="CF18" s="5"/>
      <c r="CG18" s="5"/>
      <c r="CH18" s="40"/>
      <c r="CI18" s="5"/>
      <c r="CJ18" s="5"/>
      <c r="CK18" s="40"/>
      <c r="CL18" s="5"/>
      <c r="CM18" s="5"/>
      <c r="CN18" s="40"/>
      <c r="CO18" s="5"/>
      <c r="CP18" s="5"/>
      <c r="CQ18" s="40"/>
      <c r="CR18" s="5"/>
      <c r="CS18" s="5"/>
      <c r="CT18" s="5"/>
      <c r="CU18" s="5"/>
      <c r="CV18" s="5"/>
      <c r="CW18" s="5"/>
      <c r="CX18" s="5"/>
      <c r="CY18" s="5"/>
      <c r="CZ18" s="5"/>
      <c r="DA18" s="5"/>
      <c r="DB18" s="5"/>
      <c r="DC18" s="5"/>
      <c r="DD18" s="5"/>
      <c r="DE18" s="5"/>
      <c r="DF18" s="5"/>
    </row>
    <row r="19">
      <c r="A19" s="14" t="s">
        <v>46</v>
      </c>
      <c r="C19" s="14" t="s">
        <v>34</v>
      </c>
      <c r="D19" s="14" t="s">
        <v>35</v>
      </c>
      <c r="G19" s="5"/>
      <c r="H19" s="40">
        <f>IFERROR(__xludf.DUMMYFUNCTION("""COMPUTED_VALUE"""),44038.675034722226)</f>
        <v>44038.67503</v>
      </c>
      <c r="I19" s="5" t="str">
        <f>IFERROR(__xludf.DUMMYFUNCTION("""COMPUTED_VALUE"""),"The theme song for celebrating Manchester United's draw (WIN) today is Jollof Onthe Jet 🎵🔴🛩⚽️.")</f>
        <v>The theme song for celebrating Manchester United's draw (WIN) today is Jollof Onthe Jet 🎵🔴🛩⚽️.</v>
      </c>
      <c r="J19" s="39" t="s">
        <v>15</v>
      </c>
      <c r="K19" s="40">
        <f>IFERROR(__xludf.DUMMYFUNCTION("""COMPUTED_VALUE"""),44038.69608796296)</f>
        <v>44038.69609</v>
      </c>
      <c r="L19" s="5" t="str">
        <f>IFERROR(__xludf.DUMMYFUNCTION("""COMPUTED_VALUE"""),"Maguire need to be subbed right now! Guys panicking like a egg cracking! #MUNLEI. How has Maguire escaped a 2nd yellow there?? Maguire was supposed to get a second yellow. But its Man utd. One of those yellow card unless it's a second yellow tackles by Ma"&amp;"guire...")</f>
        <v>Maguire need to be subbed right now! Guys panicking like a egg cracking! #MUNLEI. How has Maguire escaped a 2nd yellow there?? Maguire was supposed to get a second yellow. But its Man utd. One of those yellow card unless it's a second yellow tackles by Maguire...</v>
      </c>
      <c r="M19" s="39" t="s">
        <v>18</v>
      </c>
      <c r="N19" s="40">
        <f>IFERROR(__xludf.DUMMYFUNCTION("""COMPUTED_VALUE"""),44038.70350694444)</f>
        <v>44038.70351</v>
      </c>
      <c r="O19" s="5" t="str">
        <f>IFERROR(__xludf.DUMMYFUNCTION("""COMPUTED_VALUE"""),"Johnny Evans earns a straight red for a ridiculous foul on McTominay. Garbage tackle. Awful tackle from Jonny Evans. Given a penalty away and a red card against his former club. #mufc. Penalty and a red card, this is undoubtedly Jonny Evans' best ever per"&amp;"formance for United.")</f>
        <v>Johnny Evans earns a straight red for a ridiculous foul on McTominay. Garbage tackle. Awful tackle from Jonny Evans. Given a penalty away and a red card against his former club. #mufc. Penalty and a red card, this is undoubtedly Jonny Evans' best ever performance for United.</v>
      </c>
      <c r="P19" s="39" t="s">
        <v>17</v>
      </c>
      <c r="Q19" s="40">
        <f>IFERROR(__xludf.DUMMYFUNCTION("""COMPUTED_VALUE"""),44038.68335648148)</f>
        <v>44038.68336</v>
      </c>
      <c r="R19" s="5" t="str">
        <f>IFERROR(__xludf.DUMMYFUNCTION("""COMPUTED_VALUE"""),"The fuck was that pass from pogba #mufc. Pogba please take care of the ball!!! #MUFC #LEIMUN. Rashford has ACRES to make a run inside for that Pogba ball but he's standing on the wing waiting for it. Pogba lose the ball too easily still enuh. Pogba's head"&amp;" has started to touch.")</f>
        <v>The fuck was that pass from pogba #mufc. Pogba please take care of the ball!!! #MUFC #LEIMUN. Rashford has ACRES to make a run inside for that Pogba ball but he's standing on the wing waiting for it. Pogba lose the ball too easily still enuh. Pogba's head has started to touch.</v>
      </c>
      <c r="S19" s="39" t="s">
        <v>18</v>
      </c>
      <c r="V19" s="5"/>
      <c r="Y19" s="5"/>
      <c r="Z19" s="40">
        <f>IFERROR(__xludf.DUMMYFUNCTION("""COMPUTED_VALUE"""),44038.69371527778)</f>
        <v>44038.69372</v>
      </c>
      <c r="AA19" s="5" t="str">
        <f>IFERROR(__xludf.DUMMYFUNCTION("""COMPUTED_VALUE"""),"Bruno Fernandes scores to put United where they want to be. Couldn’t have been anyone else. What a signing.. Does anyone love scoring penalties more than Bruno Fernandes?. Love a Leicester goal here to finish third.")</f>
        <v>Bruno Fernandes scores to put United where they want to be. Couldn’t have been anyone else. What a signing.. Does anyone love scoring penalties more than Bruno Fernandes?. Love a Leicester goal here to finish third.</v>
      </c>
      <c r="AB19" s="39" t="s">
        <v>14</v>
      </c>
      <c r="AE19" s="5"/>
      <c r="AH19" s="5"/>
      <c r="AK19" s="5"/>
      <c r="AN19" s="5"/>
      <c r="AO19" s="40"/>
      <c r="AP19" s="5"/>
      <c r="AQ19" s="5"/>
      <c r="AR19" s="40"/>
      <c r="AS19" s="5"/>
      <c r="AT19" s="5"/>
      <c r="AU19" s="40"/>
      <c r="AV19" s="5"/>
      <c r="AW19" s="5"/>
      <c r="AX19" s="40"/>
      <c r="AY19" s="5"/>
      <c r="AZ19" s="5"/>
      <c r="BA19" s="40"/>
      <c r="BB19" s="5"/>
      <c r="BC19" s="5"/>
      <c r="BD19" s="40"/>
      <c r="BE19" s="5"/>
      <c r="BF19" s="5"/>
      <c r="BG19" s="40"/>
      <c r="BH19" s="5"/>
      <c r="BI19" s="5"/>
      <c r="BJ19" s="40"/>
      <c r="BK19" s="5"/>
      <c r="BL19" s="5"/>
      <c r="BM19" s="40"/>
      <c r="BN19" s="5"/>
      <c r="BO19" s="5"/>
      <c r="BP19" s="40"/>
      <c r="BQ19" s="5"/>
      <c r="BR19" s="5"/>
      <c r="BS19" s="40"/>
      <c r="BT19" s="5"/>
      <c r="BU19" s="5"/>
      <c r="BV19" s="40"/>
      <c r="BW19" s="5"/>
      <c r="BX19" s="5"/>
      <c r="BY19" s="40"/>
      <c r="BZ19" s="5"/>
      <c r="CA19" s="5"/>
      <c r="CB19" s="40"/>
      <c r="CC19" s="5"/>
      <c r="CD19" s="5"/>
      <c r="CE19" s="40"/>
      <c r="CF19" s="5"/>
      <c r="CG19" s="5"/>
      <c r="CH19" s="40"/>
      <c r="CI19" s="5"/>
      <c r="CJ19" s="5"/>
      <c r="CK19" s="40"/>
      <c r="CL19" s="5"/>
      <c r="CM19" s="5"/>
      <c r="CN19" s="40"/>
      <c r="CO19" s="5"/>
      <c r="CP19" s="5"/>
      <c r="CQ19" s="40"/>
      <c r="CR19" s="5"/>
      <c r="CS19" s="5"/>
      <c r="CT19" s="5"/>
      <c r="CU19" s="5"/>
      <c r="CV19" s="5"/>
      <c r="CW19" s="5"/>
      <c r="CX19" s="5"/>
      <c r="CY19" s="5"/>
      <c r="CZ19" s="5"/>
      <c r="DA19" s="5"/>
      <c r="DB19" s="5"/>
      <c r="DC19" s="5"/>
      <c r="DD19" s="5"/>
      <c r="DE19" s="5"/>
      <c r="DF19" s="5"/>
    </row>
    <row r="20">
      <c r="A20" s="19" t="s">
        <v>47</v>
      </c>
      <c r="B20" s="19" t="s">
        <v>48</v>
      </c>
      <c r="C20" s="21">
        <f t="shared" ref="C20:C23" si="65">COUNTIF($A$26:$A1007, A20)</f>
        <v>3</v>
      </c>
      <c r="D20" s="26">
        <f>IFERROR(__xludf.DUMMYFUNCTION("IF(C20, COUNTIF(FILTER($D$26:$D1007, $A$26:$A1007=A20), TRUE)/C20, 0)"),1.0)</f>
        <v>1</v>
      </c>
      <c r="G20" s="5"/>
      <c r="H20" s="40">
        <f>IFERROR(__xludf.DUMMYFUNCTION("""COMPUTED_VALUE"""),44038.68292824074)</f>
        <v>44038.68293</v>
      </c>
      <c r="I20" s="5" t="str">
        <f>IFERROR(__xludf.DUMMYFUNCTION("""COMPUTED_VALUE"""),"Leicester deserve cl football we dont. I hope we can all agree that Pogba is a VERY average footballer! What kinda useless football is this? Ole should do some changes #LEIMUN. Adama Traore chose the wrong football 😂. #CHEWOL #LEIMUN.")</f>
        <v>Leicester deserve cl football we dont. I hope we can all agree that Pogba is a VERY average footballer! What kinda useless football is this? Ole should do some changes #LEIMUN. Adama Traore chose the wrong football 😂. #CHEWOL #LEIMUN.</v>
      </c>
      <c r="J20" s="39" t="s">
        <v>16</v>
      </c>
      <c r="M20" s="5"/>
      <c r="N20" s="40">
        <f>IFERROR(__xludf.DUMMYFUNCTION("""COMPUTED_VALUE"""),44038.70560185185)</f>
        <v>44038.7056</v>
      </c>
      <c r="O20" s="5" t="str">
        <f>IFERROR(__xludf.DUMMYFUNCTION("""COMPUTED_VALUE"""),"Top performance by Jonny Evans. Conceded a penalty and got a red. United legend. Johnny Evans gifting a penalty to United. What a legend! 😍 #LEIMUN. Penalty given away, red card. Jonny Evans, Man United legend!.")</f>
        <v>Top performance by Jonny Evans. Conceded a penalty and got a red. United legend. Johnny Evans gifting a penalty to United. What a legend! 😍 #LEIMUN. Penalty given away, red card. Jonny Evans, Man United legend!.</v>
      </c>
      <c r="P20" s="39" t="s">
        <v>14</v>
      </c>
      <c r="Q20" s="40">
        <f>IFERROR(__xludf.DUMMYFUNCTION("""COMPUTED_VALUE"""),44038.695555555554)</f>
        <v>44038.69556</v>
      </c>
      <c r="R20" s="5" t="str">
        <f>IFERROR(__xludf.DUMMYFUNCTION("""COMPUTED_VALUE"""),"MOTM for me so far has to be Pogba. Played very well eith the occasional misplaced pass. Pogba lose the ball in midfield fi fun!!!! Pogba trying to sabotage. C'mon lad. One touch football jo. Olè needs to caution pogba, he losses way too many balls, dange"&amp;"rously dho.")</f>
        <v>MOTM for me so far has to be Pogba. Played very well eith the occasional misplaced pass. Pogba lose the ball in midfield fi fun!!!! Pogba trying to sabotage. C'mon lad. One touch football jo. Olè needs to caution pogba, he losses way too many balls, dangerously dho.</v>
      </c>
      <c r="S20" s="39" t="s">
        <v>18</v>
      </c>
      <c r="V20" s="5"/>
      <c r="Y20" s="5"/>
      <c r="Z20" s="40">
        <f>IFERROR(__xludf.DUMMYFUNCTION("""COMPUTED_VALUE"""),44038.70579861111)</f>
        <v>44038.7058</v>
      </c>
      <c r="AA20" s="5" t="str">
        <f>IFERROR(__xludf.DUMMYFUNCTION("""COMPUTED_VALUE"""),"Lingard would score on the team he’ll be playing on next year. Lingard scores ahahhahahahaha what a final day this has turned out to be. Jesse lingard with the most important goal of the season. 😭😭😭😭😭😭😭😭😭😭😭😭😭😭😭😭😭😭😭😭😭😭😭😭😭😭😭😭😭😭"&amp;"😭😭😭😭😭😭😭😭😭😭😭😭😭😭😭.")</f>
        <v>Lingard would score on the team he’ll be playing on next year. Lingard scores ahahhahahahaha what a final day this has turned out to be. Jesse lingard with the most important goal of the season. 😭😭😭😭😭😭😭😭😭😭😭😭😭😭😭😭😭😭😭😭😭😭😭😭😭😭😭😭😭😭😭😭😭😭😭😭😭😭😭😭😭😭😭😭😭.</v>
      </c>
      <c r="AB20" s="39" t="s">
        <v>17</v>
      </c>
      <c r="AE20" s="5"/>
      <c r="AH20" s="5"/>
      <c r="AK20" s="5"/>
      <c r="AN20" s="5"/>
      <c r="AO20" s="40"/>
      <c r="AP20" s="5"/>
      <c r="AQ20" s="5"/>
      <c r="AR20" s="40"/>
      <c r="AS20" s="5"/>
      <c r="AT20" s="5"/>
      <c r="AU20" s="40"/>
      <c r="AV20" s="5"/>
      <c r="AW20" s="5"/>
      <c r="AX20" s="40"/>
      <c r="AY20" s="5"/>
      <c r="AZ20" s="5"/>
      <c r="BA20" s="40"/>
      <c r="BB20" s="5"/>
      <c r="BC20" s="5"/>
      <c r="BD20" s="40"/>
      <c r="BE20" s="5"/>
      <c r="BF20" s="5"/>
      <c r="BG20" s="40"/>
      <c r="BH20" s="5"/>
      <c r="BI20" s="5"/>
      <c r="BJ20" s="40"/>
      <c r="BK20" s="5"/>
      <c r="BL20" s="5"/>
      <c r="BM20" s="40"/>
      <c r="BN20" s="5"/>
      <c r="BO20" s="5"/>
      <c r="BP20" s="40"/>
      <c r="BQ20" s="5"/>
      <c r="BR20" s="5"/>
      <c r="BS20" s="40"/>
      <c r="BT20" s="5"/>
      <c r="BU20" s="5"/>
      <c r="BV20" s="40"/>
      <c r="BW20" s="5"/>
      <c r="BX20" s="5"/>
      <c r="BY20" s="40"/>
      <c r="BZ20" s="5"/>
      <c r="CA20" s="5"/>
      <c r="CB20" s="40"/>
      <c r="CC20" s="5"/>
      <c r="CD20" s="5"/>
      <c r="CE20" s="40"/>
      <c r="CF20" s="5"/>
      <c r="CG20" s="5"/>
      <c r="CH20" s="40"/>
      <c r="CI20" s="5"/>
      <c r="CJ20" s="5"/>
      <c r="CK20" s="40"/>
      <c r="CL20" s="5"/>
      <c r="CM20" s="5"/>
      <c r="CN20" s="40"/>
      <c r="CO20" s="5"/>
      <c r="CP20" s="5"/>
      <c r="CQ20" s="40"/>
      <c r="CR20" s="5"/>
      <c r="CS20" s="5"/>
      <c r="CT20" s="5"/>
      <c r="CU20" s="5"/>
      <c r="CV20" s="5"/>
      <c r="CW20" s="5"/>
      <c r="CX20" s="5"/>
      <c r="CY20" s="5"/>
      <c r="CZ20" s="5"/>
      <c r="DA20" s="5"/>
      <c r="DB20" s="5"/>
      <c r="DC20" s="5"/>
      <c r="DD20" s="5"/>
      <c r="DE20" s="5"/>
      <c r="DF20" s="5"/>
    </row>
    <row r="21">
      <c r="A21" s="19" t="s">
        <v>49</v>
      </c>
      <c r="B21" s="19" t="s">
        <v>50</v>
      </c>
      <c r="C21" s="21">
        <f t="shared" si="65"/>
        <v>7</v>
      </c>
      <c r="D21" s="26">
        <f>IFERROR(__xludf.DUMMYFUNCTION("IF(C21, COUNTIF(FILTER($D$26:$D1007, $A$26:$A1007=A21), TRUE)/C21, 0)"),0.5714285714285714)</f>
        <v>0.5714285714</v>
      </c>
      <c r="G21" s="5"/>
      <c r="H21" s="40">
        <f>IFERROR(__xludf.DUMMYFUNCTION("""COMPUTED_VALUE"""),44038.68582175926)</f>
        <v>44038.68582</v>
      </c>
      <c r="I21" s="5" t="str">
        <f>IFERROR(__xludf.DUMMYFUNCTION("""COMPUTED_VALUE"""),"We got Penalty in the final match too... 😂😂😂 #LEIMUN. Manchester United set a new record for the most penalties (14) in a Premier League season. #LEIMUN. United have a penalty. Europa league waiting for Leicester !. If no be penalty una no go win ball."&amp;" #LEIMUN TUEEHH.")</f>
        <v>We got Penalty in the final match too... 😂😂😂 #LEIMUN. Manchester United set a new record for the most penalties (14) in a Premier League season. #LEIMUN. United have a penalty. Europa league waiting for Leicester !. If no be penalty una no go win ball. #LEIMUN TUEEHH.</v>
      </c>
      <c r="J21" s="39" t="s">
        <v>18</v>
      </c>
      <c r="M21" s="5"/>
      <c r="P21" s="5"/>
      <c r="S21" s="5"/>
      <c r="V21" s="5"/>
      <c r="Y21" s="5"/>
      <c r="AB21" s="5"/>
      <c r="AE21" s="5"/>
      <c r="AH21" s="5"/>
      <c r="AK21" s="5"/>
      <c r="AN21" s="5"/>
      <c r="AO21" s="40"/>
      <c r="AP21" s="5"/>
      <c r="AQ21" s="5"/>
      <c r="AR21" s="40"/>
      <c r="AS21" s="5"/>
      <c r="AT21" s="5"/>
      <c r="AU21" s="40"/>
      <c r="AV21" s="5"/>
      <c r="AW21" s="5"/>
      <c r="AX21" s="40"/>
      <c r="AY21" s="5"/>
      <c r="AZ21" s="5"/>
      <c r="BA21" s="40"/>
      <c r="BB21" s="5"/>
      <c r="BC21" s="5"/>
      <c r="BD21" s="40"/>
      <c r="BE21" s="5"/>
      <c r="BF21" s="5"/>
      <c r="BG21" s="40"/>
      <c r="BH21" s="5"/>
      <c r="BI21" s="5"/>
      <c r="BJ21" s="40"/>
      <c r="BK21" s="5"/>
      <c r="BL21" s="5"/>
      <c r="BM21" s="40"/>
      <c r="BN21" s="5"/>
      <c r="BO21" s="5"/>
      <c r="BP21" s="40"/>
      <c r="BQ21" s="5"/>
      <c r="BR21" s="5"/>
      <c r="BS21" s="40"/>
      <c r="BT21" s="5"/>
      <c r="BU21" s="5"/>
      <c r="BV21" s="40"/>
      <c r="BW21" s="5"/>
      <c r="BX21" s="5"/>
      <c r="BY21" s="40"/>
      <c r="BZ21" s="5"/>
      <c r="CA21" s="5"/>
      <c r="CB21" s="40"/>
      <c r="CC21" s="5"/>
      <c r="CD21" s="5"/>
      <c r="CE21" s="40"/>
      <c r="CF21" s="5"/>
      <c r="CG21" s="5"/>
      <c r="CH21" s="40"/>
      <c r="CI21" s="5"/>
      <c r="CJ21" s="5"/>
      <c r="CK21" s="40"/>
      <c r="CL21" s="5"/>
      <c r="CM21" s="5"/>
      <c r="CN21" s="40"/>
      <c r="CO21" s="5"/>
      <c r="CP21" s="5"/>
      <c r="CQ21" s="40"/>
      <c r="CR21" s="5"/>
      <c r="CS21" s="5"/>
      <c r="CT21" s="5"/>
      <c r="CU21" s="5"/>
      <c r="CV21" s="5"/>
      <c r="CW21" s="5"/>
      <c r="CX21" s="5"/>
      <c r="CY21" s="5"/>
      <c r="CZ21" s="5"/>
      <c r="DA21" s="5"/>
      <c r="DB21" s="5"/>
      <c r="DC21" s="5"/>
      <c r="DD21" s="5"/>
      <c r="DE21" s="5"/>
      <c r="DF21" s="5"/>
    </row>
    <row r="22">
      <c r="A22" s="19" t="s">
        <v>51</v>
      </c>
      <c r="B22" s="19" t="s">
        <v>52</v>
      </c>
      <c r="C22" s="21">
        <f t="shared" si="65"/>
        <v>4</v>
      </c>
      <c r="D22" s="26">
        <f>IFERROR(__xludf.DUMMYFUNCTION("IF(C22, COUNTIF(FILTER($D$26:$D1007, $A$26:$A1007=A22), TRUE)/C22, 0)"),0.25)</f>
        <v>0.25</v>
      </c>
      <c r="G22" s="5"/>
      <c r="H22" s="40">
        <f>IFERROR(__xludf.DUMMYFUNCTION("""COMPUTED_VALUE"""),44038.6871412037)</f>
        <v>44038.68714</v>
      </c>
      <c r="I22" s="5" t="str">
        <f>IFERROR(__xludf.DUMMYFUNCTION("""COMPUTED_VALUE"""),"Martial FC winning a penalty for Fernandes FC. Bruno Fernandes the biggest stat padder in the league. Has Bruno Fernandes just fired Manchester United into the Champions League? #LEIMUN. Bruno has been terrible this game but has got us CL football so 🤪. "&amp;"#LEIMUN.")</f>
        <v>Martial FC winning a penalty for Fernandes FC. Bruno Fernandes the biggest stat padder in the league. Has Bruno Fernandes just fired Manchester United into the Champions League? #LEIMUN. Bruno has been terrible this game but has got us CL football so 🤪. #LEIMUN.</v>
      </c>
      <c r="J22" s="39" t="s">
        <v>16</v>
      </c>
      <c r="M22" s="5"/>
      <c r="P22" s="5"/>
      <c r="S22" s="5"/>
      <c r="V22" s="5"/>
      <c r="Y22" s="5"/>
      <c r="AB22" s="5"/>
      <c r="AE22" s="5"/>
      <c r="AH22" s="5"/>
      <c r="AK22" s="5"/>
      <c r="AN22" s="5"/>
      <c r="AO22" s="40"/>
      <c r="AP22" s="5"/>
      <c r="AQ22" s="5"/>
      <c r="AR22" s="40"/>
      <c r="AS22" s="5"/>
      <c r="AT22" s="5"/>
      <c r="AU22" s="40"/>
      <c r="AV22" s="5"/>
      <c r="AW22" s="5"/>
      <c r="AX22" s="40"/>
      <c r="AY22" s="5"/>
      <c r="AZ22" s="5"/>
      <c r="BA22" s="40"/>
      <c r="BB22" s="5"/>
      <c r="BC22" s="5"/>
      <c r="BD22" s="40"/>
      <c r="BE22" s="5"/>
      <c r="BF22" s="5"/>
      <c r="BG22" s="40"/>
      <c r="BH22" s="5"/>
      <c r="BI22" s="5"/>
      <c r="BJ22" s="40"/>
      <c r="BK22" s="5"/>
      <c r="BL22" s="5"/>
      <c r="BM22" s="40"/>
      <c r="BN22" s="5"/>
      <c r="BO22" s="5"/>
      <c r="BP22" s="40"/>
      <c r="BQ22" s="5"/>
      <c r="BR22" s="5"/>
      <c r="BS22" s="40"/>
      <c r="BT22" s="5"/>
      <c r="BU22" s="5"/>
      <c r="BV22" s="40"/>
      <c r="BW22" s="5"/>
      <c r="BX22" s="5"/>
      <c r="BY22" s="40"/>
      <c r="BZ22" s="5"/>
      <c r="CA22" s="5"/>
      <c r="CB22" s="40"/>
      <c r="CC22" s="5"/>
      <c r="CD22" s="5"/>
      <c r="CE22" s="40"/>
      <c r="CF22" s="5"/>
      <c r="CG22" s="5"/>
      <c r="CH22" s="40"/>
      <c r="CI22" s="5"/>
      <c r="CJ22" s="5"/>
      <c r="CK22" s="40"/>
      <c r="CL22" s="5"/>
      <c r="CM22" s="5"/>
      <c r="CN22" s="40"/>
      <c r="CO22" s="5"/>
      <c r="CP22" s="5"/>
      <c r="CQ22" s="40"/>
      <c r="CR22" s="5"/>
      <c r="CS22" s="5"/>
      <c r="CT22" s="5"/>
      <c r="CU22" s="5"/>
      <c r="CV22" s="5"/>
      <c r="CW22" s="5"/>
      <c r="CX22" s="5"/>
      <c r="CY22" s="5"/>
      <c r="CZ22" s="5"/>
      <c r="DA22" s="5"/>
      <c r="DB22" s="5"/>
      <c r="DC22" s="5"/>
      <c r="DD22" s="5"/>
      <c r="DE22" s="5"/>
      <c r="DF22" s="5"/>
    </row>
    <row r="23">
      <c r="A23" s="19" t="s">
        <v>53</v>
      </c>
      <c r="B23" s="19" t="s">
        <v>54</v>
      </c>
      <c r="C23" s="21">
        <f t="shared" si="65"/>
        <v>9</v>
      </c>
      <c r="D23" s="26">
        <f>IFERROR(__xludf.DUMMYFUNCTION("IF(C23, COUNTIF(FILTER($D$26:$D1007, $A$26:$A1007=A23), TRUE)/C23, 0)"),0.2222222222222222)</f>
        <v>0.2222222222</v>
      </c>
      <c r="G23" s="5"/>
      <c r="H23" s="40">
        <f>IFERROR(__xludf.DUMMYFUNCTION("""COMPUTED_VALUE"""),44038.68863425926)</f>
        <v>44038.68863</v>
      </c>
      <c r="I23" s="5" t="str">
        <f>IFERROR(__xludf.DUMMYFUNCTION("""COMPUTED_VALUE"""),"That was Manchester United’s 20th penalty of the season and their 14th in the Premier League - a new record lol fuck this club honestly #PL. That was Manchester United's 1⃣4⃣th penalty of the season, a new Premier League record...👀.")</f>
        <v>That was Manchester United’s 20th penalty of the season and their 14th in the Premier League - a new record lol fuck this club honestly #PL. That was Manchester United's 1⃣4⃣th penalty of the season, a new Premier League record...👀.</v>
      </c>
      <c r="J23" s="39" t="s">
        <v>18</v>
      </c>
      <c r="M23" s="5"/>
      <c r="P23" s="5"/>
      <c r="S23" s="5"/>
      <c r="V23" s="5"/>
      <c r="Y23" s="5"/>
      <c r="AB23" s="5"/>
      <c r="AE23" s="5"/>
      <c r="AH23" s="5"/>
      <c r="AK23" s="5"/>
      <c r="AN23" s="5"/>
      <c r="AO23" s="40"/>
      <c r="AP23" s="5"/>
      <c r="AQ23" s="5"/>
      <c r="AR23" s="40"/>
      <c r="AS23" s="5"/>
      <c r="AT23" s="5"/>
      <c r="AU23" s="40"/>
      <c r="AV23" s="5"/>
      <c r="AW23" s="5"/>
      <c r="AX23" s="40"/>
      <c r="AY23" s="5"/>
      <c r="AZ23" s="5"/>
      <c r="BA23" s="40"/>
      <c r="BB23" s="5"/>
      <c r="BC23" s="5"/>
      <c r="BD23" s="40"/>
      <c r="BE23" s="5"/>
      <c r="BF23" s="5"/>
      <c r="BG23" s="40"/>
      <c r="BH23" s="5"/>
      <c r="BI23" s="5"/>
      <c r="BJ23" s="40"/>
      <c r="BK23" s="5"/>
      <c r="BL23" s="5"/>
      <c r="BM23" s="40"/>
      <c r="BN23" s="5"/>
      <c r="BO23" s="5"/>
      <c r="BP23" s="40"/>
      <c r="BQ23" s="5"/>
      <c r="BR23" s="5"/>
      <c r="BS23" s="40"/>
      <c r="BT23" s="5"/>
      <c r="BU23" s="5"/>
      <c r="BV23" s="40"/>
      <c r="BW23" s="5"/>
      <c r="BX23" s="5"/>
      <c r="BY23" s="40"/>
      <c r="BZ23" s="5"/>
      <c r="CA23" s="5"/>
      <c r="CB23" s="40"/>
      <c r="CC23" s="5"/>
      <c r="CD23" s="5"/>
      <c r="CE23" s="40"/>
      <c r="CF23" s="5"/>
      <c r="CG23" s="5"/>
      <c r="CH23" s="40"/>
      <c r="CI23" s="5"/>
      <c r="CJ23" s="5"/>
      <c r="CK23" s="40"/>
      <c r="CL23" s="5"/>
      <c r="CM23" s="5"/>
      <c r="CN23" s="40"/>
      <c r="CO23" s="5"/>
      <c r="CP23" s="5"/>
      <c r="CQ23" s="40"/>
      <c r="CR23" s="5"/>
      <c r="CS23" s="5"/>
      <c r="CT23" s="5"/>
      <c r="CU23" s="5"/>
      <c r="CV23" s="5"/>
      <c r="CW23" s="5"/>
      <c r="CX23" s="5"/>
      <c r="CY23" s="5"/>
      <c r="CZ23" s="5"/>
      <c r="DA23" s="5"/>
      <c r="DB23" s="5"/>
      <c r="DC23" s="5"/>
      <c r="DD23" s="5"/>
      <c r="DE23" s="5"/>
      <c r="DF23" s="5"/>
    </row>
    <row r="24">
      <c r="A24" s="19"/>
      <c r="B24" s="14" t="s">
        <v>55</v>
      </c>
      <c r="C24" s="34">
        <f>SUM(C20:C23)</f>
        <v>23</v>
      </c>
      <c r="D24" s="26">
        <f>COUNTIF($D$26:$D1007, TRUE)/C24</f>
        <v>0.4347826087</v>
      </c>
      <c r="G24" s="5"/>
      <c r="H24" s="40">
        <f>IFERROR(__xludf.DUMMYFUNCTION("""COMPUTED_VALUE"""),44038.69108796296)</f>
        <v>44038.69109</v>
      </c>
      <c r="I24" s="5" t="str">
        <f>IFERROR(__xludf.DUMMYFUNCTION("""COMPUTED_VALUE"""),"Lingard coming on for his final game in the league for utd. Manchester United have won 14 penalties in the Premier League this season. The most by any club in history.. Lingard on for the best teenager in world football?? What could go wrong.")</f>
        <v>Lingard coming on for his final game in the league for utd. Manchester United have won 14 penalties in the Premier League this season. The most by any club in history.. Lingard on for the best teenager in world football?? What could go wrong.</v>
      </c>
      <c r="J24" s="39" t="s">
        <v>17</v>
      </c>
      <c r="M24" s="5"/>
      <c r="P24" s="5"/>
      <c r="S24" s="5"/>
      <c r="V24" s="5"/>
      <c r="Y24" s="5"/>
      <c r="AB24" s="5"/>
      <c r="AE24" s="5"/>
      <c r="AH24" s="5"/>
      <c r="AK24" s="5"/>
      <c r="AN24" s="5"/>
      <c r="AO24" s="40"/>
      <c r="AP24" s="5"/>
      <c r="AQ24" s="5"/>
      <c r="AR24" s="40"/>
      <c r="AS24" s="5"/>
      <c r="AT24" s="5"/>
      <c r="AU24" s="40"/>
      <c r="AV24" s="5"/>
      <c r="AW24" s="5"/>
      <c r="AX24" s="40"/>
      <c r="AY24" s="5"/>
      <c r="AZ24" s="5"/>
      <c r="BA24" s="40"/>
      <c r="BB24" s="5"/>
      <c r="BC24" s="5"/>
      <c r="BD24" s="40"/>
      <c r="BE24" s="5"/>
      <c r="BF24" s="5"/>
      <c r="BG24" s="40"/>
      <c r="BH24" s="5"/>
      <c r="BI24" s="5"/>
      <c r="BJ24" s="40"/>
      <c r="BK24" s="5"/>
      <c r="BL24" s="5"/>
      <c r="BM24" s="40"/>
      <c r="BN24" s="5"/>
      <c r="BO24" s="5"/>
      <c r="BP24" s="40"/>
      <c r="BQ24" s="5"/>
      <c r="BR24" s="5"/>
      <c r="BS24" s="40"/>
      <c r="BT24" s="5"/>
      <c r="BU24" s="5"/>
      <c r="BV24" s="40"/>
      <c r="BW24" s="5"/>
      <c r="BX24" s="5"/>
      <c r="BY24" s="40"/>
      <c r="BZ24" s="5"/>
      <c r="CA24" s="5"/>
      <c r="CB24" s="40"/>
      <c r="CC24" s="5"/>
      <c r="CD24" s="5"/>
      <c r="CE24" s="40"/>
      <c r="CF24" s="5"/>
      <c r="CG24" s="5"/>
      <c r="CH24" s="40"/>
      <c r="CI24" s="5"/>
      <c r="CJ24" s="5"/>
      <c r="CK24" s="40"/>
      <c r="CL24" s="5"/>
      <c r="CM24" s="5"/>
      <c r="CN24" s="40"/>
      <c r="CO24" s="5"/>
      <c r="CP24" s="5"/>
      <c r="CQ24" s="40"/>
      <c r="CR24" s="5"/>
      <c r="CS24" s="5"/>
      <c r="CT24" s="5"/>
      <c r="CU24" s="5"/>
      <c r="CV24" s="5"/>
      <c r="CW24" s="5"/>
      <c r="CX24" s="5"/>
      <c r="CY24" s="5"/>
      <c r="CZ24" s="5"/>
      <c r="DA24" s="5"/>
      <c r="DB24" s="5"/>
      <c r="DC24" s="5"/>
      <c r="DD24" s="5"/>
      <c r="DE24" s="5"/>
      <c r="DF24" s="5"/>
    </row>
    <row r="25">
      <c r="A25" s="14" t="s">
        <v>56</v>
      </c>
      <c r="B25" s="14" t="s">
        <v>57</v>
      </c>
      <c r="C25" s="14" t="s">
        <v>58</v>
      </c>
      <c r="D25" s="32" t="s">
        <v>59</v>
      </c>
      <c r="G25" s="5"/>
      <c r="H25" s="40">
        <f>IFERROR(__xludf.DUMMYFUNCTION("""COMPUTED_VALUE"""),44038.69243055556)</f>
        <v>44038.69243</v>
      </c>
      <c r="I25" s="5" t="str">
        <f>IFERROR(__xludf.DUMMYFUNCTION("""COMPUTED_VALUE"""),"Man Utd have now been awarded a 14 penalties in a Premier League season and also Bruno Fernandes scoring all 4 of his Premier League. 😳🙄. 20 penalties awarded to Manchester United in the 2019/20 football season....")</f>
        <v>Man Utd have now been awarded a 14 penalties in a Premier League season and also Bruno Fernandes scoring all 4 of his Premier League. 😳🙄. 20 penalties awarded to Manchester United in the 2019/20 football season....</v>
      </c>
      <c r="J25" s="39" t="s">
        <v>18</v>
      </c>
      <c r="M25" s="5"/>
      <c r="P25" s="5"/>
      <c r="S25" s="5"/>
      <c r="V25" s="5"/>
      <c r="Y25" s="5"/>
      <c r="AB25" s="5"/>
      <c r="AE25" s="5"/>
      <c r="AH25" s="5"/>
      <c r="AK25" s="5"/>
      <c r="AN25" s="5"/>
      <c r="AO25" s="40"/>
      <c r="AP25" s="5"/>
      <c r="AQ25" s="5"/>
      <c r="AR25" s="40"/>
      <c r="AS25" s="5"/>
      <c r="AT25" s="5"/>
      <c r="AU25" s="40"/>
      <c r="AV25" s="5"/>
      <c r="AW25" s="5"/>
      <c r="AX25" s="40"/>
      <c r="AY25" s="5"/>
      <c r="AZ25" s="5"/>
      <c r="BA25" s="40"/>
      <c r="BB25" s="5"/>
      <c r="BC25" s="5"/>
      <c r="BD25" s="40"/>
      <c r="BE25" s="5"/>
      <c r="BF25" s="5"/>
      <c r="BG25" s="40"/>
      <c r="BH25" s="5"/>
      <c r="BI25" s="5"/>
      <c r="BJ25" s="40"/>
      <c r="BK25" s="5"/>
      <c r="BL25" s="5"/>
      <c r="BM25" s="40"/>
      <c r="BN25" s="5"/>
      <c r="BO25" s="5"/>
      <c r="BP25" s="40"/>
      <c r="BQ25" s="5"/>
      <c r="BR25" s="5"/>
      <c r="BS25" s="40"/>
      <c r="BT25" s="5"/>
      <c r="BU25" s="5"/>
      <c r="BV25" s="40"/>
      <c r="BW25" s="5"/>
      <c r="BX25" s="5"/>
      <c r="BY25" s="40"/>
      <c r="BZ25" s="5"/>
      <c r="CA25" s="5"/>
      <c r="CB25" s="40"/>
      <c r="CC25" s="5"/>
      <c r="CD25" s="5"/>
      <c r="CE25" s="40"/>
      <c r="CF25" s="5"/>
      <c r="CG25" s="5"/>
      <c r="CH25" s="40"/>
      <c r="CI25" s="5"/>
      <c r="CJ25" s="5"/>
      <c r="CK25" s="40"/>
      <c r="CL25" s="5"/>
      <c r="CM25" s="5"/>
      <c r="CN25" s="40"/>
      <c r="CO25" s="5"/>
      <c r="CP25" s="5"/>
      <c r="CQ25" s="40"/>
      <c r="CR25" s="5"/>
      <c r="CS25" s="5"/>
      <c r="CT25" s="5"/>
      <c r="CU25" s="5"/>
      <c r="CV25" s="5"/>
      <c r="CW25" s="5"/>
      <c r="CX25" s="5"/>
      <c r="CY25" s="5"/>
      <c r="CZ25" s="5"/>
      <c r="DA25" s="5"/>
      <c r="DB25" s="5"/>
      <c r="DC25" s="5"/>
      <c r="DD25" s="5"/>
      <c r="DE25" s="5"/>
      <c r="DF25" s="5"/>
    </row>
    <row r="26">
      <c r="A26" s="19" t="s">
        <v>51</v>
      </c>
      <c r="B26" s="19" t="s">
        <v>60</v>
      </c>
      <c r="C26" s="21">
        <v>1.0</v>
      </c>
      <c r="D26" s="35" t="b">
        <v>0</v>
      </c>
      <c r="G26" s="5"/>
      <c r="H26" s="40">
        <f>IFERROR(__xludf.DUMMYFUNCTION("""COMPUTED_VALUE"""),44038.705925925926)</f>
        <v>44038.70593</v>
      </c>
      <c r="I26" s="5" t="str">
        <f>IFERROR(__xludf.DUMMYFUNCTION("""COMPUTED_VALUE"""),"Only Lingard would celebrate his first goal in the premier league which is a tap in 😂. Lingard final game of the season loooool get that guy out my club. You don’t deserve champions league if Lingard scores against you.")</f>
        <v>Only Lingard would celebrate his first goal in the premier league which is a tap in 😂. Lingard final game of the season loooool get that guy out my club. You don’t deserve champions league if Lingard scores against you.</v>
      </c>
      <c r="J26" s="39" t="s">
        <v>17</v>
      </c>
      <c r="M26" s="5"/>
      <c r="P26" s="5"/>
      <c r="S26" s="5"/>
      <c r="V26" s="5"/>
      <c r="Y26" s="5"/>
      <c r="AB26" s="5"/>
      <c r="AE26" s="5"/>
      <c r="AH26" s="5"/>
      <c r="AK26" s="5"/>
      <c r="AN26" s="5"/>
      <c r="AO26" s="40"/>
      <c r="AP26" s="5"/>
      <c r="AQ26" s="5"/>
      <c r="AR26" s="40"/>
      <c r="AS26" s="5"/>
      <c r="AT26" s="5"/>
      <c r="AU26" s="40"/>
      <c r="AV26" s="5"/>
      <c r="AW26" s="5"/>
      <c r="AX26" s="40"/>
      <c r="AY26" s="5"/>
      <c r="AZ26" s="5"/>
      <c r="BA26" s="40"/>
      <c r="BB26" s="5"/>
      <c r="BC26" s="5"/>
      <c r="BD26" s="40"/>
      <c r="BE26" s="5"/>
      <c r="BF26" s="5"/>
      <c r="BG26" s="40"/>
      <c r="BH26" s="5"/>
      <c r="BI26" s="5"/>
      <c r="BJ26" s="40"/>
      <c r="BK26" s="5"/>
      <c r="BL26" s="5"/>
      <c r="BM26" s="40"/>
      <c r="BN26" s="5"/>
      <c r="BO26" s="5"/>
      <c r="BP26" s="40"/>
      <c r="BQ26" s="5"/>
      <c r="BR26" s="5"/>
      <c r="BS26" s="40"/>
      <c r="BT26" s="5"/>
      <c r="BU26" s="5"/>
      <c r="BV26" s="40"/>
      <c r="BW26" s="5"/>
      <c r="BX26" s="5"/>
      <c r="BY26" s="40"/>
      <c r="BZ26" s="5"/>
      <c r="CA26" s="5"/>
      <c r="CB26" s="40"/>
      <c r="CC26" s="5"/>
      <c r="CD26" s="5"/>
      <c r="CE26" s="40"/>
      <c r="CF26" s="5"/>
      <c r="CG26" s="5"/>
      <c r="CH26" s="40"/>
      <c r="CI26" s="5"/>
      <c r="CJ26" s="5"/>
      <c r="CK26" s="40"/>
      <c r="CL26" s="5"/>
      <c r="CM26" s="5"/>
      <c r="CN26" s="40"/>
      <c r="CO26" s="5"/>
      <c r="CP26" s="5"/>
      <c r="CQ26" s="40"/>
      <c r="CR26" s="5"/>
      <c r="CS26" s="5"/>
      <c r="CT26" s="5"/>
      <c r="CU26" s="5"/>
      <c r="CV26" s="5"/>
      <c r="CW26" s="5"/>
      <c r="CX26" s="5"/>
      <c r="CY26" s="5"/>
      <c r="CZ26" s="5"/>
      <c r="DA26" s="5"/>
      <c r="DB26" s="5"/>
      <c r="DC26" s="5"/>
      <c r="DD26" s="5"/>
      <c r="DE26" s="5"/>
      <c r="DF26" s="5"/>
    </row>
    <row r="27">
      <c r="A27" s="19" t="s">
        <v>49</v>
      </c>
      <c r="B27" s="19" t="s">
        <v>843</v>
      </c>
      <c r="C27" s="21">
        <v>9.0</v>
      </c>
      <c r="D27" s="35" t="b">
        <v>1</v>
      </c>
      <c r="G27" s="5"/>
      <c r="H27" s="40">
        <f>IFERROR(__xludf.DUMMYFUNCTION("""COMPUTED_VALUE"""),44038.707777777774)</f>
        <v>44038.70778</v>
      </c>
      <c r="I27" s="5" t="str">
        <f>IFERROR(__xludf.DUMMYFUNCTION("""COMPUTED_VALUE"""),"Jesses Lingard wrapping up the League. Tonight was something special 😍. Ole's tricky reds into the champions league barcelona better watch out for jesse lingard and the crew. Breaking! Jesse Lingard has scored a premier league goal 🚨.")</f>
        <v>Jesses Lingard wrapping up the League. Tonight was something special 😍. Ole's tricky reds into the champions league barcelona better watch out for jesse lingard and the crew. Breaking! Jesse Lingard has scored a premier league goal 🚨.</v>
      </c>
      <c r="J27" s="5"/>
      <c r="M27" s="5"/>
      <c r="P27" s="5"/>
      <c r="S27" s="5"/>
      <c r="V27" s="5"/>
      <c r="Y27" s="5"/>
      <c r="AB27" s="5"/>
      <c r="AE27" s="5"/>
      <c r="AH27" s="5"/>
      <c r="AK27" s="5"/>
      <c r="AN27" s="5"/>
      <c r="AO27" s="40"/>
      <c r="AP27" s="5"/>
      <c r="AQ27" s="5"/>
      <c r="AR27" s="40"/>
      <c r="AS27" s="5"/>
      <c r="AT27" s="5"/>
      <c r="AU27" s="40"/>
      <c r="AV27" s="5"/>
      <c r="AW27" s="5"/>
      <c r="AX27" s="40"/>
      <c r="AY27" s="5"/>
      <c r="AZ27" s="5"/>
      <c r="BA27" s="40"/>
      <c r="BB27" s="5"/>
      <c r="BC27" s="5"/>
      <c r="BD27" s="40"/>
      <c r="BE27" s="5"/>
      <c r="BF27" s="5"/>
      <c r="BG27" s="40"/>
      <c r="BH27" s="5"/>
      <c r="BI27" s="5"/>
      <c r="BJ27" s="40"/>
      <c r="BK27" s="5"/>
      <c r="BL27" s="5"/>
      <c r="BM27" s="40"/>
      <c r="BN27" s="5"/>
      <c r="BO27" s="5"/>
      <c r="BP27" s="40"/>
      <c r="BQ27" s="5"/>
      <c r="BR27" s="5"/>
      <c r="BS27" s="40"/>
      <c r="BT27" s="5"/>
      <c r="BU27" s="5"/>
      <c r="BV27" s="40"/>
      <c r="BW27" s="5"/>
      <c r="BX27" s="5"/>
      <c r="BY27" s="40"/>
      <c r="BZ27" s="5"/>
      <c r="CA27" s="5"/>
      <c r="CB27" s="40"/>
      <c r="CC27" s="5"/>
      <c r="CD27" s="5"/>
      <c r="CE27" s="40"/>
      <c r="CF27" s="5"/>
      <c r="CG27" s="5"/>
      <c r="CH27" s="40"/>
      <c r="CI27" s="5"/>
      <c r="CJ27" s="5"/>
      <c r="CK27" s="40"/>
      <c r="CL27" s="5"/>
      <c r="CM27" s="5"/>
      <c r="CN27" s="40"/>
      <c r="CO27" s="5"/>
      <c r="CP27" s="5"/>
      <c r="CQ27" s="40"/>
      <c r="CR27" s="5"/>
      <c r="CS27" s="5"/>
      <c r="CT27" s="5"/>
      <c r="CU27" s="5"/>
      <c r="CV27" s="5"/>
      <c r="CW27" s="5"/>
      <c r="CX27" s="5"/>
      <c r="CY27" s="5"/>
      <c r="CZ27" s="5"/>
      <c r="DA27" s="5"/>
      <c r="DB27" s="5"/>
      <c r="DC27" s="5"/>
      <c r="DD27" s="5"/>
      <c r="DE27" s="5"/>
      <c r="DF27" s="5"/>
    </row>
    <row r="28">
      <c r="A28" s="19" t="s">
        <v>47</v>
      </c>
      <c r="B28" s="19" t="s">
        <v>844</v>
      </c>
      <c r="C28" s="21">
        <v>33.0</v>
      </c>
      <c r="D28" s="35" t="b">
        <v>1</v>
      </c>
      <c r="G28" s="5"/>
      <c r="J28" s="5"/>
      <c r="M28" s="5"/>
      <c r="P28" s="5"/>
      <c r="S28" s="5"/>
      <c r="V28" s="5"/>
      <c r="Y28" s="5"/>
      <c r="AB28" s="5"/>
      <c r="AE28" s="5"/>
      <c r="AH28" s="5"/>
      <c r="AK28" s="5"/>
      <c r="AN28" s="5"/>
      <c r="AO28" s="40"/>
      <c r="AP28" s="5"/>
      <c r="AQ28" s="5"/>
      <c r="AR28" s="40"/>
      <c r="AS28" s="5"/>
      <c r="AT28" s="5"/>
      <c r="AU28" s="40"/>
      <c r="AV28" s="5"/>
      <c r="AW28" s="5"/>
      <c r="AX28" s="40"/>
      <c r="AY28" s="5"/>
      <c r="AZ28" s="5"/>
      <c r="BA28" s="40"/>
      <c r="BB28" s="5"/>
      <c r="BC28" s="5"/>
      <c r="BD28" s="40"/>
      <c r="BE28" s="5"/>
      <c r="BF28" s="5"/>
      <c r="BG28" s="40"/>
      <c r="BH28" s="5"/>
      <c r="BI28" s="5"/>
      <c r="BJ28" s="40"/>
      <c r="BK28" s="5"/>
      <c r="BL28" s="5"/>
      <c r="BM28" s="40"/>
      <c r="BN28" s="5"/>
      <c r="BO28" s="5"/>
      <c r="BP28" s="40"/>
      <c r="BQ28" s="5"/>
      <c r="BR28" s="5"/>
      <c r="BS28" s="40"/>
      <c r="BT28" s="5"/>
      <c r="BU28" s="5"/>
      <c r="BV28" s="40"/>
      <c r="BW28" s="5"/>
      <c r="BX28" s="5"/>
      <c r="BY28" s="40"/>
      <c r="BZ28" s="5"/>
      <c r="CA28" s="5"/>
      <c r="CB28" s="40"/>
      <c r="CC28" s="5"/>
      <c r="CD28" s="5"/>
      <c r="CE28" s="40"/>
      <c r="CF28" s="5"/>
      <c r="CG28" s="5"/>
      <c r="CH28" s="40"/>
      <c r="CI28" s="5"/>
      <c r="CJ28" s="5"/>
      <c r="CK28" s="40"/>
      <c r="CL28" s="5"/>
      <c r="CM28" s="5"/>
      <c r="CN28" s="40"/>
      <c r="CO28" s="5"/>
      <c r="CP28" s="5"/>
      <c r="CQ28" s="40"/>
      <c r="CR28" s="5"/>
      <c r="CS28" s="5"/>
      <c r="CT28" s="5"/>
      <c r="CU28" s="5"/>
      <c r="CV28" s="5"/>
      <c r="CW28" s="5"/>
      <c r="CX28" s="5"/>
      <c r="CY28" s="5"/>
      <c r="CZ28" s="5"/>
      <c r="DA28" s="5"/>
      <c r="DB28" s="5"/>
      <c r="DC28" s="5"/>
      <c r="DD28" s="5"/>
      <c r="DE28" s="5"/>
      <c r="DF28" s="5"/>
    </row>
    <row r="29">
      <c r="A29" s="19" t="s">
        <v>51</v>
      </c>
      <c r="B29" s="19" t="s">
        <v>64</v>
      </c>
      <c r="C29" s="21">
        <v>45.0</v>
      </c>
      <c r="D29" s="35" t="b">
        <v>1</v>
      </c>
      <c r="G29" s="5"/>
      <c r="J29" s="5"/>
      <c r="M29" s="5"/>
      <c r="P29" s="5"/>
      <c r="S29" s="5"/>
      <c r="V29" s="5"/>
      <c r="Y29" s="5"/>
      <c r="AB29" s="5"/>
      <c r="AE29" s="5"/>
      <c r="AH29" s="5"/>
      <c r="AK29" s="5"/>
      <c r="AN29" s="5"/>
      <c r="AO29" s="40"/>
      <c r="AP29" s="5"/>
      <c r="AQ29" s="5"/>
      <c r="AR29" s="40"/>
      <c r="AS29" s="5"/>
      <c r="AT29" s="5"/>
      <c r="AU29" s="40"/>
      <c r="AV29" s="5"/>
      <c r="AW29" s="5"/>
      <c r="AX29" s="40"/>
      <c r="AY29" s="5"/>
      <c r="AZ29" s="5"/>
      <c r="BA29" s="40"/>
      <c r="BB29" s="5"/>
      <c r="BC29" s="5"/>
      <c r="BD29" s="40"/>
      <c r="BE29" s="5"/>
      <c r="BF29" s="5"/>
      <c r="BG29" s="40"/>
      <c r="BH29" s="5"/>
      <c r="BI29" s="5"/>
      <c r="BJ29" s="40"/>
      <c r="BK29" s="5"/>
      <c r="BL29" s="5"/>
      <c r="BM29" s="40"/>
      <c r="BN29" s="5"/>
      <c r="BO29" s="5"/>
      <c r="BP29" s="40"/>
      <c r="BQ29" s="5"/>
      <c r="BR29" s="5"/>
      <c r="BS29" s="40"/>
      <c r="BT29" s="5"/>
      <c r="BU29" s="5"/>
      <c r="BV29" s="40"/>
      <c r="BW29" s="5"/>
      <c r="BX29" s="5"/>
      <c r="BY29" s="40"/>
      <c r="BZ29" s="5"/>
      <c r="CA29" s="5"/>
      <c r="CB29" s="40"/>
      <c r="CC29" s="5"/>
      <c r="CD29" s="5"/>
      <c r="CE29" s="40"/>
      <c r="CF29" s="5"/>
      <c r="CG29" s="5"/>
      <c r="CH29" s="40"/>
      <c r="CI29" s="5"/>
      <c r="CJ29" s="5"/>
      <c r="CK29" s="40"/>
      <c r="CL29" s="5"/>
      <c r="CM29" s="5"/>
      <c r="CN29" s="40"/>
      <c r="CO29" s="5"/>
      <c r="CP29" s="5"/>
      <c r="CQ29" s="40"/>
      <c r="CR29" s="5"/>
      <c r="CS29" s="5"/>
      <c r="CT29" s="5"/>
      <c r="CU29" s="5"/>
      <c r="CV29" s="5"/>
      <c r="CW29" s="5"/>
      <c r="CX29" s="5"/>
      <c r="CY29" s="5"/>
      <c r="CZ29" s="5"/>
      <c r="DA29" s="5"/>
      <c r="DB29" s="5"/>
      <c r="DC29" s="5"/>
      <c r="DD29" s="5"/>
      <c r="DE29" s="5"/>
      <c r="DF29" s="5"/>
    </row>
    <row r="30">
      <c r="A30" s="19" t="s">
        <v>51</v>
      </c>
      <c r="B30" s="19" t="s">
        <v>65</v>
      </c>
      <c r="C30" s="21">
        <v>45.0</v>
      </c>
      <c r="D30" s="35" t="b">
        <v>0</v>
      </c>
      <c r="G30" s="5"/>
      <c r="J30" s="5"/>
      <c r="M30" s="5"/>
      <c r="P30" s="5"/>
      <c r="S30" s="5"/>
      <c r="V30" s="5"/>
      <c r="Y30" s="5"/>
      <c r="AB30" s="5"/>
      <c r="AE30" s="5"/>
      <c r="AH30" s="5"/>
      <c r="AK30" s="5"/>
      <c r="AN30" s="5"/>
      <c r="AO30" s="40"/>
      <c r="AP30" s="5"/>
      <c r="AQ30" s="5"/>
      <c r="AR30" s="40"/>
      <c r="AS30" s="5"/>
      <c r="AT30" s="5"/>
      <c r="AU30" s="40"/>
      <c r="AV30" s="5"/>
      <c r="AW30" s="5"/>
      <c r="AX30" s="40"/>
      <c r="AY30" s="5"/>
      <c r="AZ30" s="5"/>
      <c r="BA30" s="40"/>
      <c r="BB30" s="5"/>
      <c r="BC30" s="5"/>
      <c r="BD30" s="40"/>
      <c r="BE30" s="5"/>
      <c r="BF30" s="5"/>
      <c r="BG30" s="40"/>
      <c r="BH30" s="5"/>
      <c r="BI30" s="5"/>
      <c r="BJ30" s="40"/>
      <c r="BK30" s="5"/>
      <c r="BL30" s="5"/>
      <c r="BM30" s="40"/>
      <c r="BN30" s="5"/>
      <c r="BO30" s="5"/>
      <c r="BP30" s="40"/>
      <c r="BQ30" s="5"/>
      <c r="BR30" s="5"/>
      <c r="BS30" s="40"/>
      <c r="BT30" s="5"/>
      <c r="BU30" s="5"/>
      <c r="BV30" s="40"/>
      <c r="BW30" s="5"/>
      <c r="BX30" s="5"/>
      <c r="BY30" s="40"/>
      <c r="BZ30" s="5"/>
      <c r="CA30" s="5"/>
      <c r="CB30" s="40"/>
      <c r="CC30" s="5"/>
      <c r="CD30" s="5"/>
      <c r="CE30" s="40"/>
      <c r="CF30" s="5"/>
      <c r="CG30" s="5"/>
      <c r="CH30" s="40"/>
      <c r="CI30" s="5"/>
      <c r="CJ30" s="5"/>
      <c r="CK30" s="40"/>
      <c r="CL30" s="5"/>
      <c r="CM30" s="5"/>
      <c r="CN30" s="40"/>
      <c r="CO30" s="5"/>
      <c r="CP30" s="5"/>
      <c r="CQ30" s="40"/>
      <c r="CR30" s="5"/>
      <c r="CS30" s="5"/>
      <c r="CT30" s="5"/>
      <c r="CU30" s="5"/>
      <c r="CV30" s="5"/>
      <c r="CW30" s="5"/>
      <c r="CX30" s="5"/>
      <c r="CY30" s="5"/>
      <c r="CZ30" s="5"/>
      <c r="DA30" s="5"/>
      <c r="DB30" s="5"/>
      <c r="DC30" s="5"/>
      <c r="DD30" s="5"/>
      <c r="DE30" s="5"/>
      <c r="DF30" s="5"/>
    </row>
    <row r="31">
      <c r="A31" s="19" t="s">
        <v>53</v>
      </c>
      <c r="B31" s="19" t="s">
        <v>845</v>
      </c>
      <c r="C31" s="21">
        <v>58.0</v>
      </c>
      <c r="D31" s="35" t="b">
        <v>1</v>
      </c>
      <c r="G31" s="5"/>
      <c r="J31" s="5"/>
      <c r="M31" s="5"/>
      <c r="P31" s="5"/>
      <c r="S31" s="5"/>
      <c r="V31" s="5"/>
      <c r="Y31" s="5"/>
      <c r="AB31" s="5"/>
      <c r="AE31" s="5"/>
      <c r="AH31" s="5"/>
      <c r="AK31" s="5"/>
      <c r="AN31" s="5"/>
      <c r="AO31" s="40"/>
      <c r="AP31" s="5"/>
      <c r="AQ31" s="5"/>
      <c r="AR31" s="40"/>
      <c r="AS31" s="5"/>
      <c r="AT31" s="5"/>
      <c r="AU31" s="40"/>
      <c r="AV31" s="5"/>
      <c r="AW31" s="5"/>
      <c r="AX31" s="40"/>
      <c r="AY31" s="5"/>
      <c r="AZ31" s="5"/>
      <c r="BA31" s="40"/>
      <c r="BB31" s="5"/>
      <c r="BC31" s="5"/>
      <c r="BD31" s="40"/>
      <c r="BE31" s="5"/>
      <c r="BF31" s="5"/>
      <c r="BG31" s="40"/>
      <c r="BH31" s="5"/>
      <c r="BI31" s="5"/>
      <c r="BJ31" s="40"/>
      <c r="BK31" s="5"/>
      <c r="BL31" s="5"/>
      <c r="BM31" s="40"/>
      <c r="BN31" s="5"/>
      <c r="BO31" s="5"/>
      <c r="BP31" s="40"/>
      <c r="BQ31" s="5"/>
      <c r="BR31" s="5"/>
      <c r="BS31" s="40"/>
      <c r="BT31" s="5"/>
      <c r="BU31" s="5"/>
      <c r="BV31" s="40"/>
      <c r="BW31" s="5"/>
      <c r="BX31" s="5"/>
      <c r="BY31" s="40"/>
      <c r="BZ31" s="5"/>
      <c r="CA31" s="5"/>
      <c r="CB31" s="40"/>
      <c r="CC31" s="5"/>
      <c r="CD31" s="5"/>
      <c r="CE31" s="40"/>
      <c r="CF31" s="5"/>
      <c r="CG31" s="5"/>
      <c r="CH31" s="40"/>
      <c r="CI31" s="5"/>
      <c r="CJ31" s="5"/>
      <c r="CK31" s="40"/>
      <c r="CL31" s="5"/>
      <c r="CM31" s="5"/>
      <c r="CN31" s="40"/>
      <c r="CO31" s="5"/>
      <c r="CP31" s="5"/>
      <c r="CQ31" s="40"/>
      <c r="CR31" s="5"/>
      <c r="CS31" s="5"/>
      <c r="CT31" s="5"/>
      <c r="CU31" s="5"/>
      <c r="CV31" s="5"/>
      <c r="CW31" s="5"/>
      <c r="CX31" s="5"/>
      <c r="CY31" s="5"/>
      <c r="CZ31" s="5"/>
      <c r="DA31" s="5"/>
      <c r="DB31" s="5"/>
      <c r="DC31" s="5"/>
      <c r="DD31" s="5"/>
      <c r="DE31" s="5"/>
      <c r="DF31" s="5"/>
    </row>
    <row r="32">
      <c r="A32" s="19" t="s">
        <v>49</v>
      </c>
      <c r="B32" s="42" t="s">
        <v>846</v>
      </c>
      <c r="C32" s="21">
        <v>63.0</v>
      </c>
      <c r="D32" s="35" t="b">
        <v>1</v>
      </c>
      <c r="G32" s="5"/>
      <c r="J32" s="5"/>
      <c r="M32" s="5"/>
      <c r="P32" s="5"/>
      <c r="S32" s="5"/>
      <c r="V32" s="5"/>
      <c r="Y32" s="5"/>
      <c r="AB32" s="5"/>
      <c r="AE32" s="5"/>
      <c r="AH32" s="5"/>
      <c r="AK32" s="5"/>
      <c r="AN32" s="5"/>
      <c r="AO32" s="40"/>
      <c r="AP32" s="5"/>
      <c r="AQ32" s="5"/>
      <c r="AR32" s="40"/>
      <c r="AS32" s="5"/>
      <c r="AT32" s="5"/>
      <c r="AU32" s="40"/>
      <c r="AV32" s="5"/>
      <c r="AW32" s="5"/>
      <c r="AX32" s="40"/>
      <c r="AY32" s="5"/>
      <c r="AZ32" s="5"/>
      <c r="BA32" s="40"/>
      <c r="BB32" s="5"/>
      <c r="BC32" s="5"/>
      <c r="BD32" s="40"/>
      <c r="BE32" s="5"/>
      <c r="BF32" s="5"/>
      <c r="BG32" s="40"/>
      <c r="BH32" s="5"/>
      <c r="BI32" s="5"/>
      <c r="BJ32" s="40"/>
      <c r="BK32" s="5"/>
      <c r="BL32" s="5"/>
      <c r="BM32" s="40"/>
      <c r="BN32" s="5"/>
      <c r="BO32" s="5"/>
      <c r="BP32" s="40"/>
      <c r="BQ32" s="5"/>
      <c r="BR32" s="5"/>
      <c r="BS32" s="40"/>
      <c r="BT32" s="5"/>
      <c r="BU32" s="5"/>
      <c r="BV32" s="40"/>
      <c r="BW32" s="5"/>
      <c r="BX32" s="5"/>
      <c r="BY32" s="40"/>
      <c r="BZ32" s="5"/>
      <c r="CA32" s="5"/>
      <c r="CB32" s="40"/>
      <c r="CC32" s="5"/>
      <c r="CD32" s="5"/>
      <c r="CE32" s="40"/>
      <c r="CF32" s="5"/>
      <c r="CG32" s="5"/>
      <c r="CH32" s="40"/>
      <c r="CI32" s="5"/>
      <c r="CJ32" s="5"/>
      <c r="CK32" s="40"/>
      <c r="CL32" s="5"/>
      <c r="CM32" s="5"/>
      <c r="CN32" s="40"/>
      <c r="CO32" s="5"/>
      <c r="CP32" s="5"/>
      <c r="CQ32" s="40"/>
      <c r="CR32" s="5"/>
      <c r="CS32" s="5"/>
      <c r="CT32" s="5"/>
      <c r="CU32" s="5"/>
      <c r="CV32" s="5"/>
      <c r="CW32" s="5"/>
      <c r="CX32" s="5"/>
      <c r="CY32" s="5"/>
      <c r="CZ32" s="5"/>
      <c r="DA32" s="5"/>
      <c r="DB32" s="5"/>
      <c r="DC32" s="5"/>
      <c r="DD32" s="5"/>
      <c r="DE32" s="5"/>
      <c r="DF32" s="5"/>
    </row>
    <row r="33">
      <c r="A33" s="19" t="s">
        <v>49</v>
      </c>
      <c r="B33" s="42" t="s">
        <v>847</v>
      </c>
      <c r="C33" s="21">
        <v>69.0</v>
      </c>
      <c r="D33" s="35" t="b">
        <v>1</v>
      </c>
      <c r="G33" s="5"/>
      <c r="J33" s="5"/>
      <c r="M33" s="5"/>
      <c r="P33" s="5"/>
      <c r="S33" s="5"/>
      <c r="V33" s="5"/>
      <c r="Y33" s="5"/>
      <c r="AB33" s="5"/>
      <c r="AE33" s="5"/>
      <c r="AH33" s="5"/>
      <c r="AK33" s="5"/>
      <c r="AN33" s="5"/>
      <c r="AO33" s="40"/>
      <c r="AP33" s="5"/>
      <c r="AQ33" s="5"/>
      <c r="AR33" s="40"/>
      <c r="AS33" s="5"/>
      <c r="AT33" s="5"/>
      <c r="AU33" s="40"/>
      <c r="AV33" s="5"/>
      <c r="AW33" s="5"/>
      <c r="AX33" s="40"/>
      <c r="AY33" s="5"/>
      <c r="AZ33" s="5"/>
      <c r="BA33" s="40"/>
      <c r="BB33" s="5"/>
      <c r="BC33" s="5"/>
      <c r="BD33" s="40"/>
      <c r="BE33" s="5"/>
      <c r="BF33" s="5"/>
      <c r="BG33" s="40"/>
      <c r="BH33" s="5"/>
      <c r="BI33" s="5"/>
      <c r="BJ33" s="40"/>
      <c r="BK33" s="5"/>
      <c r="BL33" s="5"/>
      <c r="BM33" s="40"/>
      <c r="BN33" s="5"/>
      <c r="BO33" s="5"/>
      <c r="BP33" s="40"/>
      <c r="BQ33" s="5"/>
      <c r="BR33" s="5"/>
      <c r="BS33" s="40"/>
      <c r="BT33" s="5"/>
      <c r="BU33" s="5"/>
      <c r="BV33" s="40"/>
      <c r="BW33" s="5"/>
      <c r="BX33" s="5"/>
      <c r="BY33" s="40"/>
      <c r="BZ33" s="5"/>
      <c r="CA33" s="5"/>
      <c r="CB33" s="40"/>
      <c r="CC33" s="5"/>
      <c r="CD33" s="5"/>
      <c r="CE33" s="40"/>
      <c r="CF33" s="5"/>
      <c r="CG33" s="5"/>
      <c r="CH33" s="40"/>
      <c r="CI33" s="5"/>
      <c r="CJ33" s="5"/>
      <c r="CK33" s="40"/>
      <c r="CL33" s="5"/>
      <c r="CM33" s="5"/>
      <c r="CN33" s="40"/>
      <c r="CO33" s="5"/>
      <c r="CP33" s="5"/>
      <c r="CQ33" s="40"/>
      <c r="CR33" s="5"/>
      <c r="CS33" s="5"/>
      <c r="CT33" s="5"/>
      <c r="CU33" s="5"/>
      <c r="CV33" s="5"/>
      <c r="CW33" s="5"/>
      <c r="CX33" s="5"/>
      <c r="CY33" s="5"/>
      <c r="CZ33" s="5"/>
      <c r="DA33" s="5"/>
      <c r="DB33" s="5"/>
      <c r="DC33" s="5"/>
      <c r="DD33" s="5"/>
      <c r="DE33" s="5"/>
      <c r="DF33" s="5"/>
    </row>
    <row r="34">
      <c r="A34" s="19" t="s">
        <v>47</v>
      </c>
      <c r="B34" s="42" t="s">
        <v>848</v>
      </c>
      <c r="C34" s="21">
        <v>70.0</v>
      </c>
      <c r="D34" s="35" t="b">
        <v>1</v>
      </c>
      <c r="G34" s="5"/>
      <c r="J34" s="5"/>
      <c r="M34" s="5"/>
      <c r="P34" s="5"/>
      <c r="S34" s="5"/>
      <c r="V34" s="5"/>
      <c r="Y34" s="5"/>
      <c r="AB34" s="5"/>
      <c r="AE34" s="5"/>
      <c r="AH34" s="5"/>
      <c r="AK34" s="5"/>
      <c r="AN34" s="5"/>
      <c r="AO34" s="40"/>
      <c r="AP34" s="5"/>
      <c r="AQ34" s="5"/>
      <c r="AR34" s="40"/>
      <c r="AS34" s="5"/>
      <c r="AT34" s="5"/>
      <c r="AU34" s="40"/>
      <c r="AV34" s="5"/>
      <c r="AW34" s="5"/>
      <c r="AX34" s="40"/>
      <c r="AY34" s="5"/>
      <c r="AZ34" s="5"/>
      <c r="BA34" s="40"/>
      <c r="BB34" s="5"/>
      <c r="BC34" s="5"/>
      <c r="BD34" s="40"/>
      <c r="BE34" s="5"/>
      <c r="BF34" s="5"/>
      <c r="BG34" s="40"/>
      <c r="BH34" s="5"/>
      <c r="BI34" s="5"/>
      <c r="BJ34" s="40"/>
      <c r="BK34" s="5"/>
      <c r="BL34" s="5"/>
      <c r="BM34" s="40"/>
      <c r="BN34" s="5"/>
      <c r="BO34" s="5"/>
      <c r="BP34" s="40"/>
      <c r="BQ34" s="5"/>
      <c r="BR34" s="5"/>
      <c r="BS34" s="40"/>
      <c r="BT34" s="5"/>
      <c r="BU34" s="5"/>
      <c r="BV34" s="40"/>
      <c r="BW34" s="5"/>
      <c r="BX34" s="5"/>
      <c r="BY34" s="40"/>
      <c r="BZ34" s="5"/>
      <c r="CA34" s="5"/>
      <c r="CB34" s="40"/>
      <c r="CC34" s="5"/>
      <c r="CD34" s="5"/>
      <c r="CE34" s="40"/>
      <c r="CF34" s="5"/>
      <c r="CG34" s="5"/>
      <c r="CH34" s="40"/>
      <c r="CI34" s="5"/>
      <c r="CJ34" s="5"/>
      <c r="CK34" s="40"/>
      <c r="CL34" s="5"/>
      <c r="CM34" s="5"/>
      <c r="CN34" s="40"/>
      <c r="CO34" s="5"/>
      <c r="CP34" s="5"/>
      <c r="CQ34" s="40"/>
      <c r="CR34" s="5"/>
      <c r="CS34" s="5"/>
      <c r="CT34" s="5"/>
      <c r="CU34" s="5"/>
      <c r="CV34" s="5"/>
      <c r="CW34" s="5"/>
      <c r="CX34" s="5"/>
      <c r="CY34" s="5"/>
      <c r="CZ34" s="5"/>
      <c r="DA34" s="5"/>
      <c r="DB34" s="5"/>
      <c r="DC34" s="5"/>
      <c r="DD34" s="5"/>
      <c r="DE34" s="5"/>
      <c r="DF34" s="5"/>
    </row>
    <row r="35">
      <c r="A35" s="19" t="s">
        <v>53</v>
      </c>
      <c r="B35" s="42" t="s">
        <v>849</v>
      </c>
      <c r="C35" s="21">
        <v>73.0</v>
      </c>
      <c r="D35" s="35" t="b">
        <v>0</v>
      </c>
      <c r="G35" s="5"/>
      <c r="J35" s="5"/>
      <c r="M35" s="5"/>
      <c r="P35" s="5"/>
      <c r="S35" s="5"/>
      <c r="V35" s="5"/>
      <c r="Y35" s="5"/>
      <c r="AB35" s="5"/>
      <c r="AE35" s="5"/>
      <c r="AH35" s="5"/>
      <c r="AK35" s="5"/>
      <c r="AN35" s="5"/>
      <c r="AO35" s="40"/>
      <c r="AP35" s="5"/>
      <c r="AQ35" s="5"/>
      <c r="AR35" s="40"/>
      <c r="AS35" s="5"/>
      <c r="AT35" s="5"/>
      <c r="AU35" s="40"/>
      <c r="AV35" s="5"/>
      <c r="AW35" s="5"/>
      <c r="AX35" s="40"/>
      <c r="AY35" s="5"/>
      <c r="AZ35" s="5"/>
      <c r="BA35" s="40"/>
      <c r="BB35" s="5"/>
      <c r="BC35" s="5"/>
      <c r="BD35" s="40"/>
      <c r="BE35" s="5"/>
      <c r="BF35" s="5"/>
      <c r="BG35" s="40"/>
      <c r="BH35" s="5"/>
      <c r="BI35" s="5"/>
      <c r="BJ35" s="40"/>
      <c r="BK35" s="5"/>
      <c r="BL35" s="5"/>
      <c r="BM35" s="40"/>
      <c r="BN35" s="5"/>
      <c r="BO35" s="5"/>
      <c r="BP35" s="40"/>
      <c r="BQ35" s="5"/>
      <c r="BR35" s="5"/>
      <c r="BS35" s="40"/>
      <c r="BT35" s="5"/>
      <c r="BU35" s="5"/>
      <c r="BV35" s="40"/>
      <c r="BW35" s="5"/>
      <c r="BX35" s="5"/>
      <c r="BY35" s="40"/>
      <c r="BZ35" s="5"/>
      <c r="CA35" s="5"/>
      <c r="CB35" s="40"/>
      <c r="CC35" s="5"/>
      <c r="CD35" s="5"/>
      <c r="CE35" s="40"/>
      <c r="CF35" s="5"/>
      <c r="CG35" s="5"/>
      <c r="CH35" s="40"/>
      <c r="CI35" s="5"/>
      <c r="CJ35" s="5"/>
      <c r="CK35" s="40"/>
      <c r="CL35" s="5"/>
      <c r="CM35" s="5"/>
      <c r="CN35" s="40"/>
      <c r="CO35" s="5"/>
      <c r="CP35" s="5"/>
      <c r="CQ35" s="40"/>
      <c r="CR35" s="5"/>
      <c r="CS35" s="5"/>
      <c r="CT35" s="5"/>
      <c r="CU35" s="5"/>
      <c r="CV35" s="5"/>
      <c r="CW35" s="5"/>
      <c r="CX35" s="5"/>
      <c r="CY35" s="5"/>
      <c r="CZ35" s="5"/>
      <c r="DA35" s="5"/>
      <c r="DB35" s="5"/>
      <c r="DC35" s="5"/>
      <c r="DD35" s="5"/>
      <c r="DE35" s="5"/>
      <c r="DF35" s="5"/>
    </row>
    <row r="36">
      <c r="A36" s="19" t="s">
        <v>53</v>
      </c>
      <c r="B36" s="42" t="s">
        <v>850</v>
      </c>
      <c r="C36" s="21">
        <v>73.0</v>
      </c>
      <c r="D36" s="35" t="b">
        <v>0</v>
      </c>
      <c r="G36" s="5"/>
      <c r="J36" s="5"/>
      <c r="M36" s="5"/>
      <c r="P36" s="5"/>
      <c r="S36" s="5"/>
      <c r="V36" s="5"/>
      <c r="Y36" s="5"/>
      <c r="AB36" s="5"/>
      <c r="AE36" s="5"/>
      <c r="AH36" s="5"/>
      <c r="AK36" s="5"/>
      <c r="AN36" s="5"/>
      <c r="AO36" s="40"/>
      <c r="AP36" s="5"/>
      <c r="AQ36" s="5"/>
      <c r="AR36" s="40"/>
      <c r="AS36" s="5"/>
      <c r="AT36" s="5"/>
      <c r="AU36" s="40"/>
      <c r="AV36" s="5"/>
      <c r="AW36" s="5"/>
      <c r="AX36" s="40"/>
      <c r="AY36" s="5"/>
      <c r="AZ36" s="5"/>
      <c r="BA36" s="40"/>
      <c r="BB36" s="5"/>
      <c r="BC36" s="5"/>
      <c r="BD36" s="40"/>
      <c r="BE36" s="5"/>
      <c r="BF36" s="5"/>
      <c r="BG36" s="40"/>
      <c r="BH36" s="5"/>
      <c r="BI36" s="5"/>
      <c r="BJ36" s="40"/>
      <c r="BK36" s="5"/>
      <c r="BL36" s="5"/>
      <c r="BM36" s="40"/>
      <c r="BN36" s="5"/>
      <c r="BO36" s="5"/>
      <c r="BP36" s="40"/>
      <c r="BQ36" s="5"/>
      <c r="BR36" s="5"/>
      <c r="BS36" s="40"/>
      <c r="BT36" s="5"/>
      <c r="BU36" s="5"/>
      <c r="BV36" s="40"/>
      <c r="BW36" s="5"/>
      <c r="BX36" s="5"/>
      <c r="BY36" s="40"/>
      <c r="BZ36" s="5"/>
      <c r="CA36" s="5"/>
      <c r="CB36" s="40"/>
      <c r="CC36" s="5"/>
      <c r="CD36" s="5"/>
      <c r="CE36" s="40"/>
      <c r="CF36" s="5"/>
      <c r="CG36" s="5"/>
      <c r="CH36" s="40"/>
      <c r="CI36" s="5"/>
      <c r="CJ36" s="5"/>
      <c r="CK36" s="40"/>
      <c r="CL36" s="5"/>
      <c r="CM36" s="5"/>
      <c r="CN36" s="40"/>
      <c r="CO36" s="5"/>
      <c r="CP36" s="5"/>
      <c r="CQ36" s="40"/>
      <c r="CR36" s="5"/>
      <c r="CS36" s="5"/>
      <c r="CT36" s="5"/>
      <c r="CU36" s="5"/>
      <c r="CV36" s="5"/>
      <c r="CW36" s="5"/>
      <c r="CX36" s="5"/>
      <c r="CY36" s="5"/>
      <c r="CZ36" s="5"/>
      <c r="DA36" s="5"/>
      <c r="DB36" s="5"/>
      <c r="DC36" s="5"/>
      <c r="DD36" s="5"/>
      <c r="DE36" s="5"/>
      <c r="DF36" s="5"/>
    </row>
    <row r="37">
      <c r="A37" s="19" t="s">
        <v>53</v>
      </c>
      <c r="B37" s="42" t="s">
        <v>851</v>
      </c>
      <c r="C37" s="21">
        <v>73.0</v>
      </c>
      <c r="D37" s="35" t="b">
        <v>0</v>
      </c>
      <c r="G37" s="5"/>
      <c r="J37" s="5"/>
      <c r="M37" s="5"/>
      <c r="P37" s="5"/>
      <c r="S37" s="5"/>
      <c r="V37" s="5"/>
      <c r="Y37" s="5"/>
      <c r="AB37" s="5"/>
      <c r="AE37" s="5"/>
      <c r="AH37" s="5"/>
      <c r="AK37" s="5"/>
      <c r="AN37" s="5"/>
      <c r="AO37" s="40"/>
      <c r="AP37" s="5"/>
      <c r="AQ37" s="5"/>
      <c r="AR37" s="40"/>
      <c r="AS37" s="5"/>
      <c r="AT37" s="5"/>
      <c r="AU37" s="40"/>
      <c r="AV37" s="5"/>
      <c r="AW37" s="5"/>
      <c r="AX37" s="40"/>
      <c r="AY37" s="5"/>
      <c r="AZ37" s="5"/>
      <c r="BA37" s="40"/>
      <c r="BB37" s="5"/>
      <c r="BC37" s="5"/>
      <c r="BD37" s="40"/>
      <c r="BE37" s="5"/>
      <c r="BF37" s="5"/>
      <c r="BG37" s="40"/>
      <c r="BH37" s="5"/>
      <c r="BI37" s="5"/>
      <c r="BJ37" s="40"/>
      <c r="BK37" s="5"/>
      <c r="BL37" s="5"/>
      <c r="BM37" s="40"/>
      <c r="BN37" s="5"/>
      <c r="BO37" s="5"/>
      <c r="BP37" s="40"/>
      <c r="BQ37" s="5"/>
      <c r="BR37" s="5"/>
      <c r="BS37" s="40"/>
      <c r="BT37" s="5"/>
      <c r="BU37" s="5"/>
      <c r="BV37" s="40"/>
      <c r="BW37" s="5"/>
      <c r="BX37" s="5"/>
      <c r="BY37" s="40"/>
      <c r="BZ37" s="5"/>
      <c r="CA37" s="5"/>
      <c r="CB37" s="40"/>
      <c r="CC37" s="5"/>
      <c r="CD37" s="5"/>
      <c r="CE37" s="40"/>
      <c r="CF37" s="5"/>
      <c r="CG37" s="5"/>
      <c r="CH37" s="40"/>
      <c r="CI37" s="5"/>
      <c r="CJ37" s="5"/>
      <c r="CK37" s="40"/>
      <c r="CL37" s="5"/>
      <c r="CM37" s="5"/>
      <c r="CN37" s="40"/>
      <c r="CO37" s="5"/>
      <c r="CP37" s="5"/>
      <c r="CQ37" s="40"/>
      <c r="CR37" s="5"/>
      <c r="CS37" s="5"/>
      <c r="CT37" s="5"/>
      <c r="CU37" s="5"/>
      <c r="CV37" s="5"/>
      <c r="CW37" s="5"/>
      <c r="CX37" s="5"/>
      <c r="CY37" s="5"/>
      <c r="CZ37" s="5"/>
      <c r="DA37" s="5"/>
      <c r="DB37" s="5"/>
      <c r="DC37" s="5"/>
      <c r="DD37" s="5"/>
      <c r="DE37" s="5"/>
      <c r="DF37" s="5"/>
    </row>
    <row r="38">
      <c r="A38" s="19" t="s">
        <v>53</v>
      </c>
      <c r="B38" s="42" t="s">
        <v>852</v>
      </c>
      <c r="C38" s="21">
        <v>77.0</v>
      </c>
      <c r="D38" s="35" t="b">
        <v>1</v>
      </c>
      <c r="G38" s="5"/>
      <c r="J38" s="5"/>
      <c r="M38" s="5"/>
      <c r="P38" s="5"/>
      <c r="S38" s="5"/>
      <c r="V38" s="5"/>
      <c r="Y38" s="5"/>
      <c r="AB38" s="5"/>
      <c r="AE38" s="5"/>
      <c r="AH38" s="5"/>
      <c r="AK38" s="5"/>
      <c r="AN38" s="5"/>
      <c r="AO38" s="40"/>
      <c r="AP38" s="5"/>
      <c r="AQ38" s="5"/>
      <c r="AR38" s="40"/>
      <c r="AS38" s="5"/>
      <c r="AT38" s="5"/>
      <c r="AU38" s="40"/>
      <c r="AV38" s="5"/>
      <c r="AW38" s="5"/>
      <c r="AX38" s="40"/>
      <c r="AY38" s="5"/>
      <c r="AZ38" s="5"/>
      <c r="BA38" s="40"/>
      <c r="BB38" s="5"/>
      <c r="BC38" s="5"/>
      <c r="BD38" s="40"/>
      <c r="BE38" s="5"/>
      <c r="BF38" s="5"/>
      <c r="BG38" s="40"/>
      <c r="BH38" s="5"/>
      <c r="BI38" s="5"/>
      <c r="BJ38" s="40"/>
      <c r="BK38" s="5"/>
      <c r="BL38" s="5"/>
      <c r="BM38" s="40"/>
      <c r="BN38" s="5"/>
      <c r="BO38" s="5"/>
      <c r="BP38" s="40"/>
      <c r="BQ38" s="5"/>
      <c r="BR38" s="5"/>
      <c r="BS38" s="40"/>
      <c r="BT38" s="5"/>
      <c r="BU38" s="5"/>
      <c r="BV38" s="40"/>
      <c r="BW38" s="5"/>
      <c r="BX38" s="5"/>
      <c r="BY38" s="40"/>
      <c r="BZ38" s="5"/>
      <c r="CA38" s="5"/>
      <c r="CB38" s="40"/>
      <c r="CC38" s="5"/>
      <c r="CD38" s="5"/>
      <c r="CE38" s="40"/>
      <c r="CF38" s="5"/>
      <c r="CG38" s="5"/>
      <c r="CH38" s="40"/>
      <c r="CI38" s="5"/>
      <c r="CJ38" s="5"/>
      <c r="CK38" s="40"/>
      <c r="CL38" s="5"/>
      <c r="CM38" s="5"/>
      <c r="CN38" s="40"/>
      <c r="CO38" s="5"/>
      <c r="CP38" s="5"/>
      <c r="CQ38" s="40"/>
      <c r="CR38" s="5"/>
      <c r="CS38" s="5"/>
      <c r="CT38" s="5"/>
      <c r="CU38" s="5"/>
      <c r="CV38" s="5"/>
      <c r="CW38" s="5"/>
      <c r="CX38" s="5"/>
      <c r="CY38" s="5"/>
      <c r="CZ38" s="5"/>
      <c r="DA38" s="5"/>
      <c r="DB38" s="5"/>
      <c r="DC38" s="5"/>
      <c r="DD38" s="5"/>
      <c r="DE38" s="5"/>
      <c r="DF38" s="5"/>
    </row>
    <row r="39">
      <c r="A39" s="19" t="s">
        <v>49</v>
      </c>
      <c r="B39" s="42" t="s">
        <v>853</v>
      </c>
      <c r="C39" s="21">
        <v>83.0</v>
      </c>
      <c r="D39" s="35" t="b">
        <v>0</v>
      </c>
      <c r="G39" s="5"/>
      <c r="J39" s="5"/>
      <c r="M39" s="5"/>
      <c r="P39" s="5"/>
      <c r="S39" s="5"/>
      <c r="V39" s="5"/>
      <c r="Y39" s="5"/>
      <c r="AB39" s="5"/>
      <c r="AE39" s="5"/>
      <c r="AH39" s="5"/>
      <c r="AK39" s="5"/>
      <c r="AN39" s="5"/>
      <c r="AO39" s="40"/>
      <c r="AP39" s="5"/>
      <c r="AQ39" s="5"/>
      <c r="AR39" s="40"/>
      <c r="AS39" s="5"/>
      <c r="AT39" s="5"/>
      <c r="AU39" s="40"/>
      <c r="AV39" s="5"/>
      <c r="AW39" s="5"/>
      <c r="AX39" s="40"/>
      <c r="AY39" s="5"/>
      <c r="AZ39" s="5"/>
      <c r="BA39" s="40"/>
      <c r="BB39" s="5"/>
      <c r="BC39" s="5"/>
      <c r="BD39" s="40"/>
      <c r="BE39" s="5"/>
      <c r="BF39" s="5"/>
      <c r="BG39" s="40"/>
      <c r="BH39" s="5"/>
      <c r="BI39" s="5"/>
      <c r="BJ39" s="40"/>
      <c r="BK39" s="5"/>
      <c r="BL39" s="5"/>
      <c r="BM39" s="40"/>
      <c r="BN39" s="5"/>
      <c r="BO39" s="5"/>
      <c r="BP39" s="40"/>
      <c r="BQ39" s="5"/>
      <c r="BR39" s="5"/>
      <c r="BS39" s="40"/>
      <c r="BT39" s="5"/>
      <c r="BU39" s="5"/>
      <c r="BV39" s="40"/>
      <c r="BW39" s="5"/>
      <c r="BX39" s="5"/>
      <c r="BY39" s="40"/>
      <c r="BZ39" s="5"/>
      <c r="CA39" s="5"/>
      <c r="CB39" s="40"/>
      <c r="CC39" s="5"/>
      <c r="CD39" s="5"/>
      <c r="CE39" s="40"/>
      <c r="CF39" s="5"/>
      <c r="CG39" s="5"/>
      <c r="CH39" s="40"/>
      <c r="CI39" s="5"/>
      <c r="CJ39" s="5"/>
      <c r="CK39" s="40"/>
      <c r="CL39" s="5"/>
      <c r="CM39" s="5"/>
      <c r="CN39" s="40"/>
      <c r="CO39" s="5"/>
      <c r="CP39" s="5"/>
      <c r="CQ39" s="40"/>
      <c r="CR39" s="5"/>
      <c r="CS39" s="5"/>
      <c r="CT39" s="5"/>
      <c r="CU39" s="5"/>
      <c r="CV39" s="5"/>
      <c r="CW39" s="5"/>
      <c r="CX39" s="5"/>
      <c r="CY39" s="5"/>
      <c r="CZ39" s="5"/>
      <c r="DA39" s="5"/>
      <c r="DB39" s="5"/>
      <c r="DC39" s="5"/>
      <c r="DD39" s="5"/>
      <c r="DE39" s="5"/>
      <c r="DF39" s="5"/>
    </row>
    <row r="40">
      <c r="A40" s="19" t="s">
        <v>53</v>
      </c>
      <c r="B40" s="42" t="s">
        <v>854</v>
      </c>
      <c r="C40" s="21">
        <v>86.0</v>
      </c>
      <c r="D40" s="35" t="b">
        <v>0</v>
      </c>
      <c r="G40" s="5"/>
      <c r="J40" s="5"/>
      <c r="M40" s="5"/>
      <c r="P40" s="5"/>
      <c r="S40" s="5"/>
      <c r="V40" s="5"/>
      <c r="Y40" s="5"/>
      <c r="AB40" s="5"/>
      <c r="AE40" s="5"/>
      <c r="AH40" s="5"/>
      <c r="AK40" s="5"/>
      <c r="AN40" s="5"/>
      <c r="AO40" s="40"/>
      <c r="AP40" s="5"/>
      <c r="AQ40" s="5"/>
      <c r="AR40" s="40"/>
      <c r="AS40" s="5"/>
      <c r="AT40" s="5"/>
      <c r="AU40" s="40"/>
      <c r="AV40" s="5"/>
      <c r="AW40" s="5"/>
      <c r="AX40" s="40"/>
      <c r="AY40" s="5"/>
      <c r="AZ40" s="5"/>
      <c r="BA40" s="40"/>
      <c r="BB40" s="5"/>
      <c r="BC40" s="5"/>
      <c r="BD40" s="40"/>
      <c r="BE40" s="5"/>
      <c r="BF40" s="5"/>
      <c r="BG40" s="40"/>
      <c r="BH40" s="5"/>
      <c r="BI40" s="5"/>
      <c r="BJ40" s="40"/>
      <c r="BK40" s="5"/>
      <c r="BL40" s="5"/>
      <c r="BM40" s="40"/>
      <c r="BN40" s="5"/>
      <c r="BO40" s="5"/>
      <c r="BP40" s="40"/>
      <c r="BQ40" s="5"/>
      <c r="BR40" s="5"/>
      <c r="BS40" s="40"/>
      <c r="BT40" s="5"/>
      <c r="BU40" s="5"/>
      <c r="BV40" s="40"/>
      <c r="BW40" s="5"/>
      <c r="BX40" s="5"/>
      <c r="BY40" s="40"/>
      <c r="BZ40" s="5"/>
      <c r="CA40" s="5"/>
      <c r="CB40" s="40"/>
      <c r="CC40" s="5"/>
      <c r="CD40" s="5"/>
      <c r="CE40" s="40"/>
      <c r="CF40" s="5"/>
      <c r="CG40" s="5"/>
      <c r="CH40" s="40"/>
      <c r="CI40" s="5"/>
      <c r="CJ40" s="5"/>
      <c r="CK40" s="40"/>
      <c r="CL40" s="5"/>
      <c r="CM40" s="5"/>
      <c r="CN40" s="40"/>
      <c r="CO40" s="5"/>
      <c r="CP40" s="5"/>
      <c r="CQ40" s="40"/>
      <c r="CR40" s="5"/>
      <c r="CS40" s="5"/>
      <c r="CT40" s="5"/>
      <c r="CU40" s="5"/>
      <c r="CV40" s="5"/>
      <c r="CW40" s="5"/>
      <c r="CX40" s="5"/>
      <c r="CY40" s="5"/>
      <c r="CZ40" s="5"/>
      <c r="DA40" s="5"/>
      <c r="DB40" s="5"/>
      <c r="DC40" s="5"/>
      <c r="DD40" s="5"/>
      <c r="DE40" s="5"/>
      <c r="DF40" s="5"/>
    </row>
    <row r="41">
      <c r="A41" s="19" t="s">
        <v>53</v>
      </c>
      <c r="B41" s="42" t="s">
        <v>855</v>
      </c>
      <c r="C41" s="21">
        <v>88.0</v>
      </c>
      <c r="D41" s="35" t="b">
        <v>0</v>
      </c>
      <c r="G41" s="5"/>
      <c r="J41" s="5"/>
      <c r="M41" s="5"/>
      <c r="P41" s="5"/>
      <c r="S41" s="5"/>
      <c r="V41" s="5"/>
      <c r="Y41" s="5"/>
      <c r="AB41" s="5"/>
      <c r="AE41" s="5"/>
      <c r="AH41" s="5"/>
      <c r="AK41" s="5"/>
      <c r="AN41" s="5"/>
      <c r="AO41" s="40"/>
      <c r="AP41" s="5"/>
      <c r="AQ41" s="5"/>
      <c r="AR41" s="40"/>
      <c r="AS41" s="5"/>
      <c r="AT41" s="5"/>
      <c r="AU41" s="40"/>
      <c r="AV41" s="5"/>
      <c r="AW41" s="5"/>
      <c r="AX41" s="40"/>
      <c r="AY41" s="5"/>
      <c r="AZ41" s="5"/>
      <c r="BA41" s="40"/>
      <c r="BB41" s="5"/>
      <c r="BC41" s="5"/>
      <c r="BD41" s="40"/>
      <c r="BE41" s="5"/>
      <c r="BF41" s="5"/>
      <c r="BG41" s="40"/>
      <c r="BH41" s="5"/>
      <c r="BI41" s="5"/>
      <c r="BJ41" s="40"/>
      <c r="BK41" s="5"/>
      <c r="BL41" s="5"/>
      <c r="BM41" s="40"/>
      <c r="BN41" s="5"/>
      <c r="BO41" s="5"/>
      <c r="BP41" s="40"/>
      <c r="BQ41" s="5"/>
      <c r="BR41" s="5"/>
      <c r="BS41" s="40"/>
      <c r="BT41" s="5"/>
      <c r="BU41" s="5"/>
      <c r="BV41" s="40"/>
      <c r="BW41" s="5"/>
      <c r="BX41" s="5"/>
      <c r="BY41" s="40"/>
      <c r="BZ41" s="5"/>
      <c r="CA41" s="5"/>
      <c r="CB41" s="40"/>
      <c r="CC41" s="5"/>
      <c r="CD41" s="5"/>
      <c r="CE41" s="40"/>
      <c r="CF41" s="5"/>
      <c r="CG41" s="5"/>
      <c r="CH41" s="40"/>
      <c r="CI41" s="5"/>
      <c r="CJ41" s="5"/>
      <c r="CK41" s="40"/>
      <c r="CL41" s="5"/>
      <c r="CM41" s="5"/>
      <c r="CN41" s="40"/>
      <c r="CO41" s="5"/>
      <c r="CP41" s="5"/>
      <c r="CQ41" s="40"/>
      <c r="CR41" s="5"/>
      <c r="CS41" s="5"/>
      <c r="CT41" s="5"/>
      <c r="CU41" s="5"/>
      <c r="CV41" s="5"/>
      <c r="CW41" s="5"/>
      <c r="CX41" s="5"/>
      <c r="CY41" s="5"/>
      <c r="CZ41" s="5"/>
      <c r="DA41" s="5"/>
      <c r="DB41" s="5"/>
      <c r="DC41" s="5"/>
      <c r="DD41" s="5"/>
      <c r="DE41" s="5"/>
      <c r="DF41" s="5"/>
    </row>
    <row r="42">
      <c r="A42" s="19" t="s">
        <v>49</v>
      </c>
      <c r="B42" s="42" t="s">
        <v>856</v>
      </c>
      <c r="C42" s="21">
        <v>90.0</v>
      </c>
      <c r="D42" s="35" t="b">
        <v>0</v>
      </c>
      <c r="G42" s="5"/>
      <c r="J42" s="5"/>
      <c r="M42" s="5"/>
      <c r="P42" s="5"/>
      <c r="S42" s="5"/>
      <c r="V42" s="5"/>
      <c r="Y42" s="5"/>
      <c r="AB42" s="5"/>
      <c r="AE42" s="5"/>
      <c r="AH42" s="5"/>
      <c r="AK42" s="5"/>
      <c r="AN42" s="5"/>
      <c r="AO42" s="40"/>
      <c r="AP42" s="5"/>
      <c r="AQ42" s="5"/>
      <c r="AR42" s="40"/>
      <c r="AS42" s="5"/>
      <c r="AT42" s="5"/>
      <c r="AU42" s="40"/>
      <c r="AV42" s="5"/>
      <c r="AW42" s="5"/>
      <c r="AX42" s="40"/>
      <c r="AY42" s="5"/>
      <c r="AZ42" s="5"/>
      <c r="BA42" s="40"/>
      <c r="BB42" s="5"/>
      <c r="BC42" s="5"/>
      <c r="BD42" s="40"/>
      <c r="BE42" s="5"/>
      <c r="BF42" s="5"/>
      <c r="BG42" s="40"/>
      <c r="BH42" s="5"/>
      <c r="BI42" s="5"/>
      <c r="BJ42" s="40"/>
      <c r="BK42" s="5"/>
      <c r="BL42" s="5"/>
      <c r="BM42" s="40"/>
      <c r="BN42" s="5"/>
      <c r="BO42" s="5"/>
      <c r="BP42" s="40"/>
      <c r="BQ42" s="5"/>
      <c r="BR42" s="5"/>
      <c r="BS42" s="40"/>
      <c r="BT42" s="5"/>
      <c r="BU42" s="5"/>
      <c r="BV42" s="40"/>
      <c r="BW42" s="5"/>
      <c r="BX42" s="5"/>
      <c r="BY42" s="40"/>
      <c r="BZ42" s="5"/>
      <c r="CA42" s="5"/>
      <c r="CB42" s="40"/>
      <c r="CC42" s="5"/>
      <c r="CD42" s="5"/>
      <c r="CE42" s="40"/>
      <c r="CF42" s="5"/>
      <c r="CG42" s="5"/>
      <c r="CH42" s="40"/>
      <c r="CI42" s="5"/>
      <c r="CJ42" s="5"/>
      <c r="CK42" s="40"/>
      <c r="CL42" s="5"/>
      <c r="CM42" s="5"/>
      <c r="CN42" s="40"/>
      <c r="CO42" s="5"/>
      <c r="CP42" s="5"/>
      <c r="CQ42" s="40"/>
      <c r="CR42" s="5"/>
      <c r="CS42" s="5"/>
      <c r="CT42" s="5"/>
      <c r="CU42" s="5"/>
      <c r="CV42" s="5"/>
      <c r="CW42" s="5"/>
      <c r="CX42" s="5"/>
      <c r="CY42" s="5"/>
      <c r="CZ42" s="5"/>
      <c r="DA42" s="5"/>
      <c r="DB42" s="5"/>
      <c r="DC42" s="5"/>
      <c r="DD42" s="5"/>
      <c r="DE42" s="5"/>
      <c r="DF42" s="5"/>
    </row>
    <row r="43">
      <c r="A43" s="19" t="s">
        <v>49</v>
      </c>
      <c r="B43" s="42" t="s">
        <v>857</v>
      </c>
      <c r="C43" s="21">
        <v>92.0</v>
      </c>
      <c r="D43" s="35" t="b">
        <v>0</v>
      </c>
      <c r="G43" s="5"/>
      <c r="J43" s="5"/>
      <c r="M43" s="5"/>
      <c r="P43" s="5"/>
      <c r="S43" s="5"/>
      <c r="V43" s="5"/>
      <c r="Y43" s="5"/>
      <c r="AB43" s="5"/>
      <c r="AE43" s="5"/>
      <c r="AH43" s="5"/>
      <c r="AK43" s="5"/>
      <c r="AN43" s="5"/>
      <c r="AO43" s="40"/>
      <c r="AP43" s="5"/>
      <c r="AQ43" s="5"/>
      <c r="AR43" s="40"/>
      <c r="AS43" s="5"/>
      <c r="AT43" s="5"/>
      <c r="AU43" s="40"/>
      <c r="AV43" s="5"/>
      <c r="AW43" s="5"/>
      <c r="AX43" s="40"/>
      <c r="AY43" s="5"/>
      <c r="AZ43" s="5"/>
      <c r="BA43" s="40"/>
      <c r="BB43" s="5"/>
      <c r="BC43" s="5"/>
      <c r="BD43" s="40"/>
      <c r="BE43" s="5"/>
      <c r="BF43" s="5"/>
      <c r="BG43" s="40"/>
      <c r="BH43" s="5"/>
      <c r="BI43" s="5"/>
      <c r="BJ43" s="40"/>
      <c r="BK43" s="5"/>
      <c r="BL43" s="5"/>
      <c r="BM43" s="40"/>
      <c r="BN43" s="5"/>
      <c r="BO43" s="5"/>
      <c r="BP43" s="40"/>
      <c r="BQ43" s="5"/>
      <c r="BR43" s="5"/>
      <c r="BS43" s="40"/>
      <c r="BT43" s="5"/>
      <c r="BU43" s="5"/>
      <c r="BV43" s="40"/>
      <c r="BW43" s="5"/>
      <c r="BX43" s="5"/>
      <c r="BY43" s="40"/>
      <c r="BZ43" s="5"/>
      <c r="CA43" s="5"/>
      <c r="CB43" s="40"/>
      <c r="CC43" s="5"/>
      <c r="CD43" s="5"/>
      <c r="CE43" s="40"/>
      <c r="CF43" s="5"/>
      <c r="CG43" s="5"/>
      <c r="CH43" s="40"/>
      <c r="CI43" s="5"/>
      <c r="CJ43" s="5"/>
      <c r="CK43" s="40"/>
      <c r="CL43" s="5"/>
      <c r="CM43" s="5"/>
      <c r="CN43" s="40"/>
      <c r="CO43" s="5"/>
      <c r="CP43" s="5"/>
      <c r="CQ43" s="40"/>
      <c r="CR43" s="5"/>
      <c r="CS43" s="5"/>
      <c r="CT43" s="5"/>
      <c r="CU43" s="5"/>
      <c r="CV43" s="5"/>
      <c r="CW43" s="5"/>
      <c r="CX43" s="5"/>
      <c r="CY43" s="5"/>
      <c r="CZ43" s="5"/>
      <c r="DA43" s="5"/>
      <c r="DB43" s="5"/>
      <c r="DC43" s="5"/>
      <c r="DD43" s="5"/>
      <c r="DE43" s="5"/>
      <c r="DF43" s="5"/>
    </row>
    <row r="44">
      <c r="A44" s="19" t="s">
        <v>49</v>
      </c>
      <c r="B44" s="42" t="s">
        <v>858</v>
      </c>
      <c r="C44" s="21">
        <v>94.0</v>
      </c>
      <c r="D44" s="35" t="b">
        <v>1</v>
      </c>
      <c r="G44" s="5"/>
      <c r="J44" s="5"/>
      <c r="M44" s="5"/>
      <c r="P44" s="5"/>
      <c r="S44" s="5"/>
      <c r="V44" s="5"/>
      <c r="Y44" s="5"/>
      <c r="AB44" s="5"/>
      <c r="AE44" s="5"/>
      <c r="AH44" s="5"/>
      <c r="AK44" s="5"/>
      <c r="AN44" s="5"/>
      <c r="AO44" s="40"/>
      <c r="AP44" s="5"/>
      <c r="AQ44" s="5"/>
      <c r="AR44" s="40"/>
      <c r="AS44" s="5"/>
      <c r="AT44" s="5"/>
      <c r="AU44" s="40"/>
      <c r="AV44" s="5"/>
      <c r="AW44" s="5"/>
      <c r="AX44" s="40"/>
      <c r="AY44" s="5"/>
      <c r="AZ44" s="5"/>
      <c r="BA44" s="40"/>
      <c r="BB44" s="5"/>
      <c r="BC44" s="5"/>
      <c r="BD44" s="40"/>
      <c r="BE44" s="5"/>
      <c r="BF44" s="5"/>
      <c r="BG44" s="40"/>
      <c r="BH44" s="5"/>
      <c r="BI44" s="5"/>
      <c r="BJ44" s="40"/>
      <c r="BK44" s="5"/>
      <c r="BL44" s="5"/>
      <c r="BM44" s="40"/>
      <c r="BN44" s="5"/>
      <c r="BO44" s="5"/>
      <c r="BP44" s="40"/>
      <c r="BQ44" s="5"/>
      <c r="BR44" s="5"/>
      <c r="BS44" s="40"/>
      <c r="BT44" s="5"/>
      <c r="BU44" s="5"/>
      <c r="BV44" s="40"/>
      <c r="BW44" s="5"/>
      <c r="BX44" s="5"/>
      <c r="BY44" s="40"/>
      <c r="BZ44" s="5"/>
      <c r="CA44" s="5"/>
      <c r="CB44" s="40"/>
      <c r="CC44" s="5"/>
      <c r="CD44" s="5"/>
      <c r="CE44" s="40"/>
      <c r="CF44" s="5"/>
      <c r="CG44" s="5"/>
      <c r="CH44" s="40"/>
      <c r="CI44" s="5"/>
      <c r="CJ44" s="5"/>
      <c r="CK44" s="40"/>
      <c r="CL44" s="5"/>
      <c r="CM44" s="5"/>
      <c r="CN44" s="40"/>
      <c r="CO44" s="5"/>
      <c r="CP44" s="5"/>
      <c r="CQ44" s="40"/>
      <c r="CR44" s="5"/>
      <c r="CS44" s="5"/>
      <c r="CT44" s="5"/>
      <c r="CU44" s="5"/>
      <c r="CV44" s="5"/>
      <c r="CW44" s="5"/>
      <c r="CX44" s="5"/>
      <c r="CY44" s="5"/>
      <c r="CZ44" s="5"/>
      <c r="DA44" s="5"/>
      <c r="DB44" s="5"/>
      <c r="DC44" s="5"/>
      <c r="DD44" s="5"/>
      <c r="DE44" s="5"/>
      <c r="DF44" s="5"/>
    </row>
    <row r="45">
      <c r="A45" s="36" t="s">
        <v>53</v>
      </c>
      <c r="B45" s="42" t="s">
        <v>859</v>
      </c>
      <c r="C45" s="45">
        <v>97.0</v>
      </c>
      <c r="D45" s="35" t="b">
        <v>0</v>
      </c>
      <c r="G45" s="5"/>
      <c r="J45" s="5"/>
      <c r="M45" s="5"/>
      <c r="P45" s="5"/>
      <c r="S45" s="5"/>
      <c r="V45" s="5"/>
      <c r="Y45" s="5"/>
      <c r="AB45" s="5"/>
      <c r="AE45" s="5"/>
      <c r="AH45" s="5"/>
      <c r="AK45" s="5"/>
      <c r="AN45" s="5"/>
      <c r="AO45" s="40"/>
      <c r="AP45" s="5"/>
      <c r="AQ45" s="5"/>
      <c r="AR45" s="40"/>
      <c r="AS45" s="5"/>
      <c r="AT45" s="5"/>
      <c r="AU45" s="40"/>
      <c r="AV45" s="5"/>
      <c r="AW45" s="5"/>
      <c r="AX45" s="40"/>
      <c r="AY45" s="5"/>
      <c r="AZ45" s="5"/>
      <c r="BA45" s="40"/>
      <c r="BB45" s="5"/>
      <c r="BC45" s="5"/>
      <c r="BD45" s="40"/>
      <c r="BE45" s="5"/>
      <c r="BF45" s="5"/>
      <c r="BG45" s="40"/>
      <c r="BH45" s="5"/>
      <c r="BI45" s="5"/>
      <c r="BJ45" s="40"/>
      <c r="BK45" s="5"/>
      <c r="BL45" s="5"/>
      <c r="BM45" s="40"/>
      <c r="BN45" s="5"/>
      <c r="BO45" s="5"/>
      <c r="BP45" s="40"/>
      <c r="BQ45" s="5"/>
      <c r="BR45" s="5"/>
      <c r="BS45" s="40"/>
      <c r="BT45" s="5"/>
      <c r="BU45" s="5"/>
      <c r="BV45" s="40"/>
      <c r="BW45" s="5"/>
      <c r="BX45" s="5"/>
      <c r="BY45" s="40"/>
      <c r="BZ45" s="5"/>
      <c r="CA45" s="5"/>
      <c r="CB45" s="40"/>
      <c r="CC45" s="5"/>
      <c r="CD45" s="5"/>
      <c r="CE45" s="40"/>
      <c r="CF45" s="5"/>
      <c r="CG45" s="5"/>
      <c r="CH45" s="40"/>
      <c r="CI45" s="5"/>
      <c r="CJ45" s="5"/>
      <c r="CK45" s="40"/>
      <c r="CL45" s="5"/>
      <c r="CM45" s="5"/>
      <c r="CN45" s="40"/>
      <c r="CO45" s="5"/>
      <c r="CP45" s="5"/>
      <c r="CQ45" s="40"/>
      <c r="CR45" s="5"/>
      <c r="CS45" s="5"/>
      <c r="CT45" s="5"/>
      <c r="CU45" s="5"/>
      <c r="CV45" s="5"/>
      <c r="CW45" s="5"/>
      <c r="CX45" s="5"/>
      <c r="CY45" s="5"/>
      <c r="CZ45" s="5"/>
      <c r="DA45" s="5"/>
      <c r="DB45" s="5"/>
      <c r="DC45" s="5"/>
      <c r="DD45" s="5"/>
      <c r="DE45" s="5"/>
      <c r="DF45" s="5"/>
    </row>
    <row r="46">
      <c r="A46" s="19" t="s">
        <v>53</v>
      </c>
      <c r="B46" s="42" t="s">
        <v>860</v>
      </c>
      <c r="C46" s="45">
        <v>97.0</v>
      </c>
      <c r="D46" s="35" t="b">
        <v>0</v>
      </c>
      <c r="G46" s="5"/>
      <c r="J46" s="5"/>
      <c r="M46" s="5"/>
      <c r="P46" s="5"/>
      <c r="S46" s="5"/>
      <c r="V46" s="5"/>
      <c r="Y46" s="5"/>
      <c r="AB46" s="5"/>
      <c r="AE46" s="5"/>
      <c r="AH46" s="5"/>
      <c r="AK46" s="5"/>
      <c r="AN46" s="5"/>
      <c r="AO46" s="40"/>
      <c r="AP46" s="5"/>
      <c r="AQ46" s="5"/>
      <c r="AR46" s="40"/>
      <c r="AS46" s="5"/>
      <c r="AT46" s="5"/>
      <c r="AU46" s="40"/>
      <c r="AV46" s="5"/>
      <c r="AW46" s="5"/>
      <c r="AX46" s="40"/>
      <c r="AY46" s="5"/>
      <c r="AZ46" s="5"/>
      <c r="BA46" s="40"/>
      <c r="BB46" s="5"/>
      <c r="BC46" s="5"/>
      <c r="BD46" s="40"/>
      <c r="BE46" s="5"/>
      <c r="BF46" s="5"/>
      <c r="BG46" s="40"/>
      <c r="BH46" s="5"/>
      <c r="BI46" s="5"/>
      <c r="BJ46" s="40"/>
      <c r="BK46" s="5"/>
      <c r="BL46" s="5"/>
      <c r="BM46" s="40"/>
      <c r="BN46" s="5"/>
      <c r="BO46" s="5"/>
      <c r="BP46" s="40"/>
      <c r="BQ46" s="5"/>
      <c r="BR46" s="5"/>
      <c r="BS46" s="40"/>
      <c r="BT46" s="5"/>
      <c r="BU46" s="5"/>
      <c r="BV46" s="40"/>
      <c r="BW46" s="5"/>
      <c r="BX46" s="5"/>
      <c r="BY46" s="40"/>
      <c r="BZ46" s="5"/>
      <c r="CA46" s="5"/>
      <c r="CB46" s="40"/>
      <c r="CC46" s="5"/>
      <c r="CD46" s="5"/>
      <c r="CE46" s="40"/>
      <c r="CF46" s="5"/>
      <c r="CG46" s="5"/>
      <c r="CH46" s="40"/>
      <c r="CI46" s="5"/>
      <c r="CJ46" s="5"/>
      <c r="CK46" s="40"/>
      <c r="CL46" s="5"/>
      <c r="CM46" s="5"/>
      <c r="CN46" s="40"/>
      <c r="CO46" s="5"/>
      <c r="CP46" s="5"/>
      <c r="CQ46" s="40"/>
      <c r="CR46" s="5"/>
      <c r="CS46" s="5"/>
      <c r="CT46" s="5"/>
      <c r="CU46" s="5"/>
      <c r="CV46" s="5"/>
      <c r="CW46" s="5"/>
      <c r="CX46" s="5"/>
      <c r="CY46" s="5"/>
      <c r="CZ46" s="5"/>
      <c r="DA46" s="5"/>
      <c r="DB46" s="5"/>
      <c r="DC46" s="5"/>
      <c r="DD46" s="5"/>
      <c r="DE46" s="5"/>
      <c r="DF46" s="5"/>
    </row>
    <row r="47">
      <c r="A47" s="36" t="s">
        <v>47</v>
      </c>
      <c r="B47" s="42" t="s">
        <v>861</v>
      </c>
      <c r="C47" s="45">
        <v>98.0</v>
      </c>
      <c r="D47" s="35" t="b">
        <v>1</v>
      </c>
      <c r="G47" s="5"/>
      <c r="J47" s="5"/>
      <c r="M47" s="5"/>
      <c r="P47" s="5"/>
      <c r="S47" s="5"/>
      <c r="V47" s="5"/>
      <c r="Y47" s="5"/>
      <c r="AB47" s="5"/>
      <c r="AE47" s="5"/>
      <c r="AH47" s="5"/>
      <c r="AK47" s="5"/>
      <c r="AN47" s="5"/>
      <c r="AO47" s="40"/>
      <c r="AP47" s="5"/>
      <c r="AQ47" s="5"/>
      <c r="AR47" s="40"/>
      <c r="AS47" s="5"/>
      <c r="AT47" s="5"/>
      <c r="AU47" s="40"/>
      <c r="AV47" s="5"/>
      <c r="AW47" s="5"/>
      <c r="AX47" s="40"/>
      <c r="AY47" s="5"/>
      <c r="AZ47" s="5"/>
      <c r="BA47" s="40"/>
      <c r="BB47" s="5"/>
      <c r="BC47" s="5"/>
      <c r="BD47" s="40"/>
      <c r="BE47" s="5"/>
      <c r="BF47" s="5"/>
      <c r="BG47" s="40"/>
      <c r="BH47" s="5"/>
      <c r="BI47" s="5"/>
      <c r="BJ47" s="40"/>
      <c r="BK47" s="5"/>
      <c r="BL47" s="5"/>
      <c r="BM47" s="40"/>
      <c r="BN47" s="5"/>
      <c r="BO47" s="5"/>
      <c r="BP47" s="40"/>
      <c r="BQ47" s="5"/>
      <c r="BR47" s="5"/>
      <c r="BS47" s="40"/>
      <c r="BT47" s="5"/>
      <c r="BU47" s="5"/>
      <c r="BV47" s="40"/>
      <c r="BW47" s="5"/>
      <c r="BX47" s="5"/>
      <c r="BY47" s="40"/>
      <c r="BZ47" s="5"/>
      <c r="CA47" s="5"/>
      <c r="CB47" s="40"/>
      <c r="CC47" s="5"/>
      <c r="CD47" s="5"/>
      <c r="CE47" s="40"/>
      <c r="CF47" s="5"/>
      <c r="CG47" s="5"/>
      <c r="CH47" s="40"/>
      <c r="CI47" s="5"/>
      <c r="CJ47" s="5"/>
      <c r="CK47" s="40"/>
      <c r="CL47" s="5"/>
      <c r="CM47" s="5"/>
      <c r="CN47" s="40"/>
      <c r="CO47" s="5"/>
      <c r="CP47" s="5"/>
      <c r="CQ47" s="40"/>
      <c r="CR47" s="5"/>
      <c r="CS47" s="5"/>
      <c r="CT47" s="5"/>
      <c r="CU47" s="5"/>
      <c r="CV47" s="5"/>
      <c r="CW47" s="5"/>
      <c r="CX47" s="5"/>
      <c r="CY47" s="5"/>
      <c r="CZ47" s="5"/>
      <c r="DA47" s="5"/>
      <c r="DB47" s="5"/>
      <c r="DC47" s="5"/>
      <c r="DD47" s="5"/>
      <c r="DE47" s="5"/>
      <c r="DF47" s="5"/>
    </row>
    <row r="48">
      <c r="A48" s="19" t="s">
        <v>51</v>
      </c>
      <c r="B48" s="42" t="s">
        <v>74</v>
      </c>
      <c r="C48" s="21">
        <v>90.0</v>
      </c>
      <c r="D48" s="35" t="b">
        <v>0</v>
      </c>
      <c r="G48" s="5"/>
      <c r="J48" s="5"/>
      <c r="M48" s="5"/>
      <c r="P48" s="5"/>
      <c r="S48" s="5"/>
      <c r="V48" s="5"/>
      <c r="Y48" s="5"/>
      <c r="AB48" s="5"/>
      <c r="AE48" s="5"/>
      <c r="AH48" s="5"/>
      <c r="AK48" s="5"/>
      <c r="AN48" s="5"/>
      <c r="AO48" s="40"/>
      <c r="AP48" s="5"/>
      <c r="AQ48" s="5"/>
      <c r="AR48" s="40"/>
      <c r="AS48" s="5"/>
      <c r="AT48" s="5"/>
      <c r="AU48" s="40"/>
      <c r="AV48" s="5"/>
      <c r="AW48" s="5"/>
      <c r="AX48" s="40"/>
      <c r="AY48" s="5"/>
      <c r="AZ48" s="5"/>
      <c r="BA48" s="40"/>
      <c r="BB48" s="5"/>
      <c r="BC48" s="5"/>
      <c r="BD48" s="40"/>
      <c r="BE48" s="5"/>
      <c r="BF48" s="5"/>
      <c r="BG48" s="40"/>
      <c r="BH48" s="5"/>
      <c r="BI48" s="5"/>
      <c r="BJ48" s="40"/>
      <c r="BK48" s="5"/>
      <c r="BL48" s="5"/>
      <c r="BM48" s="40"/>
      <c r="BN48" s="5"/>
      <c r="BO48" s="5"/>
      <c r="BP48" s="40"/>
      <c r="BQ48" s="5"/>
      <c r="BR48" s="5"/>
      <c r="BS48" s="40"/>
      <c r="BT48" s="5"/>
      <c r="BU48" s="5"/>
      <c r="BV48" s="40"/>
      <c r="BW48" s="5"/>
      <c r="BX48" s="5"/>
      <c r="BY48" s="40"/>
      <c r="BZ48" s="5"/>
      <c r="CA48" s="5"/>
      <c r="CB48" s="40"/>
      <c r="CC48" s="5"/>
      <c r="CD48" s="5"/>
      <c r="CE48" s="40"/>
      <c r="CF48" s="5"/>
      <c r="CG48" s="5"/>
      <c r="CH48" s="40"/>
      <c r="CI48" s="5"/>
      <c r="CJ48" s="5"/>
      <c r="CK48" s="40"/>
      <c r="CL48" s="5"/>
      <c r="CM48" s="5"/>
      <c r="CN48" s="40"/>
      <c r="CO48" s="5"/>
      <c r="CP48" s="5"/>
      <c r="CQ48" s="40"/>
      <c r="CR48" s="5"/>
      <c r="CS48" s="5"/>
      <c r="CT48" s="5"/>
      <c r="CU48" s="5"/>
      <c r="CV48" s="5"/>
      <c r="CW48" s="5"/>
      <c r="CX48" s="5"/>
      <c r="CY48" s="5"/>
      <c r="CZ48" s="5"/>
      <c r="DA48" s="5"/>
      <c r="DB48" s="5"/>
      <c r="DC48" s="5"/>
      <c r="DD48" s="5"/>
      <c r="DE48" s="5"/>
      <c r="DF48" s="5"/>
    </row>
    <row r="49">
      <c r="A49" s="19"/>
      <c r="B49" s="26"/>
      <c r="C49" s="21"/>
      <c r="D49" s="19"/>
      <c r="G49" s="5"/>
      <c r="J49" s="5"/>
      <c r="M49" s="5"/>
      <c r="P49" s="5"/>
      <c r="S49" s="5"/>
      <c r="V49" s="5"/>
      <c r="Y49" s="5"/>
      <c r="AB49" s="5"/>
      <c r="AE49" s="5"/>
      <c r="AH49" s="5"/>
      <c r="AK49" s="5"/>
      <c r="AN49" s="5"/>
      <c r="AO49" s="40"/>
      <c r="AP49" s="5"/>
      <c r="AQ49" s="5"/>
      <c r="AR49" s="40"/>
      <c r="AS49" s="5"/>
      <c r="AT49" s="5"/>
      <c r="AU49" s="40"/>
      <c r="AV49" s="5"/>
      <c r="AW49" s="5"/>
      <c r="AX49" s="40"/>
      <c r="AY49" s="5"/>
      <c r="AZ49" s="5"/>
      <c r="BA49" s="40"/>
      <c r="BB49" s="5"/>
      <c r="BC49" s="5"/>
      <c r="BD49" s="40"/>
      <c r="BE49" s="5"/>
      <c r="BF49" s="5"/>
      <c r="BG49" s="40"/>
      <c r="BH49" s="5"/>
      <c r="BI49" s="5"/>
      <c r="BJ49" s="40"/>
      <c r="BK49" s="5"/>
      <c r="BL49" s="5"/>
      <c r="BM49" s="40"/>
      <c r="BN49" s="5"/>
      <c r="BO49" s="5"/>
      <c r="BP49" s="40"/>
      <c r="BQ49" s="5"/>
      <c r="BR49" s="5"/>
      <c r="BS49" s="40"/>
      <c r="BT49" s="5"/>
      <c r="BU49" s="5"/>
      <c r="BV49" s="40"/>
      <c r="BW49" s="5"/>
      <c r="BX49" s="5"/>
      <c r="BY49" s="40"/>
      <c r="BZ49" s="5"/>
      <c r="CA49" s="5"/>
      <c r="CB49" s="40"/>
      <c r="CC49" s="5"/>
      <c r="CD49" s="5"/>
      <c r="CE49" s="40"/>
      <c r="CF49" s="5"/>
      <c r="CG49" s="5"/>
      <c r="CH49" s="40"/>
      <c r="CI49" s="5"/>
      <c r="CJ49" s="5"/>
      <c r="CK49" s="40"/>
      <c r="CL49" s="5"/>
      <c r="CM49" s="5"/>
      <c r="CN49" s="40"/>
      <c r="CO49" s="5"/>
      <c r="CP49" s="5"/>
      <c r="CQ49" s="40"/>
      <c r="CR49" s="5"/>
      <c r="CS49" s="5"/>
      <c r="CT49" s="5"/>
      <c r="CU49" s="5"/>
      <c r="CV49" s="5"/>
      <c r="CW49" s="5"/>
      <c r="CX49" s="5"/>
      <c r="CY49" s="5"/>
      <c r="CZ49" s="5"/>
      <c r="DA49" s="5"/>
      <c r="DB49" s="5"/>
      <c r="DC49" s="5"/>
      <c r="DD49" s="5"/>
      <c r="DE49" s="5"/>
      <c r="DF49" s="5"/>
    </row>
    <row r="50">
      <c r="A50" s="19"/>
      <c r="B50" s="26"/>
      <c r="C50" s="21"/>
      <c r="D50" s="19"/>
      <c r="G50" s="5"/>
      <c r="J50" s="5"/>
      <c r="M50" s="5"/>
      <c r="P50" s="5"/>
      <c r="S50" s="5"/>
      <c r="V50" s="5"/>
      <c r="Y50" s="5"/>
      <c r="AB50" s="5"/>
      <c r="AE50" s="5"/>
      <c r="AH50" s="5"/>
      <c r="AK50" s="5"/>
      <c r="AN50" s="5"/>
      <c r="AO50" s="40"/>
      <c r="AP50" s="5"/>
      <c r="AQ50" s="5"/>
      <c r="AR50" s="40"/>
      <c r="AS50" s="5"/>
      <c r="AT50" s="5"/>
      <c r="AU50" s="40"/>
      <c r="AV50" s="5"/>
      <c r="AW50" s="5"/>
      <c r="AX50" s="40"/>
      <c r="AY50" s="5"/>
      <c r="AZ50" s="5"/>
      <c r="BA50" s="40"/>
      <c r="BB50" s="5"/>
      <c r="BC50" s="5"/>
      <c r="BD50" s="40"/>
      <c r="BE50" s="5"/>
      <c r="BF50" s="5"/>
      <c r="BG50" s="40"/>
      <c r="BH50" s="5"/>
      <c r="BI50" s="5"/>
      <c r="BJ50" s="40"/>
      <c r="BK50" s="5"/>
      <c r="BL50" s="5"/>
      <c r="BM50" s="40"/>
      <c r="BN50" s="5"/>
      <c r="BO50" s="5"/>
      <c r="BP50" s="40"/>
      <c r="BQ50" s="5"/>
      <c r="BR50" s="5"/>
      <c r="BS50" s="40"/>
      <c r="BT50" s="5"/>
      <c r="BU50" s="5"/>
      <c r="BV50" s="40"/>
      <c r="BW50" s="5"/>
      <c r="BX50" s="5"/>
      <c r="BY50" s="40"/>
      <c r="BZ50" s="5"/>
      <c r="CA50" s="5"/>
      <c r="CB50" s="40"/>
      <c r="CC50" s="5"/>
      <c r="CD50" s="5"/>
      <c r="CE50" s="40"/>
      <c r="CF50" s="5"/>
      <c r="CG50" s="5"/>
      <c r="CH50" s="40"/>
      <c r="CI50" s="5"/>
      <c r="CJ50" s="5"/>
      <c r="CK50" s="40"/>
      <c r="CL50" s="5"/>
      <c r="CM50" s="5"/>
      <c r="CN50" s="40"/>
      <c r="CO50" s="5"/>
      <c r="CP50" s="5"/>
      <c r="CQ50" s="40"/>
      <c r="CR50" s="5"/>
      <c r="CS50" s="5"/>
      <c r="CT50" s="5"/>
      <c r="CU50" s="5"/>
      <c r="CV50" s="5"/>
      <c r="CW50" s="5"/>
      <c r="CX50" s="5"/>
      <c r="CY50" s="5"/>
      <c r="CZ50" s="5"/>
      <c r="DA50" s="5"/>
      <c r="DB50" s="5"/>
      <c r="DC50" s="5"/>
      <c r="DD50" s="5"/>
      <c r="DE50" s="5"/>
      <c r="DF50" s="5"/>
    </row>
    <row r="51">
      <c r="A51" s="19"/>
      <c r="B51" s="26"/>
      <c r="C51" s="21"/>
      <c r="D51" s="19"/>
      <c r="G51" s="5"/>
      <c r="J51" s="5"/>
      <c r="M51" s="5"/>
      <c r="P51" s="5"/>
      <c r="S51" s="5"/>
      <c r="V51" s="5"/>
      <c r="Y51" s="5"/>
      <c r="AB51" s="5"/>
      <c r="AE51" s="5"/>
      <c r="AH51" s="5"/>
      <c r="AK51" s="5"/>
      <c r="AN51" s="5"/>
      <c r="AO51" s="40"/>
      <c r="AP51" s="5"/>
      <c r="AQ51" s="5"/>
      <c r="AR51" s="40"/>
      <c r="AS51" s="5"/>
      <c r="AT51" s="5"/>
      <c r="AU51" s="40"/>
      <c r="AV51" s="5"/>
      <c r="AW51" s="5"/>
      <c r="AX51" s="40"/>
      <c r="AY51" s="5"/>
      <c r="AZ51" s="5"/>
      <c r="BA51" s="40"/>
      <c r="BB51" s="5"/>
      <c r="BC51" s="5"/>
      <c r="BD51" s="40"/>
      <c r="BE51" s="5"/>
      <c r="BF51" s="5"/>
      <c r="BG51" s="40"/>
      <c r="BH51" s="5"/>
      <c r="BI51" s="5"/>
      <c r="BJ51" s="40"/>
      <c r="BK51" s="5"/>
      <c r="BL51" s="5"/>
      <c r="BM51" s="40"/>
      <c r="BN51" s="5"/>
      <c r="BO51" s="5"/>
      <c r="BP51" s="40"/>
      <c r="BQ51" s="5"/>
      <c r="BR51" s="5"/>
      <c r="BS51" s="40"/>
      <c r="BT51" s="5"/>
      <c r="BU51" s="5"/>
      <c r="BV51" s="40"/>
      <c r="BW51" s="5"/>
      <c r="BX51" s="5"/>
      <c r="BY51" s="40"/>
      <c r="BZ51" s="5"/>
      <c r="CA51" s="5"/>
      <c r="CB51" s="40"/>
      <c r="CC51" s="5"/>
      <c r="CD51" s="5"/>
      <c r="CE51" s="40"/>
      <c r="CF51" s="5"/>
      <c r="CG51" s="5"/>
      <c r="CH51" s="40"/>
      <c r="CI51" s="5"/>
      <c r="CJ51" s="5"/>
      <c r="CK51" s="40"/>
      <c r="CL51" s="5"/>
      <c r="CM51" s="5"/>
      <c r="CN51" s="40"/>
      <c r="CO51" s="5"/>
      <c r="CP51" s="5"/>
      <c r="CQ51" s="40"/>
      <c r="CR51" s="5"/>
      <c r="CS51" s="5"/>
      <c r="CT51" s="5"/>
      <c r="CU51" s="5"/>
      <c r="CV51" s="5"/>
      <c r="CW51" s="5"/>
      <c r="CX51" s="5"/>
      <c r="CY51" s="5"/>
      <c r="CZ51" s="5"/>
      <c r="DA51" s="5"/>
      <c r="DB51" s="5"/>
      <c r="DC51" s="5"/>
      <c r="DD51" s="5"/>
      <c r="DE51" s="5"/>
      <c r="DF51" s="5"/>
    </row>
    <row r="52">
      <c r="A52" s="19"/>
      <c r="B52" s="26"/>
      <c r="C52" s="21"/>
      <c r="D52" s="19"/>
      <c r="G52" s="5"/>
      <c r="J52" s="5"/>
      <c r="M52" s="5"/>
      <c r="P52" s="5"/>
      <c r="S52" s="5"/>
      <c r="V52" s="5"/>
      <c r="Y52" s="5"/>
      <c r="AB52" s="5"/>
      <c r="AE52" s="5"/>
      <c r="AH52" s="5"/>
      <c r="AK52" s="5"/>
      <c r="AN52" s="5"/>
      <c r="AO52" s="40"/>
      <c r="AP52" s="5"/>
      <c r="AQ52" s="5"/>
      <c r="AR52" s="40"/>
      <c r="AS52" s="5"/>
      <c r="AT52" s="5"/>
      <c r="AU52" s="40"/>
      <c r="AV52" s="5"/>
      <c r="AW52" s="5"/>
      <c r="AX52" s="40"/>
      <c r="AY52" s="5"/>
      <c r="AZ52" s="5"/>
      <c r="BA52" s="40"/>
      <c r="BB52" s="5"/>
      <c r="BC52" s="5"/>
      <c r="BD52" s="40"/>
      <c r="BE52" s="5"/>
      <c r="BF52" s="5"/>
      <c r="BG52" s="40"/>
      <c r="BH52" s="5"/>
      <c r="BI52" s="5"/>
      <c r="BJ52" s="40"/>
      <c r="BK52" s="5"/>
      <c r="BL52" s="5"/>
      <c r="BM52" s="40"/>
      <c r="BN52" s="5"/>
      <c r="BO52" s="5"/>
      <c r="BP52" s="40"/>
      <c r="BQ52" s="5"/>
      <c r="BR52" s="5"/>
      <c r="BS52" s="40"/>
      <c r="BT52" s="5"/>
      <c r="BU52" s="5"/>
      <c r="BV52" s="40"/>
      <c r="BW52" s="5"/>
      <c r="BX52" s="5"/>
      <c r="BY52" s="40"/>
      <c r="BZ52" s="5"/>
      <c r="CA52" s="5"/>
      <c r="CB52" s="40"/>
      <c r="CC52" s="5"/>
      <c r="CD52" s="5"/>
      <c r="CE52" s="40"/>
      <c r="CF52" s="5"/>
      <c r="CG52" s="5"/>
      <c r="CH52" s="40"/>
      <c r="CI52" s="5"/>
      <c r="CJ52" s="5"/>
      <c r="CK52" s="40"/>
      <c r="CL52" s="5"/>
      <c r="CM52" s="5"/>
      <c r="CN52" s="40"/>
      <c r="CO52" s="5"/>
      <c r="CP52" s="5"/>
      <c r="CQ52" s="40"/>
      <c r="CR52" s="5"/>
      <c r="CS52" s="5"/>
      <c r="CT52" s="5"/>
      <c r="CU52" s="5"/>
      <c r="CV52" s="5"/>
      <c r="CW52" s="5"/>
      <c r="CX52" s="5"/>
      <c r="CY52" s="5"/>
      <c r="CZ52" s="5"/>
      <c r="DA52" s="5"/>
      <c r="DB52" s="5"/>
      <c r="DC52" s="5"/>
      <c r="DD52" s="5"/>
      <c r="DE52" s="5"/>
      <c r="DF52" s="5"/>
    </row>
    <row r="53">
      <c r="A53" s="19"/>
      <c r="B53" s="26"/>
      <c r="C53" s="21"/>
      <c r="D53" s="19"/>
      <c r="G53" s="5"/>
      <c r="J53" s="5"/>
      <c r="M53" s="5"/>
      <c r="P53" s="5"/>
      <c r="S53" s="5"/>
      <c r="V53" s="5"/>
      <c r="Y53" s="5"/>
      <c r="AB53" s="5"/>
      <c r="AE53" s="5"/>
      <c r="AH53" s="5"/>
      <c r="AK53" s="5"/>
      <c r="AN53" s="5"/>
      <c r="AO53" s="40"/>
      <c r="AP53" s="5"/>
      <c r="AQ53" s="5"/>
      <c r="AR53" s="40"/>
      <c r="AS53" s="5"/>
      <c r="AT53" s="5"/>
      <c r="AU53" s="40"/>
      <c r="AV53" s="5"/>
      <c r="AW53" s="5"/>
      <c r="AX53" s="40"/>
      <c r="AY53" s="5"/>
      <c r="AZ53" s="5"/>
      <c r="BA53" s="40"/>
      <c r="BB53" s="5"/>
      <c r="BC53" s="5"/>
      <c r="BD53" s="40"/>
      <c r="BE53" s="5"/>
      <c r="BF53" s="5"/>
      <c r="BG53" s="40"/>
      <c r="BH53" s="5"/>
      <c r="BI53" s="5"/>
      <c r="BJ53" s="40"/>
      <c r="BK53" s="5"/>
      <c r="BL53" s="5"/>
      <c r="BM53" s="40"/>
      <c r="BN53" s="5"/>
      <c r="BO53" s="5"/>
      <c r="BP53" s="40"/>
      <c r="BQ53" s="5"/>
      <c r="BR53" s="5"/>
      <c r="BS53" s="40"/>
      <c r="BT53" s="5"/>
      <c r="BU53" s="5"/>
      <c r="BV53" s="40"/>
      <c r="BW53" s="5"/>
      <c r="BX53" s="5"/>
      <c r="BY53" s="40"/>
      <c r="BZ53" s="5"/>
      <c r="CA53" s="5"/>
      <c r="CB53" s="40"/>
      <c r="CC53" s="5"/>
      <c r="CD53" s="5"/>
      <c r="CE53" s="40"/>
      <c r="CF53" s="5"/>
      <c r="CG53" s="5"/>
      <c r="CH53" s="40"/>
      <c r="CI53" s="5"/>
      <c r="CJ53" s="5"/>
      <c r="CK53" s="40"/>
      <c r="CL53" s="5"/>
      <c r="CM53" s="5"/>
      <c r="CN53" s="40"/>
      <c r="CO53" s="5"/>
      <c r="CP53" s="5"/>
      <c r="CQ53" s="40"/>
      <c r="CR53" s="5"/>
      <c r="CS53" s="5"/>
      <c r="CT53" s="5"/>
      <c r="CU53" s="5"/>
      <c r="CV53" s="5"/>
      <c r="CW53" s="5"/>
      <c r="CX53" s="5"/>
      <c r="CY53" s="5"/>
      <c r="CZ53" s="5"/>
      <c r="DA53" s="5"/>
      <c r="DB53" s="5"/>
      <c r="DC53" s="5"/>
      <c r="DD53" s="5"/>
      <c r="DE53" s="5"/>
      <c r="DF53" s="5"/>
    </row>
    <row r="54">
      <c r="A54" s="19"/>
      <c r="B54" s="26"/>
      <c r="C54" s="21"/>
      <c r="D54" s="19"/>
      <c r="G54" s="5"/>
      <c r="J54" s="5"/>
      <c r="M54" s="5"/>
      <c r="P54" s="5"/>
      <c r="S54" s="5"/>
      <c r="V54" s="5"/>
      <c r="Y54" s="5"/>
      <c r="AB54" s="5"/>
      <c r="AE54" s="5"/>
      <c r="AH54" s="5"/>
      <c r="AK54" s="5"/>
      <c r="AN54" s="5"/>
      <c r="AO54" s="40"/>
      <c r="AP54" s="5"/>
      <c r="AQ54" s="5"/>
      <c r="AR54" s="40"/>
      <c r="AS54" s="5"/>
      <c r="AT54" s="5"/>
      <c r="AU54" s="40"/>
      <c r="AV54" s="5"/>
      <c r="AW54" s="5"/>
      <c r="AX54" s="40"/>
      <c r="AY54" s="5"/>
      <c r="AZ54" s="5"/>
      <c r="BA54" s="40"/>
      <c r="BB54" s="5"/>
      <c r="BC54" s="5"/>
      <c r="BD54" s="40"/>
      <c r="BE54" s="5"/>
      <c r="BF54" s="5"/>
      <c r="BG54" s="40"/>
      <c r="BH54" s="5"/>
      <c r="BI54" s="5"/>
      <c r="BJ54" s="40"/>
      <c r="BK54" s="5"/>
      <c r="BL54" s="5"/>
      <c r="BM54" s="40"/>
      <c r="BN54" s="5"/>
      <c r="BO54" s="5"/>
      <c r="BP54" s="40"/>
      <c r="BQ54" s="5"/>
      <c r="BR54" s="5"/>
      <c r="BS54" s="40"/>
      <c r="BT54" s="5"/>
      <c r="BU54" s="5"/>
      <c r="BV54" s="40"/>
      <c r="BW54" s="5"/>
      <c r="BX54" s="5"/>
      <c r="BY54" s="40"/>
      <c r="BZ54" s="5"/>
      <c r="CA54" s="5"/>
      <c r="CB54" s="40"/>
      <c r="CC54" s="5"/>
      <c r="CD54" s="5"/>
      <c r="CE54" s="40"/>
      <c r="CF54" s="5"/>
      <c r="CG54" s="5"/>
      <c r="CH54" s="40"/>
      <c r="CI54" s="5"/>
      <c r="CJ54" s="5"/>
      <c r="CK54" s="40"/>
      <c r="CL54" s="5"/>
      <c r="CM54" s="5"/>
      <c r="CN54" s="40"/>
      <c r="CO54" s="5"/>
      <c r="CP54" s="5"/>
      <c r="CQ54" s="40"/>
      <c r="CR54" s="5"/>
      <c r="CS54" s="5"/>
      <c r="CT54" s="5"/>
      <c r="CU54" s="5"/>
      <c r="CV54" s="5"/>
      <c r="CW54" s="5"/>
      <c r="CX54" s="5"/>
      <c r="CY54" s="5"/>
      <c r="CZ54" s="5"/>
      <c r="DA54" s="5"/>
      <c r="DB54" s="5"/>
      <c r="DC54" s="5"/>
      <c r="DD54" s="5"/>
      <c r="DE54" s="5"/>
      <c r="DF54" s="5"/>
    </row>
    <row r="55">
      <c r="A55" s="19"/>
      <c r="B55" s="26"/>
      <c r="C55" s="21"/>
      <c r="D55" s="19"/>
      <c r="G55" s="5"/>
      <c r="J55" s="5"/>
      <c r="M55" s="5"/>
      <c r="P55" s="5"/>
      <c r="S55" s="5"/>
      <c r="V55" s="5"/>
      <c r="Y55" s="5"/>
      <c r="AB55" s="5"/>
      <c r="AE55" s="5"/>
      <c r="AH55" s="5"/>
      <c r="AK55" s="5"/>
      <c r="AN55" s="5"/>
      <c r="AO55" s="40"/>
      <c r="AP55" s="5"/>
      <c r="AQ55" s="5"/>
      <c r="AR55" s="40"/>
      <c r="AS55" s="5"/>
      <c r="AT55" s="5"/>
      <c r="AU55" s="40"/>
      <c r="AV55" s="5"/>
      <c r="AW55" s="5"/>
      <c r="AX55" s="40"/>
      <c r="AY55" s="5"/>
      <c r="AZ55" s="5"/>
      <c r="BA55" s="40"/>
      <c r="BB55" s="5"/>
      <c r="BC55" s="5"/>
      <c r="BD55" s="40"/>
      <c r="BE55" s="5"/>
      <c r="BF55" s="5"/>
      <c r="BG55" s="40"/>
      <c r="BH55" s="5"/>
      <c r="BI55" s="5"/>
      <c r="BJ55" s="40"/>
      <c r="BK55" s="5"/>
      <c r="BL55" s="5"/>
      <c r="BM55" s="40"/>
      <c r="BN55" s="5"/>
      <c r="BO55" s="5"/>
      <c r="BP55" s="40"/>
      <c r="BQ55" s="5"/>
      <c r="BR55" s="5"/>
      <c r="BS55" s="40"/>
      <c r="BT55" s="5"/>
      <c r="BU55" s="5"/>
      <c r="BV55" s="40"/>
      <c r="BW55" s="5"/>
      <c r="BX55" s="5"/>
      <c r="BY55" s="40"/>
      <c r="BZ55" s="5"/>
      <c r="CA55" s="5"/>
      <c r="CB55" s="40"/>
      <c r="CC55" s="5"/>
      <c r="CD55" s="5"/>
      <c r="CE55" s="40"/>
      <c r="CF55" s="5"/>
      <c r="CG55" s="5"/>
      <c r="CH55" s="40"/>
      <c r="CI55" s="5"/>
      <c r="CJ55" s="5"/>
      <c r="CK55" s="40"/>
      <c r="CL55" s="5"/>
      <c r="CM55" s="5"/>
      <c r="CN55" s="40"/>
      <c r="CO55" s="5"/>
      <c r="CP55" s="5"/>
      <c r="CQ55" s="40"/>
      <c r="CR55" s="5"/>
      <c r="CS55" s="5"/>
      <c r="CT55" s="5"/>
      <c r="CU55" s="5"/>
      <c r="CV55" s="5"/>
      <c r="CW55" s="5"/>
      <c r="CX55" s="5"/>
      <c r="CY55" s="5"/>
      <c r="CZ55" s="5"/>
      <c r="DA55" s="5"/>
      <c r="DB55" s="5"/>
      <c r="DC55" s="5"/>
      <c r="DD55" s="5"/>
      <c r="DE55" s="5"/>
      <c r="DF55" s="5"/>
    </row>
    <row r="56">
      <c r="A56" s="19"/>
      <c r="B56" s="26"/>
      <c r="C56" s="21"/>
      <c r="D56" s="19"/>
      <c r="G56" s="5"/>
      <c r="J56" s="5"/>
      <c r="M56" s="5"/>
      <c r="P56" s="5"/>
      <c r="S56" s="5"/>
      <c r="V56" s="5"/>
      <c r="Y56" s="5"/>
      <c r="AB56" s="5"/>
      <c r="AE56" s="5"/>
      <c r="AH56" s="5"/>
      <c r="AK56" s="5"/>
      <c r="AN56" s="5"/>
      <c r="AO56" s="40"/>
      <c r="AP56" s="5"/>
      <c r="AQ56" s="5"/>
      <c r="AR56" s="40"/>
      <c r="AS56" s="5"/>
      <c r="AT56" s="5"/>
      <c r="AU56" s="40"/>
      <c r="AV56" s="5"/>
      <c r="AW56" s="5"/>
      <c r="AX56" s="40"/>
      <c r="AY56" s="5"/>
      <c r="AZ56" s="5"/>
      <c r="BA56" s="40"/>
      <c r="BB56" s="5"/>
      <c r="BC56" s="5"/>
      <c r="BD56" s="40"/>
      <c r="BE56" s="5"/>
      <c r="BF56" s="5"/>
      <c r="BG56" s="40"/>
      <c r="BH56" s="5"/>
      <c r="BI56" s="5"/>
      <c r="BJ56" s="40"/>
      <c r="BK56" s="5"/>
      <c r="BL56" s="5"/>
      <c r="BM56" s="40"/>
      <c r="BN56" s="5"/>
      <c r="BO56" s="5"/>
      <c r="BP56" s="40"/>
      <c r="BQ56" s="5"/>
      <c r="BR56" s="5"/>
      <c r="BS56" s="40"/>
      <c r="BT56" s="5"/>
      <c r="BU56" s="5"/>
      <c r="BV56" s="40"/>
      <c r="BW56" s="5"/>
      <c r="BX56" s="5"/>
      <c r="BY56" s="40"/>
      <c r="BZ56" s="5"/>
      <c r="CA56" s="5"/>
      <c r="CB56" s="40"/>
      <c r="CC56" s="5"/>
      <c r="CD56" s="5"/>
      <c r="CE56" s="40"/>
      <c r="CF56" s="5"/>
      <c r="CG56" s="5"/>
      <c r="CH56" s="40"/>
      <c r="CI56" s="5"/>
      <c r="CJ56" s="5"/>
      <c r="CK56" s="40"/>
      <c r="CL56" s="5"/>
      <c r="CM56" s="5"/>
      <c r="CN56" s="40"/>
      <c r="CO56" s="5"/>
      <c r="CP56" s="5"/>
      <c r="CQ56" s="40"/>
      <c r="CR56" s="5"/>
      <c r="CS56" s="5"/>
      <c r="CT56" s="5"/>
      <c r="CU56" s="5"/>
      <c r="CV56" s="5"/>
      <c r="CW56" s="5"/>
      <c r="CX56" s="5"/>
      <c r="CY56" s="5"/>
      <c r="CZ56" s="5"/>
      <c r="DA56" s="5"/>
      <c r="DB56" s="5"/>
      <c r="DC56" s="5"/>
      <c r="DD56" s="5"/>
      <c r="DE56" s="5"/>
      <c r="DF56" s="5"/>
    </row>
    <row r="57">
      <c r="A57" s="19"/>
      <c r="B57" s="26"/>
      <c r="C57" s="21"/>
      <c r="D57" s="19"/>
      <c r="G57" s="5"/>
      <c r="J57" s="5"/>
      <c r="M57" s="5"/>
      <c r="P57" s="5"/>
      <c r="S57" s="5"/>
      <c r="V57" s="5"/>
      <c r="Y57" s="5"/>
      <c r="AB57" s="5"/>
      <c r="AE57" s="5"/>
      <c r="AH57" s="5"/>
      <c r="AK57" s="5"/>
      <c r="AN57" s="5"/>
      <c r="AO57" s="40"/>
      <c r="AP57" s="5"/>
      <c r="AQ57" s="5"/>
      <c r="AR57" s="40"/>
      <c r="AS57" s="5"/>
      <c r="AT57" s="5"/>
      <c r="AU57" s="40"/>
      <c r="AV57" s="5"/>
      <c r="AW57" s="5"/>
      <c r="AX57" s="40"/>
      <c r="AY57" s="5"/>
      <c r="AZ57" s="5"/>
      <c r="BA57" s="40"/>
      <c r="BB57" s="5"/>
      <c r="BC57" s="5"/>
      <c r="BD57" s="40"/>
      <c r="BE57" s="5"/>
      <c r="BF57" s="5"/>
      <c r="BG57" s="40"/>
      <c r="BH57" s="5"/>
      <c r="BI57" s="5"/>
      <c r="BJ57" s="40"/>
      <c r="BK57" s="5"/>
      <c r="BL57" s="5"/>
      <c r="BM57" s="40"/>
      <c r="BN57" s="5"/>
      <c r="BO57" s="5"/>
      <c r="BP57" s="40"/>
      <c r="BQ57" s="5"/>
      <c r="BR57" s="5"/>
      <c r="BS57" s="40"/>
      <c r="BT57" s="5"/>
      <c r="BU57" s="5"/>
      <c r="BV57" s="40"/>
      <c r="BW57" s="5"/>
      <c r="BX57" s="5"/>
      <c r="BY57" s="40"/>
      <c r="BZ57" s="5"/>
      <c r="CA57" s="5"/>
      <c r="CB57" s="40"/>
      <c r="CC57" s="5"/>
      <c r="CD57" s="5"/>
      <c r="CE57" s="40"/>
      <c r="CF57" s="5"/>
      <c r="CG57" s="5"/>
      <c r="CH57" s="40"/>
      <c r="CI57" s="5"/>
      <c r="CJ57" s="5"/>
      <c r="CK57" s="40"/>
      <c r="CL57" s="5"/>
      <c r="CM57" s="5"/>
      <c r="CN57" s="40"/>
      <c r="CO57" s="5"/>
      <c r="CP57" s="5"/>
      <c r="CQ57" s="40"/>
      <c r="CR57" s="5"/>
      <c r="CS57" s="5"/>
      <c r="CT57" s="5"/>
      <c r="CU57" s="5"/>
      <c r="CV57" s="5"/>
      <c r="CW57" s="5"/>
      <c r="CX57" s="5"/>
      <c r="CY57" s="5"/>
      <c r="CZ57" s="5"/>
      <c r="DA57" s="5"/>
      <c r="DB57" s="5"/>
      <c r="DC57" s="5"/>
      <c r="DD57" s="5"/>
      <c r="DE57" s="5"/>
      <c r="DF57" s="5"/>
    </row>
    <row r="58">
      <c r="A58" s="19"/>
      <c r="B58" s="26"/>
      <c r="C58" s="21"/>
      <c r="D58" s="19"/>
      <c r="G58" s="5"/>
      <c r="J58" s="5"/>
      <c r="M58" s="5"/>
      <c r="P58" s="5"/>
      <c r="S58" s="5"/>
      <c r="V58" s="5"/>
      <c r="Y58" s="5"/>
      <c r="AB58" s="5"/>
      <c r="AE58" s="5"/>
      <c r="AH58" s="5"/>
      <c r="AK58" s="5"/>
      <c r="AN58" s="5"/>
      <c r="AO58" s="40"/>
      <c r="AP58" s="5"/>
      <c r="AQ58" s="5"/>
      <c r="AR58" s="40"/>
      <c r="AS58" s="5"/>
      <c r="AT58" s="5"/>
      <c r="AU58" s="40"/>
      <c r="AV58" s="5"/>
      <c r="AW58" s="5"/>
      <c r="AX58" s="40"/>
      <c r="AY58" s="5"/>
      <c r="AZ58" s="5"/>
      <c r="BA58" s="40"/>
      <c r="BB58" s="5"/>
      <c r="BC58" s="5"/>
      <c r="BD58" s="40"/>
      <c r="BE58" s="5"/>
      <c r="BF58" s="5"/>
      <c r="BG58" s="40"/>
      <c r="BH58" s="5"/>
      <c r="BI58" s="5"/>
      <c r="BJ58" s="40"/>
      <c r="BK58" s="5"/>
      <c r="BL58" s="5"/>
      <c r="BM58" s="40"/>
      <c r="BN58" s="5"/>
      <c r="BO58" s="5"/>
      <c r="BP58" s="40"/>
      <c r="BQ58" s="5"/>
      <c r="BR58" s="5"/>
      <c r="BS58" s="40"/>
      <c r="BT58" s="5"/>
      <c r="BU58" s="5"/>
      <c r="BV58" s="40"/>
      <c r="BW58" s="5"/>
      <c r="BX58" s="5"/>
      <c r="BY58" s="40"/>
      <c r="BZ58" s="5"/>
      <c r="CA58" s="5"/>
      <c r="CB58" s="40"/>
      <c r="CC58" s="5"/>
      <c r="CD58" s="5"/>
      <c r="CE58" s="40"/>
      <c r="CF58" s="5"/>
      <c r="CG58" s="5"/>
      <c r="CH58" s="40"/>
      <c r="CI58" s="5"/>
      <c r="CJ58" s="5"/>
      <c r="CK58" s="40"/>
      <c r="CL58" s="5"/>
      <c r="CM58" s="5"/>
      <c r="CN58" s="40"/>
      <c r="CO58" s="5"/>
      <c r="CP58" s="5"/>
      <c r="CQ58" s="40"/>
      <c r="CR58" s="5"/>
      <c r="CS58" s="5"/>
      <c r="CT58" s="5"/>
      <c r="CU58" s="5"/>
      <c r="CV58" s="5"/>
      <c r="CW58" s="5"/>
      <c r="CX58" s="5"/>
      <c r="CY58" s="5"/>
      <c r="CZ58" s="5"/>
      <c r="DA58" s="5"/>
      <c r="DB58" s="5"/>
      <c r="DC58" s="5"/>
      <c r="DD58" s="5"/>
      <c r="DE58" s="5"/>
      <c r="DF58" s="5"/>
    </row>
    <row r="59">
      <c r="A59" s="19"/>
      <c r="B59" s="26"/>
      <c r="C59" s="21"/>
      <c r="D59" s="19"/>
      <c r="G59" s="5"/>
      <c r="J59" s="5"/>
      <c r="M59" s="5"/>
      <c r="P59" s="5"/>
      <c r="S59" s="5"/>
      <c r="V59" s="5"/>
      <c r="Y59" s="5"/>
      <c r="AB59" s="5"/>
      <c r="AE59" s="5"/>
      <c r="AH59" s="5"/>
      <c r="AK59" s="5"/>
      <c r="AN59" s="5"/>
      <c r="AO59" s="40"/>
      <c r="AP59" s="5"/>
      <c r="AQ59" s="5"/>
      <c r="AR59" s="40"/>
      <c r="AS59" s="5"/>
      <c r="AT59" s="5"/>
      <c r="AU59" s="40"/>
      <c r="AV59" s="5"/>
      <c r="AW59" s="5"/>
      <c r="AX59" s="40"/>
      <c r="AY59" s="5"/>
      <c r="AZ59" s="5"/>
      <c r="BA59" s="40"/>
      <c r="BB59" s="5"/>
      <c r="BC59" s="5"/>
      <c r="BD59" s="40"/>
      <c r="BE59" s="5"/>
      <c r="BF59" s="5"/>
      <c r="BG59" s="40"/>
      <c r="BH59" s="5"/>
      <c r="BI59" s="5"/>
      <c r="BJ59" s="40"/>
      <c r="BK59" s="5"/>
      <c r="BL59" s="5"/>
      <c r="BM59" s="40"/>
      <c r="BN59" s="5"/>
      <c r="BO59" s="5"/>
      <c r="BP59" s="40"/>
      <c r="BQ59" s="5"/>
      <c r="BR59" s="5"/>
      <c r="BS59" s="40"/>
      <c r="BT59" s="5"/>
      <c r="BU59" s="5"/>
      <c r="BV59" s="40"/>
      <c r="BW59" s="5"/>
      <c r="BX59" s="5"/>
      <c r="BY59" s="40"/>
      <c r="BZ59" s="5"/>
      <c r="CA59" s="5"/>
      <c r="CB59" s="40"/>
      <c r="CC59" s="5"/>
      <c r="CD59" s="5"/>
      <c r="CE59" s="40"/>
      <c r="CF59" s="5"/>
      <c r="CG59" s="5"/>
      <c r="CH59" s="40"/>
      <c r="CI59" s="5"/>
      <c r="CJ59" s="5"/>
      <c r="CK59" s="40"/>
      <c r="CL59" s="5"/>
      <c r="CM59" s="5"/>
      <c r="CN59" s="40"/>
      <c r="CO59" s="5"/>
      <c r="CP59" s="5"/>
      <c r="CQ59" s="40"/>
      <c r="CR59" s="5"/>
      <c r="CS59" s="5"/>
      <c r="CT59" s="5"/>
      <c r="CU59" s="5"/>
      <c r="CV59" s="5"/>
      <c r="CW59" s="5"/>
      <c r="CX59" s="5"/>
      <c r="CY59" s="5"/>
      <c r="CZ59" s="5"/>
      <c r="DA59" s="5"/>
      <c r="DB59" s="5"/>
      <c r="DC59" s="5"/>
      <c r="DD59" s="5"/>
      <c r="DE59" s="5"/>
      <c r="DF59" s="5"/>
    </row>
    <row r="60">
      <c r="A60" s="19"/>
      <c r="B60" s="26"/>
      <c r="C60" s="21"/>
      <c r="D60" s="19"/>
      <c r="G60" s="5"/>
      <c r="J60" s="5"/>
      <c r="M60" s="5"/>
      <c r="P60" s="5"/>
      <c r="S60" s="5"/>
      <c r="V60" s="5"/>
      <c r="Y60" s="5"/>
      <c r="AB60" s="5"/>
      <c r="AE60" s="5"/>
      <c r="AH60" s="5"/>
      <c r="AK60" s="5"/>
      <c r="AN60" s="5"/>
      <c r="AO60" s="40"/>
      <c r="AP60" s="5"/>
      <c r="AQ60" s="5"/>
      <c r="AR60" s="40"/>
      <c r="AS60" s="5"/>
      <c r="AT60" s="5"/>
      <c r="AU60" s="40"/>
      <c r="AV60" s="5"/>
      <c r="AW60" s="5"/>
      <c r="AX60" s="40"/>
      <c r="AY60" s="5"/>
      <c r="AZ60" s="5"/>
      <c r="BA60" s="40"/>
      <c r="BB60" s="5"/>
      <c r="BC60" s="5"/>
      <c r="BD60" s="40"/>
      <c r="BE60" s="5"/>
      <c r="BF60" s="5"/>
      <c r="BG60" s="40"/>
      <c r="BH60" s="5"/>
      <c r="BI60" s="5"/>
      <c r="BJ60" s="40"/>
      <c r="BK60" s="5"/>
      <c r="BL60" s="5"/>
      <c r="BM60" s="40"/>
      <c r="BN60" s="5"/>
      <c r="BO60" s="5"/>
      <c r="BP60" s="40"/>
      <c r="BQ60" s="5"/>
      <c r="BR60" s="5"/>
      <c r="BS60" s="40"/>
      <c r="BT60" s="5"/>
      <c r="BU60" s="5"/>
      <c r="BV60" s="40"/>
      <c r="BW60" s="5"/>
      <c r="BX60" s="5"/>
      <c r="BY60" s="40"/>
      <c r="BZ60" s="5"/>
      <c r="CA60" s="5"/>
      <c r="CB60" s="40"/>
      <c r="CC60" s="5"/>
      <c r="CD60" s="5"/>
      <c r="CE60" s="40"/>
      <c r="CF60" s="5"/>
      <c r="CG60" s="5"/>
      <c r="CH60" s="40"/>
      <c r="CI60" s="5"/>
      <c r="CJ60" s="5"/>
      <c r="CK60" s="40"/>
      <c r="CL60" s="5"/>
      <c r="CM60" s="5"/>
      <c r="CN60" s="40"/>
      <c r="CO60" s="5"/>
      <c r="CP60" s="5"/>
      <c r="CQ60" s="40"/>
      <c r="CR60" s="5"/>
      <c r="CS60" s="5"/>
      <c r="CT60" s="5"/>
      <c r="CU60" s="5"/>
      <c r="CV60" s="5"/>
      <c r="CW60" s="5"/>
      <c r="CX60" s="5"/>
      <c r="CY60" s="5"/>
      <c r="CZ60" s="5"/>
      <c r="DA60" s="5"/>
      <c r="DB60" s="5"/>
      <c r="DC60" s="5"/>
      <c r="DD60" s="5"/>
      <c r="DE60" s="5"/>
      <c r="DF60" s="5"/>
    </row>
    <row r="61">
      <c r="A61" s="19"/>
      <c r="B61" s="26"/>
      <c r="C61" s="21"/>
      <c r="D61" s="19"/>
      <c r="G61" s="5"/>
      <c r="J61" s="5"/>
      <c r="M61" s="5"/>
      <c r="P61" s="5"/>
      <c r="S61" s="5"/>
      <c r="V61" s="5"/>
      <c r="Y61" s="5"/>
      <c r="AB61" s="5"/>
      <c r="AE61" s="5"/>
      <c r="AH61" s="5"/>
      <c r="AK61" s="5"/>
      <c r="AN61" s="5"/>
      <c r="AO61" s="40"/>
      <c r="AP61" s="5"/>
      <c r="AQ61" s="5"/>
      <c r="AR61" s="40"/>
      <c r="AS61" s="5"/>
      <c r="AT61" s="5"/>
      <c r="AU61" s="40"/>
      <c r="AV61" s="5"/>
      <c r="AW61" s="5"/>
      <c r="AX61" s="40"/>
      <c r="AY61" s="5"/>
      <c r="AZ61" s="5"/>
      <c r="BA61" s="40"/>
      <c r="BB61" s="5"/>
      <c r="BC61" s="5"/>
      <c r="BD61" s="40"/>
      <c r="BE61" s="5"/>
      <c r="BF61" s="5"/>
      <c r="BG61" s="40"/>
      <c r="BH61" s="5"/>
      <c r="BI61" s="5"/>
      <c r="BJ61" s="40"/>
      <c r="BK61" s="5"/>
      <c r="BL61" s="5"/>
      <c r="BM61" s="40"/>
      <c r="BN61" s="5"/>
      <c r="BO61" s="5"/>
      <c r="BP61" s="40"/>
      <c r="BQ61" s="5"/>
      <c r="BR61" s="5"/>
      <c r="BS61" s="40"/>
      <c r="BT61" s="5"/>
      <c r="BU61" s="5"/>
      <c r="BV61" s="40"/>
      <c r="BW61" s="5"/>
      <c r="BX61" s="5"/>
      <c r="BY61" s="40"/>
      <c r="BZ61" s="5"/>
      <c r="CA61" s="5"/>
      <c r="CB61" s="40"/>
      <c r="CC61" s="5"/>
      <c r="CD61" s="5"/>
      <c r="CE61" s="40"/>
      <c r="CF61" s="5"/>
      <c r="CG61" s="5"/>
      <c r="CH61" s="40"/>
      <c r="CI61" s="5"/>
      <c r="CJ61" s="5"/>
      <c r="CK61" s="40"/>
      <c r="CL61" s="5"/>
      <c r="CM61" s="5"/>
      <c r="CN61" s="40"/>
      <c r="CO61" s="5"/>
      <c r="CP61" s="5"/>
      <c r="CQ61" s="40"/>
      <c r="CR61" s="5"/>
      <c r="CS61" s="5"/>
      <c r="CT61" s="5"/>
      <c r="CU61" s="5"/>
      <c r="CV61" s="5"/>
      <c r="CW61" s="5"/>
      <c r="CX61" s="5"/>
      <c r="CY61" s="5"/>
      <c r="CZ61" s="5"/>
      <c r="DA61" s="5"/>
      <c r="DB61" s="5"/>
      <c r="DC61" s="5"/>
      <c r="DD61" s="5"/>
      <c r="DE61" s="5"/>
      <c r="DF61" s="5"/>
    </row>
    <row r="62">
      <c r="A62" s="19"/>
      <c r="B62" s="26"/>
      <c r="C62" s="21"/>
      <c r="D62" s="19"/>
      <c r="AO62" s="40"/>
      <c r="AP62" s="5"/>
      <c r="AR62" s="40"/>
      <c r="AS62" s="5"/>
      <c r="AU62" s="40"/>
      <c r="AV62" s="5"/>
      <c r="AX62" s="40"/>
      <c r="AY62" s="5"/>
      <c r="BA62" s="40"/>
      <c r="BB62" s="5"/>
      <c r="BD62" s="40"/>
      <c r="BE62" s="5"/>
      <c r="BG62" s="40"/>
      <c r="BH62" s="5"/>
      <c r="BJ62" s="40"/>
      <c r="BK62" s="5"/>
      <c r="BM62" s="40"/>
      <c r="BN62" s="5"/>
      <c r="BP62" s="40"/>
      <c r="BQ62" s="5"/>
      <c r="BS62" s="40"/>
      <c r="BT62" s="5"/>
      <c r="BV62" s="40"/>
      <c r="BW62" s="5"/>
      <c r="BY62" s="40"/>
      <c r="BZ62" s="5"/>
      <c r="CB62" s="40"/>
      <c r="CC62" s="5"/>
      <c r="CE62" s="40"/>
      <c r="CF62" s="5"/>
      <c r="CH62" s="40"/>
      <c r="CI62" s="5"/>
      <c r="CK62" s="40"/>
      <c r="CL62" s="5"/>
      <c r="CN62" s="40"/>
      <c r="CO62" s="5"/>
      <c r="CQ62" s="40"/>
      <c r="CR62" s="5"/>
    </row>
    <row r="63">
      <c r="A63" s="19"/>
      <c r="B63" s="26"/>
      <c r="C63" s="21"/>
      <c r="D63" s="19"/>
      <c r="AO63" s="40"/>
      <c r="AP63" s="5"/>
      <c r="AR63" s="40"/>
      <c r="AS63" s="5"/>
      <c r="AU63" s="40"/>
      <c r="AV63" s="5"/>
      <c r="AX63" s="40"/>
      <c r="AY63" s="5"/>
      <c r="BA63" s="40"/>
      <c r="BB63" s="5"/>
      <c r="BD63" s="40"/>
      <c r="BE63" s="5"/>
      <c r="BG63" s="40"/>
      <c r="BH63" s="5"/>
      <c r="BJ63" s="40"/>
      <c r="BK63" s="5"/>
      <c r="BM63" s="40"/>
      <c r="BN63" s="5"/>
      <c r="BP63" s="40"/>
      <c r="BQ63" s="5"/>
      <c r="BS63" s="40"/>
      <c r="BT63" s="5"/>
      <c r="BV63" s="40"/>
      <c r="BW63" s="5"/>
      <c r="BY63" s="40"/>
      <c r="BZ63" s="5"/>
      <c r="CB63" s="40"/>
      <c r="CC63" s="5"/>
      <c r="CE63" s="40"/>
      <c r="CF63" s="5"/>
      <c r="CH63" s="40"/>
      <c r="CI63" s="5"/>
      <c r="CK63" s="40"/>
      <c r="CL63" s="5"/>
      <c r="CN63" s="40"/>
      <c r="CO63" s="5"/>
      <c r="CQ63" s="40"/>
      <c r="CR63" s="5"/>
    </row>
    <row r="64">
      <c r="A64" s="19"/>
      <c r="B64" s="26"/>
      <c r="C64" s="21"/>
      <c r="D64" s="19"/>
      <c r="AO64" s="40"/>
      <c r="AP64" s="5"/>
      <c r="AR64" s="40"/>
      <c r="AS64" s="5"/>
      <c r="AU64" s="40"/>
      <c r="AV64" s="5"/>
      <c r="AX64" s="40"/>
      <c r="AY64" s="5"/>
      <c r="BA64" s="40"/>
      <c r="BB64" s="5"/>
      <c r="BD64" s="40"/>
      <c r="BE64" s="5"/>
      <c r="BG64" s="40"/>
      <c r="BH64" s="5"/>
      <c r="BJ64" s="40"/>
      <c r="BK64" s="5"/>
      <c r="BM64" s="40"/>
      <c r="BN64" s="5"/>
      <c r="BP64" s="40"/>
      <c r="BQ64" s="5"/>
      <c r="BS64" s="40"/>
      <c r="BT64" s="5"/>
      <c r="BV64" s="40"/>
      <c r="BW64" s="5"/>
      <c r="BY64" s="40"/>
      <c r="BZ64" s="5"/>
      <c r="CB64" s="40"/>
      <c r="CC64" s="5"/>
      <c r="CE64" s="40"/>
      <c r="CF64" s="5"/>
      <c r="CH64" s="40"/>
      <c r="CI64" s="5"/>
      <c r="CK64" s="40"/>
      <c r="CL64" s="5"/>
      <c r="CN64" s="40"/>
      <c r="CO64" s="5"/>
      <c r="CQ64" s="40"/>
      <c r="CR64" s="5"/>
    </row>
    <row r="65">
      <c r="A65" s="19"/>
      <c r="B65" s="26"/>
      <c r="C65" s="21"/>
      <c r="D65" s="19"/>
      <c r="AO65" s="40"/>
      <c r="AP65" s="5"/>
      <c r="AR65" s="40"/>
      <c r="AS65" s="5"/>
      <c r="AU65" s="40"/>
      <c r="AV65" s="5"/>
      <c r="AX65" s="40"/>
      <c r="AY65" s="5"/>
      <c r="BA65" s="40"/>
      <c r="BB65" s="5"/>
      <c r="BD65" s="40"/>
      <c r="BE65" s="5"/>
      <c r="BG65" s="40"/>
      <c r="BH65" s="5"/>
      <c r="BJ65" s="40"/>
      <c r="BK65" s="5"/>
      <c r="BM65" s="40"/>
      <c r="BN65" s="5"/>
      <c r="BP65" s="40"/>
      <c r="BQ65" s="5"/>
      <c r="BS65" s="40"/>
      <c r="BT65" s="5"/>
      <c r="BV65" s="40"/>
      <c r="BW65" s="5"/>
      <c r="BY65" s="40"/>
      <c r="BZ65" s="5"/>
      <c r="CB65" s="40"/>
      <c r="CC65" s="5"/>
      <c r="CE65" s="40"/>
      <c r="CF65" s="5"/>
      <c r="CH65" s="40"/>
      <c r="CI65" s="5"/>
      <c r="CK65" s="40"/>
      <c r="CL65" s="5"/>
      <c r="CN65" s="40"/>
      <c r="CO65" s="5"/>
      <c r="CQ65" s="40"/>
      <c r="CR65" s="5"/>
    </row>
    <row r="66">
      <c r="A66" s="19"/>
      <c r="B66" s="26"/>
      <c r="C66" s="21"/>
      <c r="D66" s="19"/>
      <c r="AO66" s="40"/>
      <c r="AP66" s="5"/>
      <c r="AR66" s="40"/>
      <c r="AS66" s="5"/>
      <c r="AU66" s="40"/>
      <c r="AV66" s="5"/>
      <c r="AX66" s="40"/>
      <c r="AY66" s="5"/>
      <c r="BA66" s="40"/>
      <c r="BB66" s="5"/>
      <c r="BD66" s="40"/>
      <c r="BE66" s="5"/>
      <c r="BG66" s="40"/>
      <c r="BH66" s="5"/>
      <c r="BJ66" s="40"/>
      <c r="BK66" s="5"/>
      <c r="BM66" s="40"/>
      <c r="BN66" s="5"/>
      <c r="BP66" s="40"/>
      <c r="BQ66" s="5"/>
      <c r="BS66" s="40"/>
      <c r="BT66" s="5"/>
      <c r="BV66" s="40"/>
      <c r="BW66" s="5"/>
      <c r="BY66" s="40"/>
      <c r="BZ66" s="5"/>
      <c r="CB66" s="40"/>
      <c r="CC66" s="5"/>
      <c r="CE66" s="40"/>
      <c r="CF66" s="5"/>
      <c r="CH66" s="40"/>
      <c r="CI66" s="5"/>
      <c r="CK66" s="40"/>
      <c r="CL66" s="5"/>
      <c r="CN66" s="40"/>
      <c r="CO66" s="5"/>
      <c r="CQ66" s="40"/>
      <c r="CR66" s="5"/>
    </row>
    <row r="67">
      <c r="A67" s="19"/>
      <c r="B67" s="38"/>
      <c r="C67" s="19"/>
      <c r="D67" s="19"/>
      <c r="AO67" s="40"/>
      <c r="AP67" s="5"/>
      <c r="AR67" s="40"/>
      <c r="AS67" s="5"/>
      <c r="AU67" s="40"/>
      <c r="AV67" s="5"/>
      <c r="AX67" s="40"/>
      <c r="AY67" s="5"/>
      <c r="BA67" s="40"/>
      <c r="BB67" s="5"/>
      <c r="BD67" s="40"/>
      <c r="BE67" s="5"/>
      <c r="BG67" s="40"/>
      <c r="BH67" s="5"/>
      <c r="BJ67" s="40"/>
      <c r="BK67" s="5"/>
      <c r="BM67" s="40"/>
      <c r="BN67" s="5"/>
      <c r="BP67" s="40"/>
      <c r="BQ67" s="5"/>
      <c r="BS67" s="40"/>
      <c r="BT67" s="5"/>
      <c r="BV67" s="40"/>
      <c r="BW67" s="5"/>
      <c r="BY67" s="40"/>
      <c r="BZ67" s="5"/>
      <c r="CB67" s="40"/>
      <c r="CC67" s="5"/>
      <c r="CE67" s="40"/>
      <c r="CF67" s="5"/>
      <c r="CH67" s="40"/>
      <c r="CI67" s="5"/>
      <c r="CK67" s="40"/>
      <c r="CL67" s="5"/>
      <c r="CN67" s="40"/>
      <c r="CO67" s="5"/>
      <c r="CQ67" s="40"/>
      <c r="CR67" s="5"/>
    </row>
    <row r="68">
      <c r="AO68" s="40"/>
      <c r="AP68" s="5"/>
      <c r="AR68" s="40"/>
      <c r="AS68" s="5"/>
      <c r="AU68" s="40"/>
      <c r="AV68" s="5"/>
      <c r="AX68" s="40"/>
      <c r="AY68" s="5"/>
      <c r="BA68" s="40"/>
      <c r="BB68" s="5"/>
      <c r="BD68" s="40"/>
      <c r="BE68" s="5"/>
      <c r="BG68" s="40"/>
      <c r="BH68" s="5"/>
      <c r="BJ68" s="40"/>
      <c r="BK68" s="5"/>
      <c r="BM68" s="40"/>
      <c r="BN68" s="5"/>
      <c r="BP68" s="40"/>
      <c r="BQ68" s="5"/>
      <c r="BS68" s="40"/>
      <c r="BT68" s="5"/>
      <c r="BV68" s="40"/>
      <c r="BW68" s="5"/>
      <c r="BY68" s="40"/>
      <c r="BZ68" s="5"/>
      <c r="CB68" s="40"/>
      <c r="CC68" s="5"/>
      <c r="CE68" s="40"/>
      <c r="CF68" s="5"/>
      <c r="CH68" s="40"/>
      <c r="CI68" s="5"/>
      <c r="CK68" s="40"/>
      <c r="CL68" s="5"/>
      <c r="CN68" s="40"/>
      <c r="CO68" s="5"/>
      <c r="CQ68" s="40"/>
      <c r="CR68" s="5"/>
    </row>
    <row r="69">
      <c r="AO69" s="40"/>
      <c r="AP69" s="5"/>
      <c r="AR69" s="40"/>
      <c r="AS69" s="5"/>
      <c r="AU69" s="40"/>
      <c r="AV69" s="5"/>
      <c r="AX69" s="40"/>
      <c r="AY69" s="5"/>
      <c r="BA69" s="40"/>
      <c r="BB69" s="5"/>
      <c r="BD69" s="40"/>
      <c r="BE69" s="5"/>
      <c r="BG69" s="40"/>
      <c r="BH69" s="5"/>
      <c r="BJ69" s="40"/>
      <c r="BK69" s="5"/>
      <c r="BM69" s="40"/>
      <c r="BN69" s="5"/>
      <c r="BP69" s="40"/>
      <c r="BQ69" s="5"/>
      <c r="BS69" s="40"/>
      <c r="BT69" s="5"/>
      <c r="BV69" s="40"/>
      <c r="BW69" s="5"/>
      <c r="BY69" s="40"/>
      <c r="BZ69" s="5"/>
      <c r="CB69" s="40"/>
      <c r="CC69" s="5"/>
      <c r="CE69" s="40"/>
      <c r="CF69" s="5"/>
      <c r="CH69" s="40"/>
      <c r="CI69" s="5"/>
      <c r="CK69" s="40"/>
      <c r="CL69" s="5"/>
      <c r="CN69" s="40"/>
      <c r="CO69" s="5"/>
      <c r="CQ69" s="40"/>
      <c r="CR69" s="5"/>
    </row>
    <row r="70">
      <c r="AO70" s="40"/>
      <c r="AP70" s="5"/>
      <c r="AR70" s="40"/>
      <c r="AS70" s="5"/>
      <c r="AU70" s="40"/>
      <c r="AV70" s="5"/>
      <c r="AX70" s="40"/>
      <c r="AY70" s="5"/>
      <c r="BA70" s="40"/>
      <c r="BB70" s="5"/>
      <c r="BD70" s="40"/>
      <c r="BE70" s="5"/>
      <c r="BG70" s="40"/>
      <c r="BH70" s="5"/>
      <c r="BJ70" s="40"/>
      <c r="BK70" s="5"/>
      <c r="BM70" s="40"/>
      <c r="BN70" s="5"/>
      <c r="BP70" s="40"/>
      <c r="BQ70" s="5"/>
      <c r="BS70" s="40"/>
      <c r="BT70" s="5"/>
      <c r="BV70" s="40"/>
      <c r="BW70" s="5"/>
      <c r="BY70" s="40"/>
      <c r="BZ70" s="5"/>
      <c r="CB70" s="40"/>
      <c r="CC70" s="5"/>
      <c r="CE70" s="40"/>
      <c r="CF70" s="5"/>
      <c r="CH70" s="40"/>
      <c r="CI70" s="5"/>
      <c r="CK70" s="40"/>
      <c r="CL70" s="5"/>
      <c r="CN70" s="40"/>
      <c r="CO70" s="5"/>
      <c r="CQ70" s="40"/>
      <c r="CR70" s="5"/>
    </row>
    <row r="71">
      <c r="AO71" s="40"/>
      <c r="AP71" s="5"/>
      <c r="AR71" s="40"/>
      <c r="AS71" s="5"/>
      <c r="AU71" s="40"/>
      <c r="AV71" s="5"/>
      <c r="AX71" s="40"/>
      <c r="AY71" s="5"/>
      <c r="BA71" s="40"/>
      <c r="BB71" s="5"/>
      <c r="BD71" s="40"/>
      <c r="BE71" s="5"/>
      <c r="BG71" s="40"/>
      <c r="BH71" s="5"/>
      <c r="BJ71" s="40"/>
      <c r="BK71" s="5"/>
      <c r="BM71" s="40"/>
      <c r="BN71" s="5"/>
      <c r="BP71" s="40"/>
      <c r="BQ71" s="5"/>
      <c r="BS71" s="40"/>
      <c r="BT71" s="5"/>
      <c r="BV71" s="40"/>
      <c r="BW71" s="5"/>
      <c r="BY71" s="40"/>
      <c r="BZ71" s="5"/>
      <c r="CB71" s="40"/>
      <c r="CC71" s="5"/>
      <c r="CE71" s="40"/>
      <c r="CF71" s="5"/>
      <c r="CH71" s="40"/>
      <c r="CI71" s="5"/>
      <c r="CK71" s="40"/>
      <c r="CL71" s="5"/>
      <c r="CN71" s="40"/>
      <c r="CO71" s="5"/>
      <c r="CQ71" s="40"/>
      <c r="CR71" s="5"/>
    </row>
    <row r="72">
      <c r="AO72" s="40"/>
      <c r="AP72" s="5"/>
      <c r="AR72" s="40"/>
      <c r="AS72" s="5"/>
      <c r="AU72" s="40"/>
      <c r="AV72" s="5"/>
      <c r="AX72" s="40"/>
      <c r="AY72" s="5"/>
      <c r="BA72" s="40"/>
      <c r="BB72" s="5"/>
      <c r="BD72" s="40"/>
      <c r="BE72" s="5"/>
      <c r="BG72" s="40"/>
      <c r="BH72" s="5"/>
      <c r="BJ72" s="40"/>
      <c r="BK72" s="5"/>
      <c r="BM72" s="40"/>
      <c r="BN72" s="5"/>
      <c r="BP72" s="40"/>
      <c r="BQ72" s="5"/>
      <c r="BS72" s="40"/>
      <c r="BT72" s="5"/>
      <c r="BV72" s="40"/>
      <c r="BW72" s="5"/>
      <c r="BY72" s="40"/>
      <c r="BZ72" s="5"/>
      <c r="CB72" s="40"/>
      <c r="CC72" s="5"/>
      <c r="CE72" s="40"/>
      <c r="CF72" s="5"/>
      <c r="CH72" s="40"/>
      <c r="CI72" s="5"/>
      <c r="CK72" s="40"/>
      <c r="CL72" s="5"/>
      <c r="CN72" s="40"/>
      <c r="CO72" s="5"/>
      <c r="CQ72" s="40"/>
      <c r="CR72" s="5"/>
    </row>
    <row r="73">
      <c r="AO73" s="40"/>
      <c r="AP73" s="5"/>
      <c r="AR73" s="40"/>
      <c r="AS73" s="5"/>
      <c r="AU73" s="40"/>
      <c r="AV73" s="5"/>
      <c r="AX73" s="40"/>
      <c r="AY73" s="5"/>
      <c r="BA73" s="40"/>
      <c r="BB73" s="5"/>
      <c r="BD73" s="40"/>
      <c r="BE73" s="5"/>
      <c r="BG73" s="40"/>
      <c r="BH73" s="5"/>
      <c r="BJ73" s="40"/>
      <c r="BK73" s="5"/>
      <c r="BM73" s="40"/>
      <c r="BN73" s="5"/>
      <c r="BP73" s="40"/>
      <c r="BQ73" s="5"/>
      <c r="BS73" s="40"/>
      <c r="BT73" s="5"/>
      <c r="BV73" s="40"/>
      <c r="BW73" s="5"/>
      <c r="BY73" s="40"/>
      <c r="BZ73" s="5"/>
      <c r="CB73" s="40"/>
      <c r="CC73" s="5"/>
      <c r="CE73" s="40"/>
      <c r="CF73" s="5"/>
      <c r="CH73" s="40"/>
      <c r="CI73" s="5"/>
      <c r="CK73" s="40"/>
      <c r="CL73" s="5"/>
      <c r="CN73" s="40"/>
      <c r="CO73" s="5"/>
      <c r="CQ73" s="40"/>
      <c r="CR73" s="5"/>
    </row>
    <row r="74">
      <c r="AO74" s="40"/>
      <c r="AP74" s="5"/>
      <c r="AR74" s="40"/>
      <c r="AS74" s="5"/>
      <c r="AU74" s="40"/>
      <c r="AV74" s="5"/>
      <c r="AX74" s="40"/>
      <c r="AY74" s="5"/>
      <c r="BA74" s="40"/>
      <c r="BB74" s="5"/>
      <c r="BD74" s="40"/>
      <c r="BE74" s="5"/>
      <c r="BG74" s="40"/>
      <c r="BH74" s="5"/>
      <c r="BJ74" s="40"/>
      <c r="BK74" s="5"/>
      <c r="BM74" s="40"/>
      <c r="BN74" s="5"/>
      <c r="BP74" s="40"/>
      <c r="BQ74" s="5"/>
      <c r="BS74" s="40"/>
      <c r="BT74" s="5"/>
      <c r="BV74" s="40"/>
      <c r="BW74" s="5"/>
      <c r="BY74" s="40"/>
      <c r="BZ74" s="5"/>
      <c r="CB74" s="40"/>
      <c r="CC74" s="5"/>
      <c r="CE74" s="40"/>
      <c r="CF74" s="5"/>
      <c r="CH74" s="40"/>
      <c r="CI74" s="5"/>
      <c r="CK74" s="40"/>
      <c r="CL74" s="5"/>
      <c r="CN74" s="40"/>
      <c r="CO74" s="5"/>
      <c r="CQ74" s="40"/>
      <c r="CR74" s="5"/>
    </row>
    <row r="75">
      <c r="AO75" s="40"/>
      <c r="AP75" s="5"/>
      <c r="AR75" s="40"/>
      <c r="AS75" s="5"/>
      <c r="AU75" s="40"/>
      <c r="AV75" s="5"/>
      <c r="AX75" s="40"/>
      <c r="AY75" s="5"/>
      <c r="BA75" s="40"/>
      <c r="BB75" s="5"/>
      <c r="BD75" s="40"/>
      <c r="BE75" s="5"/>
      <c r="BG75" s="40"/>
      <c r="BH75" s="5"/>
      <c r="BJ75" s="40"/>
      <c r="BK75" s="5"/>
      <c r="BM75" s="40"/>
      <c r="BN75" s="5"/>
      <c r="BP75" s="40"/>
      <c r="BQ75" s="5"/>
      <c r="BS75" s="40"/>
      <c r="BT75" s="5"/>
      <c r="BV75" s="40"/>
      <c r="BW75" s="5"/>
      <c r="BY75" s="40"/>
      <c r="BZ75" s="5"/>
      <c r="CB75" s="40"/>
      <c r="CC75" s="5"/>
      <c r="CE75" s="40"/>
      <c r="CF75" s="5"/>
      <c r="CH75" s="40"/>
      <c r="CI75" s="5"/>
      <c r="CK75" s="40"/>
      <c r="CL75" s="5"/>
      <c r="CN75" s="40"/>
      <c r="CO75" s="5"/>
      <c r="CQ75" s="40"/>
      <c r="CR75" s="5"/>
    </row>
    <row r="76">
      <c r="AO76" s="40"/>
      <c r="AP76" s="5"/>
      <c r="AR76" s="40"/>
      <c r="AS76" s="5"/>
      <c r="AU76" s="40"/>
      <c r="AV76" s="5"/>
      <c r="AX76" s="40"/>
      <c r="AY76" s="5"/>
      <c r="BA76" s="40"/>
      <c r="BB76" s="5"/>
      <c r="BD76" s="40"/>
      <c r="BE76" s="5"/>
      <c r="BG76" s="40"/>
      <c r="BH76" s="5"/>
      <c r="BJ76" s="40"/>
      <c r="BK76" s="5"/>
      <c r="BM76" s="40"/>
      <c r="BN76" s="5"/>
      <c r="BP76" s="40"/>
      <c r="BQ76" s="5"/>
      <c r="BS76" s="40"/>
      <c r="BT76" s="5"/>
      <c r="BV76" s="40"/>
      <c r="BW76" s="5"/>
      <c r="BY76" s="40"/>
      <c r="BZ76" s="5"/>
      <c r="CB76" s="40"/>
      <c r="CC76" s="5"/>
      <c r="CE76" s="40"/>
      <c r="CF76" s="5"/>
      <c r="CH76" s="40"/>
      <c r="CI76" s="5"/>
      <c r="CK76" s="40"/>
      <c r="CL76" s="5"/>
      <c r="CN76" s="40"/>
      <c r="CO76" s="5"/>
      <c r="CQ76" s="40"/>
      <c r="CR76" s="5"/>
    </row>
    <row r="77">
      <c r="AO77" s="40"/>
      <c r="AP77" s="5"/>
      <c r="AR77" s="40"/>
      <c r="AS77" s="5"/>
      <c r="AU77" s="40"/>
      <c r="AV77" s="5"/>
      <c r="AX77" s="40"/>
      <c r="AY77" s="5"/>
      <c r="BA77" s="40"/>
      <c r="BB77" s="5"/>
      <c r="BD77" s="40"/>
      <c r="BE77" s="5"/>
      <c r="BG77" s="40"/>
      <c r="BH77" s="5"/>
      <c r="BJ77" s="40"/>
      <c r="BK77" s="5"/>
      <c r="BM77" s="40"/>
      <c r="BN77" s="5"/>
      <c r="BP77" s="40"/>
      <c r="BQ77" s="5"/>
      <c r="BS77" s="40"/>
      <c r="BT77" s="5"/>
      <c r="BV77" s="40"/>
      <c r="BW77" s="5"/>
      <c r="BY77" s="40"/>
      <c r="BZ77" s="5"/>
      <c r="CB77" s="40"/>
      <c r="CC77" s="5"/>
      <c r="CE77" s="40"/>
      <c r="CF77" s="5"/>
      <c r="CH77" s="40"/>
      <c r="CI77" s="5"/>
      <c r="CK77" s="40"/>
      <c r="CL77" s="5"/>
      <c r="CN77" s="40"/>
      <c r="CO77" s="5"/>
      <c r="CQ77" s="40"/>
      <c r="CR77" s="5"/>
    </row>
    <row r="78">
      <c r="AO78" s="40"/>
      <c r="AP78" s="5"/>
      <c r="AR78" s="40"/>
      <c r="AS78" s="5"/>
      <c r="AU78" s="40"/>
      <c r="AV78" s="5"/>
      <c r="AX78" s="40"/>
      <c r="AY78" s="5"/>
      <c r="BA78" s="40"/>
      <c r="BB78" s="5"/>
      <c r="BD78" s="40"/>
      <c r="BE78" s="5"/>
      <c r="BG78" s="40"/>
      <c r="BH78" s="5"/>
      <c r="BJ78" s="40"/>
      <c r="BK78" s="5"/>
      <c r="BM78" s="40"/>
      <c r="BN78" s="5"/>
      <c r="BP78" s="40"/>
      <c r="BQ78" s="5"/>
      <c r="BS78" s="40"/>
      <c r="BT78" s="5"/>
      <c r="BV78" s="40"/>
      <c r="BW78" s="5"/>
      <c r="BY78" s="40"/>
      <c r="BZ78" s="5"/>
      <c r="CB78" s="40"/>
      <c r="CC78" s="5"/>
      <c r="CE78" s="40"/>
      <c r="CF78" s="5"/>
      <c r="CH78" s="40"/>
      <c r="CI78" s="5"/>
      <c r="CK78" s="40"/>
      <c r="CL78" s="5"/>
      <c r="CN78" s="40"/>
      <c r="CO78" s="5"/>
      <c r="CQ78" s="40"/>
      <c r="CR78" s="5"/>
    </row>
    <row r="79">
      <c r="AO79" s="40"/>
      <c r="AP79" s="5"/>
      <c r="AR79" s="40"/>
      <c r="AS79" s="5"/>
      <c r="AU79" s="40"/>
      <c r="AV79" s="5"/>
      <c r="AX79" s="40"/>
      <c r="AY79" s="5"/>
      <c r="BA79" s="40"/>
      <c r="BB79" s="5"/>
      <c r="BD79" s="40"/>
      <c r="BE79" s="5"/>
      <c r="BG79" s="40"/>
      <c r="BH79" s="5"/>
      <c r="BJ79" s="40"/>
      <c r="BK79" s="5"/>
      <c r="BM79" s="40"/>
      <c r="BN79" s="5"/>
      <c r="BP79" s="40"/>
      <c r="BQ79" s="5"/>
      <c r="BS79" s="40"/>
      <c r="BT79" s="5"/>
      <c r="BV79" s="40"/>
      <c r="BW79" s="5"/>
      <c r="BY79" s="40"/>
      <c r="BZ79" s="5"/>
      <c r="CB79" s="40"/>
      <c r="CC79" s="5"/>
      <c r="CE79" s="40"/>
      <c r="CF79" s="5"/>
      <c r="CH79" s="40"/>
      <c r="CI79" s="5"/>
      <c r="CK79" s="40"/>
      <c r="CL79" s="5"/>
      <c r="CN79" s="40"/>
      <c r="CO79" s="5"/>
      <c r="CQ79" s="40"/>
      <c r="CR79" s="5"/>
    </row>
    <row r="80">
      <c r="AO80" s="40"/>
      <c r="AP80" s="5"/>
      <c r="AR80" s="40"/>
      <c r="AS80" s="5"/>
      <c r="AU80" s="40"/>
      <c r="AV80" s="5"/>
      <c r="AX80" s="40"/>
      <c r="AY80" s="5"/>
      <c r="BA80" s="40"/>
      <c r="BB80" s="5"/>
      <c r="BD80" s="40"/>
      <c r="BE80" s="5"/>
      <c r="BG80" s="40"/>
      <c r="BH80" s="5"/>
      <c r="BJ80" s="40"/>
      <c r="BK80" s="5"/>
      <c r="BM80" s="40"/>
      <c r="BN80" s="5"/>
      <c r="BP80" s="40"/>
      <c r="BQ80" s="5"/>
      <c r="BS80" s="40"/>
      <c r="BT80" s="5"/>
      <c r="BV80" s="40"/>
      <c r="BW80" s="5"/>
      <c r="BY80" s="40"/>
      <c r="BZ80" s="5"/>
      <c r="CB80" s="40"/>
      <c r="CC80" s="5"/>
      <c r="CE80" s="40"/>
      <c r="CF80" s="5"/>
      <c r="CH80" s="40"/>
      <c r="CI80" s="5"/>
      <c r="CK80" s="40"/>
      <c r="CL80" s="5"/>
      <c r="CN80" s="40"/>
      <c r="CO80" s="5"/>
      <c r="CQ80" s="40"/>
      <c r="CR80" s="5"/>
    </row>
    <row r="81">
      <c r="AO81" s="40"/>
      <c r="AP81" s="5"/>
      <c r="AR81" s="40"/>
      <c r="AS81" s="5"/>
      <c r="AU81" s="40"/>
      <c r="AV81" s="5"/>
      <c r="AX81" s="40"/>
      <c r="AY81" s="5"/>
      <c r="BA81" s="40"/>
      <c r="BB81" s="5"/>
      <c r="BD81" s="40"/>
      <c r="BE81" s="5"/>
      <c r="BG81" s="40"/>
      <c r="BH81" s="5"/>
      <c r="BJ81" s="40"/>
      <c r="BK81" s="5"/>
      <c r="BM81" s="40"/>
      <c r="BN81" s="5"/>
      <c r="BP81" s="40"/>
      <c r="BQ81" s="5"/>
      <c r="BS81" s="40"/>
      <c r="BT81" s="5"/>
      <c r="BV81" s="40"/>
      <c r="BW81" s="5"/>
      <c r="BY81" s="40"/>
      <c r="BZ81" s="5"/>
      <c r="CB81" s="40"/>
      <c r="CC81" s="5"/>
      <c r="CE81" s="40"/>
      <c r="CF81" s="5"/>
      <c r="CH81" s="40"/>
      <c r="CI81" s="5"/>
      <c r="CK81" s="40"/>
      <c r="CL81" s="5"/>
      <c r="CN81" s="40"/>
      <c r="CO81" s="5"/>
      <c r="CQ81" s="40"/>
      <c r="CR81" s="5"/>
    </row>
    <row r="82">
      <c r="AO82" s="40"/>
      <c r="AP82" s="5"/>
      <c r="AR82" s="40"/>
      <c r="AS82" s="5"/>
      <c r="AU82" s="40"/>
      <c r="AV82" s="5"/>
      <c r="AX82" s="40"/>
      <c r="AY82" s="5"/>
      <c r="BA82" s="40"/>
      <c r="BB82" s="5"/>
      <c r="BD82" s="40"/>
      <c r="BE82" s="5"/>
      <c r="BG82" s="40"/>
      <c r="BH82" s="5"/>
      <c r="BJ82" s="40"/>
      <c r="BK82" s="5"/>
      <c r="BM82" s="40"/>
      <c r="BN82" s="5"/>
      <c r="BP82" s="40"/>
      <c r="BQ82" s="5"/>
      <c r="BS82" s="40"/>
      <c r="BT82" s="5"/>
      <c r="BV82" s="40"/>
      <c r="BW82" s="5"/>
      <c r="BY82" s="40"/>
      <c r="BZ82" s="5"/>
      <c r="CB82" s="40"/>
      <c r="CC82" s="5"/>
      <c r="CE82" s="40"/>
      <c r="CF82" s="5"/>
      <c r="CH82" s="40"/>
      <c r="CI82" s="5"/>
      <c r="CK82" s="40"/>
      <c r="CL82" s="5"/>
      <c r="CN82" s="40"/>
      <c r="CO82" s="5"/>
      <c r="CQ82" s="40"/>
      <c r="CR82" s="5"/>
    </row>
    <row r="83">
      <c r="AO83" s="40"/>
      <c r="AP83" s="5"/>
      <c r="AR83" s="40"/>
      <c r="AS83" s="5"/>
      <c r="AU83" s="40"/>
      <c r="AV83" s="5"/>
      <c r="AX83" s="40"/>
      <c r="AY83" s="5"/>
      <c r="BA83" s="40"/>
      <c r="BB83" s="5"/>
      <c r="BD83" s="40"/>
      <c r="BE83" s="5"/>
      <c r="BG83" s="40"/>
      <c r="BH83" s="5"/>
      <c r="BJ83" s="40"/>
      <c r="BK83" s="5"/>
      <c r="BM83" s="40"/>
      <c r="BN83" s="5"/>
      <c r="BP83" s="40"/>
      <c r="BQ83" s="5"/>
      <c r="BS83" s="40"/>
      <c r="BT83" s="5"/>
      <c r="BV83" s="40"/>
      <c r="BW83" s="5"/>
      <c r="BY83" s="40"/>
      <c r="BZ83" s="5"/>
      <c r="CB83" s="40"/>
      <c r="CC83" s="5"/>
      <c r="CE83" s="40"/>
      <c r="CF83" s="5"/>
      <c r="CH83" s="40"/>
      <c r="CI83" s="5"/>
      <c r="CK83" s="40"/>
      <c r="CL83" s="5"/>
      <c r="CN83" s="40"/>
      <c r="CO83" s="5"/>
      <c r="CQ83" s="40"/>
      <c r="CR83" s="5"/>
    </row>
    <row r="84">
      <c r="AO84" s="40"/>
      <c r="AP84" s="5"/>
      <c r="AR84" s="40"/>
      <c r="AS84" s="5"/>
      <c r="AU84" s="40"/>
      <c r="AV84" s="5"/>
      <c r="AX84" s="40"/>
      <c r="AY84" s="5"/>
      <c r="BA84" s="40"/>
      <c r="BB84" s="5"/>
      <c r="BD84" s="40"/>
      <c r="BE84" s="5"/>
      <c r="BG84" s="40"/>
      <c r="BH84" s="5"/>
      <c r="BJ84" s="40"/>
      <c r="BK84" s="5"/>
      <c r="BM84" s="40"/>
      <c r="BN84" s="5"/>
      <c r="BP84" s="40"/>
      <c r="BQ84" s="5"/>
      <c r="BS84" s="40"/>
      <c r="BT84" s="5"/>
      <c r="BV84" s="40"/>
      <c r="BW84" s="5"/>
      <c r="BY84" s="40"/>
      <c r="BZ84" s="5"/>
      <c r="CB84" s="40"/>
      <c r="CC84" s="5"/>
      <c r="CE84" s="40"/>
      <c r="CF84" s="5"/>
      <c r="CH84" s="40"/>
      <c r="CI84" s="5"/>
      <c r="CK84" s="40"/>
      <c r="CL84" s="5"/>
      <c r="CN84" s="40"/>
      <c r="CO84" s="5"/>
      <c r="CQ84" s="40"/>
      <c r="CR84" s="5"/>
    </row>
    <row r="85">
      <c r="AO85" s="40"/>
      <c r="AP85" s="5"/>
      <c r="AR85" s="40"/>
      <c r="AS85" s="5"/>
      <c r="AU85" s="40"/>
      <c r="AV85" s="5"/>
      <c r="AX85" s="40"/>
      <c r="AY85" s="5"/>
      <c r="BA85" s="40"/>
      <c r="BB85" s="5"/>
      <c r="BD85" s="40"/>
      <c r="BE85" s="5"/>
      <c r="BG85" s="40"/>
      <c r="BH85" s="5"/>
      <c r="BJ85" s="40"/>
      <c r="BK85" s="5"/>
      <c r="BM85" s="40"/>
      <c r="BN85" s="5"/>
      <c r="BP85" s="40"/>
      <c r="BQ85" s="5"/>
      <c r="BS85" s="40"/>
      <c r="BT85" s="5"/>
      <c r="BV85" s="40"/>
      <c r="BW85" s="5"/>
      <c r="BY85" s="40"/>
      <c r="BZ85" s="5"/>
      <c r="CB85" s="40"/>
      <c r="CC85" s="5"/>
      <c r="CE85" s="40"/>
      <c r="CF85" s="5"/>
      <c r="CH85" s="40"/>
      <c r="CI85" s="5"/>
      <c r="CK85" s="40"/>
      <c r="CL85" s="5"/>
      <c r="CN85" s="40"/>
      <c r="CO85" s="5"/>
      <c r="CQ85" s="40"/>
      <c r="CR85" s="5"/>
    </row>
    <row r="86">
      <c r="AO86" s="40"/>
      <c r="AP86" s="5"/>
      <c r="AR86" s="40"/>
      <c r="AS86" s="5"/>
      <c r="AU86" s="40"/>
      <c r="AV86" s="5"/>
      <c r="AX86" s="40"/>
      <c r="AY86" s="5"/>
      <c r="BA86" s="40"/>
      <c r="BB86" s="5"/>
      <c r="BD86" s="40"/>
      <c r="BE86" s="5"/>
      <c r="BG86" s="40"/>
      <c r="BH86" s="5"/>
      <c r="BJ86" s="40"/>
      <c r="BK86" s="5"/>
      <c r="BM86" s="40"/>
      <c r="BN86" s="5"/>
      <c r="BP86" s="40"/>
      <c r="BQ86" s="5"/>
      <c r="BS86" s="40"/>
      <c r="BT86" s="5"/>
      <c r="BV86" s="40"/>
      <c r="BW86" s="5"/>
      <c r="BY86" s="40"/>
      <c r="BZ86" s="5"/>
      <c r="CB86" s="40"/>
      <c r="CC86" s="5"/>
      <c r="CE86" s="40"/>
      <c r="CF86" s="5"/>
      <c r="CH86" s="40"/>
      <c r="CI86" s="5"/>
      <c r="CK86" s="40"/>
      <c r="CL86" s="5"/>
      <c r="CN86" s="40"/>
      <c r="CO86" s="5"/>
      <c r="CQ86" s="40"/>
      <c r="CR86" s="5"/>
    </row>
    <row r="87">
      <c r="AO87" s="40"/>
      <c r="AP87" s="5"/>
      <c r="AR87" s="40"/>
      <c r="AS87" s="5"/>
      <c r="AU87" s="40"/>
      <c r="AV87" s="5"/>
      <c r="AX87" s="40"/>
      <c r="AY87" s="5"/>
      <c r="BA87" s="40"/>
      <c r="BB87" s="5"/>
      <c r="BD87" s="40"/>
      <c r="BE87" s="5"/>
      <c r="BG87" s="40"/>
      <c r="BH87" s="5"/>
      <c r="BJ87" s="40"/>
      <c r="BK87" s="5"/>
      <c r="BM87" s="40"/>
      <c r="BN87" s="5"/>
      <c r="BP87" s="40"/>
      <c r="BQ87" s="5"/>
      <c r="BS87" s="40"/>
      <c r="BT87" s="5"/>
      <c r="BV87" s="40"/>
      <c r="BW87" s="5"/>
      <c r="BY87" s="40"/>
      <c r="BZ87" s="5"/>
      <c r="CB87" s="40"/>
      <c r="CC87" s="5"/>
      <c r="CE87" s="40"/>
      <c r="CF87" s="5"/>
      <c r="CH87" s="40"/>
      <c r="CI87" s="5"/>
      <c r="CK87" s="40"/>
      <c r="CL87" s="5"/>
      <c r="CN87" s="40"/>
      <c r="CO87" s="5"/>
      <c r="CQ87" s="40"/>
      <c r="CR87" s="5"/>
    </row>
    <row r="88">
      <c r="AO88" s="40"/>
      <c r="AP88" s="5"/>
      <c r="AR88" s="40"/>
      <c r="AS88" s="5"/>
      <c r="AU88" s="40"/>
      <c r="AV88" s="5"/>
      <c r="AX88" s="40"/>
      <c r="AY88" s="5"/>
      <c r="BA88" s="40"/>
      <c r="BB88" s="5"/>
      <c r="BD88" s="40"/>
      <c r="BE88" s="5"/>
      <c r="BG88" s="40"/>
      <c r="BH88" s="5"/>
      <c r="BJ88" s="40"/>
      <c r="BK88" s="5"/>
      <c r="BM88" s="40"/>
      <c r="BN88" s="5"/>
      <c r="BP88" s="40"/>
      <c r="BQ88" s="5"/>
      <c r="BS88" s="40"/>
      <c r="BT88" s="5"/>
      <c r="BV88" s="40"/>
      <c r="BW88" s="5"/>
      <c r="BY88" s="40"/>
      <c r="BZ88" s="5"/>
      <c r="CB88" s="40"/>
      <c r="CC88" s="5"/>
      <c r="CE88" s="40"/>
      <c r="CF88" s="5"/>
      <c r="CH88" s="40"/>
      <c r="CI88" s="5"/>
      <c r="CK88" s="40"/>
      <c r="CL88" s="5"/>
      <c r="CN88" s="40"/>
      <c r="CO88" s="5"/>
      <c r="CQ88" s="40"/>
      <c r="CR88" s="5"/>
    </row>
    <row r="89">
      <c r="AO89" s="40"/>
      <c r="AP89" s="5"/>
      <c r="AR89" s="40"/>
      <c r="AS89" s="5"/>
      <c r="AU89" s="40"/>
      <c r="AV89" s="5"/>
      <c r="AX89" s="40"/>
      <c r="AY89" s="5"/>
      <c r="BA89" s="40"/>
      <c r="BB89" s="5"/>
      <c r="BD89" s="40"/>
      <c r="BE89" s="5"/>
      <c r="BG89" s="40"/>
      <c r="BH89" s="5"/>
      <c r="BJ89" s="40"/>
      <c r="BK89" s="5"/>
      <c r="BM89" s="40"/>
      <c r="BN89" s="5"/>
      <c r="BP89" s="40"/>
      <c r="BQ89" s="5"/>
      <c r="BS89" s="40"/>
      <c r="BT89" s="5"/>
      <c r="BV89" s="40"/>
      <c r="BW89" s="5"/>
      <c r="BY89" s="40"/>
      <c r="BZ89" s="5"/>
      <c r="CB89" s="40"/>
      <c r="CC89" s="5"/>
      <c r="CE89" s="40"/>
      <c r="CF89" s="5"/>
      <c r="CH89" s="40"/>
      <c r="CI89" s="5"/>
      <c r="CK89" s="40"/>
      <c r="CL89" s="5"/>
      <c r="CN89" s="40"/>
      <c r="CO89" s="5"/>
      <c r="CQ89" s="40"/>
      <c r="CR89" s="5"/>
    </row>
    <row r="90">
      <c r="AO90" s="40"/>
      <c r="AP90" s="5"/>
      <c r="AR90" s="40"/>
      <c r="AS90" s="5"/>
      <c r="AU90" s="40"/>
      <c r="AV90" s="5"/>
      <c r="AX90" s="40"/>
      <c r="AY90" s="5"/>
      <c r="BA90" s="40"/>
      <c r="BB90" s="5"/>
      <c r="BD90" s="40"/>
      <c r="BE90" s="5"/>
      <c r="BG90" s="40"/>
      <c r="BH90" s="5"/>
      <c r="BJ90" s="40"/>
      <c r="BK90" s="5"/>
      <c r="BM90" s="40"/>
      <c r="BN90" s="5"/>
      <c r="BP90" s="40"/>
      <c r="BQ90" s="5"/>
      <c r="BS90" s="40"/>
      <c r="BT90" s="5"/>
      <c r="BV90" s="40"/>
      <c r="BW90" s="5"/>
      <c r="BY90" s="40"/>
      <c r="BZ90" s="5"/>
      <c r="CB90" s="40"/>
      <c r="CC90" s="5"/>
      <c r="CE90" s="40"/>
      <c r="CF90" s="5"/>
      <c r="CH90" s="40"/>
      <c r="CI90" s="5"/>
      <c r="CK90" s="40"/>
      <c r="CL90" s="5"/>
      <c r="CN90" s="40"/>
      <c r="CO90" s="5"/>
      <c r="CQ90" s="40"/>
      <c r="CR90" s="5"/>
    </row>
    <row r="91">
      <c r="AO91" s="40"/>
      <c r="AP91" s="5"/>
      <c r="AR91" s="40"/>
      <c r="AS91" s="5"/>
      <c r="AU91" s="40"/>
      <c r="AV91" s="5"/>
      <c r="AX91" s="40"/>
      <c r="AY91" s="5"/>
      <c r="BA91" s="40"/>
      <c r="BB91" s="5"/>
      <c r="BD91" s="40"/>
      <c r="BE91" s="5"/>
      <c r="BG91" s="40"/>
      <c r="BH91" s="5"/>
      <c r="BJ91" s="40"/>
      <c r="BK91" s="5"/>
      <c r="BM91" s="40"/>
      <c r="BN91" s="5"/>
      <c r="BP91" s="40"/>
      <c r="BQ91" s="5"/>
      <c r="BS91" s="40"/>
      <c r="BT91" s="5"/>
      <c r="BV91" s="40"/>
      <c r="BW91" s="5"/>
      <c r="BY91" s="40"/>
      <c r="BZ91" s="5"/>
      <c r="CB91" s="40"/>
      <c r="CC91" s="5"/>
      <c r="CE91" s="40"/>
      <c r="CF91" s="5"/>
      <c r="CH91" s="40"/>
      <c r="CI91" s="5"/>
      <c r="CK91" s="40"/>
      <c r="CL91" s="5"/>
      <c r="CN91" s="40"/>
      <c r="CO91" s="5"/>
      <c r="CQ91" s="40"/>
      <c r="CR91" s="5"/>
    </row>
    <row r="92">
      <c r="AO92" s="40"/>
      <c r="AP92" s="5"/>
      <c r="AR92" s="40"/>
      <c r="AS92" s="5"/>
      <c r="AU92" s="40"/>
      <c r="AV92" s="5"/>
      <c r="AX92" s="40"/>
      <c r="AY92" s="5"/>
      <c r="BA92" s="40"/>
      <c r="BB92" s="5"/>
      <c r="BD92" s="40"/>
      <c r="BE92" s="5"/>
      <c r="BG92" s="40"/>
      <c r="BH92" s="5"/>
      <c r="BJ92" s="40"/>
      <c r="BK92" s="5"/>
      <c r="BM92" s="40"/>
      <c r="BN92" s="5"/>
      <c r="BP92" s="40"/>
      <c r="BQ92" s="5"/>
      <c r="BS92" s="40"/>
      <c r="BT92" s="5"/>
      <c r="BV92" s="40"/>
      <c r="BW92" s="5"/>
      <c r="BY92" s="40"/>
      <c r="BZ92" s="5"/>
      <c r="CB92" s="40"/>
      <c r="CC92" s="5"/>
      <c r="CE92" s="40"/>
      <c r="CF92" s="5"/>
      <c r="CH92" s="40"/>
      <c r="CI92" s="5"/>
      <c r="CK92" s="40"/>
      <c r="CL92" s="5"/>
      <c r="CN92" s="40"/>
      <c r="CO92" s="5"/>
      <c r="CQ92" s="40"/>
      <c r="CR92" s="5"/>
    </row>
    <row r="93">
      <c r="AO93" s="40"/>
      <c r="AP93" s="5"/>
      <c r="AR93" s="40"/>
      <c r="AS93" s="5"/>
      <c r="AU93" s="40"/>
      <c r="AV93" s="5"/>
      <c r="AX93" s="40"/>
      <c r="AY93" s="5"/>
      <c r="BA93" s="40"/>
      <c r="BB93" s="5"/>
      <c r="BD93" s="40"/>
      <c r="BE93" s="5"/>
      <c r="BG93" s="40"/>
      <c r="BH93" s="5"/>
      <c r="BJ93" s="40"/>
      <c r="BK93" s="5"/>
      <c r="BM93" s="40"/>
      <c r="BN93" s="5"/>
      <c r="BP93" s="40"/>
      <c r="BQ93" s="5"/>
      <c r="BS93" s="40"/>
      <c r="BT93" s="5"/>
      <c r="BV93" s="40"/>
      <c r="BW93" s="5"/>
      <c r="BY93" s="40"/>
      <c r="BZ93" s="5"/>
      <c r="CB93" s="40"/>
      <c r="CC93" s="5"/>
      <c r="CE93" s="40"/>
      <c r="CF93" s="5"/>
      <c r="CH93" s="40"/>
      <c r="CI93" s="5"/>
      <c r="CK93" s="40"/>
      <c r="CL93" s="5"/>
      <c r="CN93" s="40"/>
      <c r="CO93" s="5"/>
      <c r="CQ93" s="40"/>
      <c r="CR93" s="5"/>
    </row>
    <row r="94">
      <c r="AO94" s="40"/>
      <c r="AP94" s="5"/>
      <c r="AR94" s="40"/>
      <c r="AS94" s="5"/>
      <c r="AU94" s="40"/>
      <c r="AV94" s="5"/>
      <c r="AX94" s="40"/>
      <c r="AY94" s="5"/>
      <c r="BA94" s="40"/>
      <c r="BB94" s="5"/>
      <c r="BD94" s="40"/>
      <c r="BE94" s="5"/>
      <c r="BG94" s="40"/>
      <c r="BH94" s="5"/>
      <c r="BJ94" s="40"/>
      <c r="BK94" s="5"/>
      <c r="BM94" s="40"/>
      <c r="BN94" s="5"/>
      <c r="BP94" s="40"/>
      <c r="BQ94" s="5"/>
      <c r="BS94" s="40"/>
      <c r="BT94" s="5"/>
      <c r="BV94" s="40"/>
      <c r="BW94" s="5"/>
      <c r="BY94" s="40"/>
      <c r="BZ94" s="5"/>
      <c r="CB94" s="40"/>
      <c r="CC94" s="5"/>
      <c r="CE94" s="40"/>
      <c r="CF94" s="5"/>
      <c r="CH94" s="40"/>
      <c r="CI94" s="5"/>
      <c r="CK94" s="40"/>
      <c r="CL94" s="5"/>
      <c r="CN94" s="40"/>
      <c r="CO94" s="5"/>
      <c r="CQ94" s="40"/>
      <c r="CR94" s="5"/>
    </row>
    <row r="95">
      <c r="AO95" s="40"/>
      <c r="AP95" s="5"/>
      <c r="AR95" s="40"/>
      <c r="AS95" s="5"/>
      <c r="AU95" s="40"/>
      <c r="AV95" s="5"/>
      <c r="AX95" s="40"/>
      <c r="AY95" s="5"/>
      <c r="BA95" s="40"/>
      <c r="BB95" s="5"/>
      <c r="BD95" s="40"/>
      <c r="BE95" s="5"/>
      <c r="BG95" s="40"/>
      <c r="BH95" s="5"/>
      <c r="BJ95" s="40"/>
      <c r="BK95" s="5"/>
      <c r="BM95" s="40"/>
      <c r="BN95" s="5"/>
      <c r="BP95" s="40"/>
      <c r="BQ95" s="5"/>
      <c r="BS95" s="40"/>
      <c r="BT95" s="5"/>
      <c r="BV95" s="40"/>
      <c r="BW95" s="5"/>
      <c r="BY95" s="40"/>
      <c r="BZ95" s="5"/>
      <c r="CB95" s="40"/>
      <c r="CC95" s="5"/>
      <c r="CE95" s="40"/>
      <c r="CF95" s="5"/>
      <c r="CH95" s="40"/>
      <c r="CI95" s="5"/>
      <c r="CK95" s="40"/>
      <c r="CL95" s="5"/>
      <c r="CN95" s="40"/>
      <c r="CO95" s="5"/>
      <c r="CQ95" s="40"/>
      <c r="CR95" s="5"/>
    </row>
    <row r="96">
      <c r="AO96" s="40"/>
      <c r="AP96" s="5"/>
      <c r="AR96" s="40"/>
      <c r="AS96" s="5"/>
      <c r="AU96" s="40"/>
      <c r="AV96" s="5"/>
      <c r="AX96" s="40"/>
      <c r="AY96" s="5"/>
      <c r="BA96" s="40"/>
      <c r="BB96" s="5"/>
      <c r="BD96" s="40"/>
      <c r="BE96" s="5"/>
      <c r="BG96" s="40"/>
      <c r="BH96" s="5"/>
      <c r="BJ96" s="40"/>
      <c r="BK96" s="5"/>
      <c r="BM96" s="40"/>
      <c r="BN96" s="5"/>
      <c r="BP96" s="40"/>
      <c r="BQ96" s="5"/>
      <c r="BS96" s="40"/>
      <c r="BT96" s="5"/>
      <c r="BV96" s="40"/>
      <c r="BW96" s="5"/>
      <c r="BY96" s="40"/>
      <c r="BZ96" s="5"/>
      <c r="CB96" s="40"/>
      <c r="CC96" s="5"/>
      <c r="CE96" s="40"/>
      <c r="CF96" s="5"/>
      <c r="CH96" s="40"/>
      <c r="CI96" s="5"/>
      <c r="CK96" s="40"/>
      <c r="CL96" s="5"/>
      <c r="CN96" s="40"/>
      <c r="CO96" s="5"/>
      <c r="CQ96" s="40"/>
      <c r="CR96" s="5"/>
    </row>
    <row r="97">
      <c r="AO97" s="40"/>
      <c r="AP97" s="5"/>
      <c r="AR97" s="40"/>
      <c r="AS97" s="5"/>
      <c r="AU97" s="40"/>
      <c r="AV97" s="5"/>
      <c r="AX97" s="40"/>
      <c r="AY97" s="5"/>
      <c r="BA97" s="40"/>
      <c r="BB97" s="5"/>
      <c r="BD97" s="40"/>
      <c r="BE97" s="5"/>
      <c r="BG97" s="40"/>
      <c r="BH97" s="5"/>
      <c r="BJ97" s="40"/>
      <c r="BK97" s="5"/>
      <c r="BM97" s="40"/>
      <c r="BN97" s="5"/>
      <c r="BP97" s="40"/>
      <c r="BQ97" s="5"/>
      <c r="BS97" s="40"/>
      <c r="BT97" s="5"/>
      <c r="BV97" s="40"/>
      <c r="BW97" s="5"/>
      <c r="BY97" s="40"/>
      <c r="BZ97" s="5"/>
      <c r="CB97" s="40"/>
      <c r="CC97" s="5"/>
      <c r="CE97" s="40"/>
      <c r="CF97" s="5"/>
      <c r="CH97" s="40"/>
      <c r="CI97" s="5"/>
      <c r="CK97" s="40"/>
      <c r="CL97" s="5"/>
      <c r="CN97" s="40"/>
      <c r="CO97" s="5"/>
      <c r="CQ97" s="40"/>
      <c r="CR97" s="5"/>
    </row>
    <row r="98">
      <c r="AO98" s="40"/>
      <c r="AP98" s="5"/>
      <c r="AR98" s="40"/>
      <c r="AS98" s="5"/>
      <c r="AU98" s="40"/>
      <c r="AV98" s="5"/>
      <c r="AX98" s="40"/>
      <c r="AY98" s="5"/>
      <c r="BA98" s="40"/>
      <c r="BB98" s="5"/>
      <c r="BD98" s="40"/>
      <c r="BE98" s="5"/>
      <c r="BG98" s="40"/>
      <c r="BH98" s="5"/>
      <c r="BJ98" s="40"/>
      <c r="BK98" s="5"/>
      <c r="BM98" s="40"/>
      <c r="BN98" s="5"/>
      <c r="BP98" s="40"/>
      <c r="BQ98" s="5"/>
      <c r="BS98" s="40"/>
      <c r="BT98" s="5"/>
      <c r="BV98" s="40"/>
      <c r="BW98" s="5"/>
      <c r="BY98" s="40"/>
      <c r="BZ98" s="5"/>
      <c r="CB98" s="40"/>
      <c r="CC98" s="5"/>
      <c r="CE98" s="40"/>
      <c r="CF98" s="5"/>
      <c r="CH98" s="40"/>
      <c r="CI98" s="5"/>
      <c r="CK98" s="40"/>
      <c r="CL98" s="5"/>
      <c r="CN98" s="40"/>
      <c r="CO98" s="5"/>
      <c r="CQ98" s="40"/>
      <c r="CR98" s="5"/>
    </row>
    <row r="99">
      <c r="AO99" s="40"/>
      <c r="AP99" s="5"/>
      <c r="AR99" s="40"/>
      <c r="AS99" s="5"/>
      <c r="AU99" s="40"/>
      <c r="AV99" s="5"/>
      <c r="AX99" s="40"/>
      <c r="AY99" s="5"/>
      <c r="BA99" s="40"/>
      <c r="BB99" s="5"/>
      <c r="BD99" s="40"/>
      <c r="BE99" s="5"/>
      <c r="BG99" s="40"/>
      <c r="BH99" s="5"/>
      <c r="BJ99" s="40"/>
      <c r="BK99" s="5"/>
      <c r="BM99" s="40"/>
      <c r="BN99" s="5"/>
      <c r="BP99" s="40"/>
      <c r="BQ99" s="5"/>
      <c r="BS99" s="40"/>
      <c r="BT99" s="5"/>
      <c r="BV99" s="40"/>
      <c r="BW99" s="5"/>
      <c r="BY99" s="40"/>
      <c r="BZ99" s="5"/>
      <c r="CB99" s="40"/>
      <c r="CC99" s="5"/>
      <c r="CE99" s="40"/>
      <c r="CF99" s="5"/>
      <c r="CH99" s="40"/>
      <c r="CI99" s="5"/>
      <c r="CK99" s="40"/>
      <c r="CL99" s="5"/>
      <c r="CN99" s="40"/>
      <c r="CO99" s="5"/>
      <c r="CQ99" s="40"/>
      <c r="CR99" s="5"/>
    </row>
    <row r="100">
      <c r="AO100" s="40"/>
      <c r="AP100" s="5"/>
      <c r="AR100" s="40"/>
      <c r="AS100" s="5"/>
      <c r="AU100" s="40"/>
      <c r="AV100" s="5"/>
      <c r="AX100" s="40"/>
      <c r="AY100" s="5"/>
      <c r="BA100" s="40"/>
      <c r="BB100" s="5"/>
      <c r="BD100" s="40"/>
      <c r="BE100" s="5"/>
      <c r="BG100" s="40"/>
      <c r="BH100" s="5"/>
      <c r="BJ100" s="40"/>
      <c r="BK100" s="5"/>
      <c r="BM100" s="40"/>
      <c r="BN100" s="5"/>
      <c r="BP100" s="40"/>
      <c r="BQ100" s="5"/>
      <c r="BS100" s="40"/>
      <c r="BT100" s="5"/>
      <c r="BV100" s="40"/>
      <c r="BW100" s="5"/>
      <c r="BY100" s="40"/>
      <c r="BZ100" s="5"/>
      <c r="CB100" s="40"/>
      <c r="CC100" s="5"/>
      <c r="CE100" s="40"/>
      <c r="CF100" s="5"/>
      <c r="CH100" s="40"/>
      <c r="CI100" s="5"/>
      <c r="CK100" s="40"/>
      <c r="CL100" s="5"/>
      <c r="CN100" s="40"/>
      <c r="CO100" s="5"/>
      <c r="CQ100" s="40"/>
      <c r="CR100" s="5"/>
    </row>
    <row r="101">
      <c r="AO101" s="40"/>
      <c r="AP101" s="5"/>
      <c r="AR101" s="40"/>
      <c r="AS101" s="5"/>
      <c r="AU101" s="40"/>
      <c r="AV101" s="5"/>
      <c r="AX101" s="40"/>
      <c r="AY101" s="5"/>
      <c r="BA101" s="40"/>
      <c r="BB101" s="5"/>
      <c r="BD101" s="40"/>
      <c r="BE101" s="5"/>
      <c r="BG101" s="40"/>
      <c r="BH101" s="5"/>
      <c r="BJ101" s="40"/>
      <c r="BK101" s="5"/>
      <c r="BM101" s="40"/>
      <c r="BN101" s="5"/>
      <c r="BP101" s="40"/>
      <c r="BQ101" s="5"/>
      <c r="BS101" s="40"/>
      <c r="BT101" s="5"/>
      <c r="BV101" s="40"/>
      <c r="BW101" s="5"/>
      <c r="BY101" s="40"/>
      <c r="BZ101" s="5"/>
      <c r="CB101" s="40"/>
      <c r="CC101" s="5"/>
      <c r="CE101" s="40"/>
      <c r="CF101" s="5"/>
      <c r="CH101" s="40"/>
      <c r="CI101" s="5"/>
      <c r="CK101" s="40"/>
      <c r="CL101" s="5"/>
      <c r="CN101" s="40"/>
      <c r="CO101" s="5"/>
      <c r="CQ101" s="40"/>
      <c r="CR101" s="5"/>
    </row>
    <row r="102">
      <c r="AO102" s="40"/>
      <c r="AP102" s="5"/>
      <c r="AR102" s="40"/>
      <c r="AS102" s="5"/>
      <c r="AU102" s="40"/>
      <c r="AV102" s="5"/>
      <c r="AX102" s="40"/>
      <c r="AY102" s="5"/>
      <c r="BA102" s="40"/>
      <c r="BB102" s="5"/>
      <c r="BD102" s="40"/>
      <c r="BE102" s="5"/>
      <c r="BG102" s="40"/>
      <c r="BH102" s="5"/>
      <c r="BJ102" s="40"/>
      <c r="BK102" s="5"/>
      <c r="BM102" s="40"/>
      <c r="BN102" s="5"/>
      <c r="BP102" s="40"/>
      <c r="BQ102" s="5"/>
      <c r="BS102" s="40"/>
      <c r="BT102" s="5"/>
      <c r="BV102" s="40"/>
      <c r="BW102" s="5"/>
      <c r="BY102" s="40"/>
      <c r="BZ102" s="5"/>
      <c r="CB102" s="40"/>
      <c r="CC102" s="5"/>
      <c r="CE102" s="40"/>
      <c r="CF102" s="5"/>
      <c r="CH102" s="40"/>
      <c r="CI102" s="5"/>
      <c r="CK102" s="40"/>
      <c r="CL102" s="5"/>
      <c r="CN102" s="40"/>
      <c r="CO102" s="5"/>
      <c r="CQ102" s="40"/>
      <c r="CR102" s="5"/>
    </row>
    <row r="103">
      <c r="AO103" s="40"/>
      <c r="AP103" s="5"/>
      <c r="AR103" s="40"/>
      <c r="AS103" s="5"/>
      <c r="AU103" s="40"/>
      <c r="AV103" s="5"/>
      <c r="AX103" s="40"/>
      <c r="AY103" s="5"/>
      <c r="BA103" s="40"/>
      <c r="BB103" s="5"/>
      <c r="BD103" s="40"/>
      <c r="BE103" s="5"/>
      <c r="BG103" s="40"/>
      <c r="BH103" s="5"/>
      <c r="BJ103" s="40"/>
      <c r="BK103" s="5"/>
      <c r="BM103" s="40"/>
      <c r="BN103" s="5"/>
      <c r="BP103" s="40"/>
      <c r="BQ103" s="5"/>
      <c r="BS103" s="40"/>
      <c r="BT103" s="5"/>
      <c r="BV103" s="40"/>
      <c r="BW103" s="5"/>
      <c r="BY103" s="40"/>
      <c r="BZ103" s="5"/>
      <c r="CB103" s="40"/>
      <c r="CC103" s="5"/>
      <c r="CE103" s="40"/>
      <c r="CF103" s="5"/>
      <c r="CH103" s="40"/>
      <c r="CI103" s="5"/>
      <c r="CK103" s="40"/>
      <c r="CL103" s="5"/>
      <c r="CN103" s="40"/>
      <c r="CO103" s="5"/>
      <c r="CQ103" s="40"/>
      <c r="CR103" s="5"/>
    </row>
    <row r="104">
      <c r="AO104" s="40"/>
      <c r="AP104" s="5"/>
      <c r="AR104" s="40"/>
      <c r="AS104" s="5"/>
      <c r="AU104" s="40"/>
      <c r="AV104" s="5"/>
      <c r="AX104" s="40"/>
      <c r="AY104" s="5"/>
      <c r="BA104" s="40"/>
      <c r="BB104" s="5"/>
      <c r="BD104" s="40"/>
      <c r="BE104" s="5"/>
      <c r="BG104" s="40"/>
      <c r="BH104" s="5"/>
      <c r="BJ104" s="40"/>
      <c r="BK104" s="5"/>
      <c r="BM104" s="40"/>
      <c r="BN104" s="5"/>
      <c r="BP104" s="40"/>
      <c r="BQ104" s="5"/>
      <c r="BS104" s="40"/>
      <c r="BT104" s="5"/>
      <c r="BV104" s="40"/>
      <c r="BW104" s="5"/>
      <c r="BY104" s="40"/>
      <c r="BZ104" s="5"/>
      <c r="CB104" s="40"/>
      <c r="CC104" s="5"/>
      <c r="CE104" s="40"/>
      <c r="CF104" s="5"/>
      <c r="CH104" s="40"/>
      <c r="CI104" s="5"/>
      <c r="CK104" s="40"/>
      <c r="CL104" s="5"/>
      <c r="CN104" s="40"/>
      <c r="CO104" s="5"/>
      <c r="CQ104" s="40"/>
      <c r="CR104" s="5"/>
    </row>
    <row r="105">
      <c r="AO105" s="40"/>
      <c r="AP105" s="5"/>
      <c r="AR105" s="40"/>
      <c r="AS105" s="5"/>
      <c r="AU105" s="40"/>
      <c r="AV105" s="5"/>
      <c r="AX105" s="40"/>
      <c r="AY105" s="5"/>
      <c r="BA105" s="40"/>
      <c r="BB105" s="5"/>
      <c r="BD105" s="40"/>
      <c r="BE105" s="5"/>
      <c r="BG105" s="40"/>
      <c r="BH105" s="5"/>
      <c r="BJ105" s="40"/>
      <c r="BK105" s="5"/>
      <c r="BM105" s="40"/>
      <c r="BN105" s="5"/>
      <c r="BP105" s="40"/>
      <c r="BQ105" s="5"/>
      <c r="BS105" s="40"/>
      <c r="BT105" s="5"/>
      <c r="BV105" s="40"/>
      <c r="BW105" s="5"/>
      <c r="BY105" s="40"/>
      <c r="BZ105" s="5"/>
      <c r="CB105" s="40"/>
      <c r="CC105" s="5"/>
      <c r="CE105" s="40"/>
      <c r="CF105" s="5"/>
      <c r="CH105" s="40"/>
      <c r="CI105" s="5"/>
      <c r="CK105" s="40"/>
      <c r="CL105" s="5"/>
      <c r="CN105" s="40"/>
      <c r="CO105" s="5"/>
      <c r="CQ105" s="40"/>
      <c r="CR105" s="5"/>
    </row>
    <row r="106">
      <c r="AO106" s="40"/>
      <c r="AP106" s="5"/>
      <c r="AR106" s="40"/>
      <c r="AS106" s="5"/>
      <c r="AU106" s="40"/>
      <c r="AV106" s="5"/>
      <c r="AX106" s="40"/>
      <c r="AY106" s="5"/>
      <c r="BA106" s="40"/>
      <c r="BB106" s="5"/>
      <c r="BD106" s="40"/>
      <c r="BE106" s="5"/>
      <c r="BG106" s="40"/>
      <c r="BH106" s="5"/>
      <c r="BJ106" s="40"/>
      <c r="BK106" s="5"/>
      <c r="BM106" s="40"/>
      <c r="BN106" s="5"/>
      <c r="BP106" s="40"/>
      <c r="BQ106" s="5"/>
      <c r="BS106" s="40"/>
      <c r="BT106" s="5"/>
      <c r="BV106" s="40"/>
      <c r="BW106" s="5"/>
      <c r="BY106" s="40"/>
      <c r="BZ106" s="5"/>
      <c r="CB106" s="40"/>
      <c r="CC106" s="5"/>
      <c r="CE106" s="40"/>
      <c r="CF106" s="5"/>
      <c r="CH106" s="40"/>
      <c r="CI106" s="5"/>
      <c r="CK106" s="40"/>
      <c r="CL106" s="5"/>
      <c r="CN106" s="40"/>
      <c r="CO106" s="5"/>
      <c r="CQ106" s="40"/>
      <c r="CR106" s="5"/>
    </row>
    <row r="107">
      <c r="AO107" s="40"/>
      <c r="AP107" s="5"/>
      <c r="AR107" s="40"/>
      <c r="AS107" s="5"/>
      <c r="AU107" s="40"/>
      <c r="AV107" s="5"/>
      <c r="AX107" s="40"/>
      <c r="AY107" s="5"/>
      <c r="BA107" s="40"/>
      <c r="BB107" s="5"/>
      <c r="BD107" s="40"/>
      <c r="BE107" s="5"/>
      <c r="BG107" s="40"/>
      <c r="BH107" s="5"/>
      <c r="BJ107" s="40"/>
      <c r="BK107" s="5"/>
      <c r="BM107" s="40"/>
      <c r="BN107" s="5"/>
      <c r="BP107" s="40"/>
      <c r="BQ107" s="5"/>
      <c r="BS107" s="40"/>
      <c r="BT107" s="5"/>
      <c r="BV107" s="40"/>
      <c r="BW107" s="5"/>
      <c r="BY107" s="40"/>
      <c r="BZ107" s="5"/>
      <c r="CB107" s="40"/>
      <c r="CC107" s="5"/>
      <c r="CE107" s="40"/>
      <c r="CF107" s="5"/>
      <c r="CH107" s="40"/>
      <c r="CI107" s="5"/>
      <c r="CK107" s="40"/>
      <c r="CL107" s="5"/>
      <c r="CN107" s="40"/>
      <c r="CO107" s="5"/>
      <c r="CQ107" s="40"/>
      <c r="CR107" s="5"/>
    </row>
    <row r="108">
      <c r="AO108" s="40"/>
      <c r="AP108" s="5"/>
      <c r="AR108" s="40"/>
      <c r="AS108" s="5"/>
      <c r="AU108" s="40"/>
      <c r="AV108" s="5"/>
      <c r="AX108" s="40"/>
      <c r="AY108" s="5"/>
      <c r="BA108" s="40"/>
      <c r="BB108" s="5"/>
      <c r="BD108" s="40"/>
      <c r="BE108" s="5"/>
      <c r="BG108" s="40"/>
      <c r="BH108" s="5"/>
      <c r="BJ108" s="40"/>
      <c r="BK108" s="5"/>
      <c r="BM108" s="40"/>
      <c r="BN108" s="5"/>
      <c r="BP108" s="40"/>
      <c r="BQ108" s="5"/>
      <c r="BS108" s="40"/>
      <c r="BT108" s="5"/>
      <c r="BV108" s="40"/>
      <c r="BW108" s="5"/>
      <c r="BY108" s="40"/>
      <c r="BZ108" s="5"/>
      <c r="CB108" s="40"/>
      <c r="CC108" s="5"/>
      <c r="CE108" s="40"/>
      <c r="CF108" s="5"/>
      <c r="CH108" s="40"/>
      <c r="CI108" s="5"/>
      <c r="CK108" s="40"/>
      <c r="CL108" s="5"/>
      <c r="CN108" s="40"/>
      <c r="CO108" s="5"/>
      <c r="CQ108" s="40"/>
      <c r="CR108" s="5"/>
    </row>
    <row r="109">
      <c r="AO109" s="40"/>
      <c r="AP109" s="5"/>
      <c r="AR109" s="40"/>
      <c r="AS109" s="5"/>
      <c r="AU109" s="40"/>
      <c r="AV109" s="5"/>
      <c r="AX109" s="40"/>
      <c r="AY109" s="5"/>
      <c r="BA109" s="40"/>
      <c r="BB109" s="5"/>
      <c r="BD109" s="40"/>
      <c r="BE109" s="5"/>
      <c r="BG109" s="40"/>
      <c r="BH109" s="5"/>
      <c r="BJ109" s="40"/>
      <c r="BK109" s="5"/>
      <c r="BM109" s="40"/>
      <c r="BN109" s="5"/>
      <c r="BP109" s="40"/>
      <c r="BQ109" s="5"/>
      <c r="BS109" s="40"/>
      <c r="BT109" s="5"/>
      <c r="BV109" s="40"/>
      <c r="BW109" s="5"/>
      <c r="BY109" s="40"/>
      <c r="BZ109" s="5"/>
      <c r="CB109" s="40"/>
      <c r="CC109" s="5"/>
      <c r="CE109" s="40"/>
      <c r="CF109" s="5"/>
      <c r="CH109" s="40"/>
      <c r="CI109" s="5"/>
      <c r="CK109" s="40"/>
      <c r="CL109" s="5"/>
      <c r="CN109" s="40"/>
      <c r="CO109" s="5"/>
      <c r="CQ109" s="40"/>
      <c r="CR109" s="5"/>
    </row>
    <row r="110">
      <c r="AO110" s="40"/>
      <c r="AP110" s="5"/>
      <c r="AR110" s="40"/>
      <c r="AS110" s="5"/>
      <c r="AU110" s="40"/>
      <c r="AV110" s="5"/>
      <c r="AX110" s="40"/>
      <c r="AY110" s="5"/>
      <c r="BA110" s="40"/>
      <c r="BB110" s="5"/>
      <c r="BD110" s="40"/>
      <c r="BE110" s="5"/>
      <c r="BG110" s="40"/>
      <c r="BH110" s="5"/>
      <c r="BJ110" s="40"/>
      <c r="BK110" s="5"/>
      <c r="BM110" s="40"/>
      <c r="BN110" s="5"/>
      <c r="BP110" s="40"/>
      <c r="BQ110" s="5"/>
      <c r="BS110" s="40"/>
      <c r="BT110" s="5"/>
      <c r="BV110" s="40"/>
      <c r="BW110" s="5"/>
      <c r="BY110" s="40"/>
      <c r="BZ110" s="5"/>
      <c r="CB110" s="40"/>
      <c r="CC110" s="5"/>
      <c r="CE110" s="40"/>
      <c r="CF110" s="5"/>
      <c r="CH110" s="40"/>
      <c r="CI110" s="5"/>
      <c r="CK110" s="40"/>
      <c r="CL110" s="5"/>
      <c r="CN110" s="40"/>
      <c r="CO110" s="5"/>
      <c r="CQ110" s="40"/>
      <c r="CR110" s="5"/>
    </row>
    <row r="111">
      <c r="AO111" s="40"/>
      <c r="AP111" s="5"/>
      <c r="AR111" s="40"/>
      <c r="AS111" s="5"/>
      <c r="AU111" s="40"/>
      <c r="AV111" s="5"/>
      <c r="AX111" s="40"/>
      <c r="AY111" s="5"/>
      <c r="BA111" s="40"/>
      <c r="BB111" s="5"/>
      <c r="BD111" s="40"/>
      <c r="BE111" s="5"/>
      <c r="BG111" s="40"/>
      <c r="BH111" s="5"/>
      <c r="BJ111" s="40"/>
      <c r="BK111" s="5"/>
      <c r="BM111" s="40"/>
      <c r="BN111" s="5"/>
      <c r="BP111" s="40"/>
      <c r="BQ111" s="5"/>
      <c r="BS111" s="40"/>
      <c r="BT111" s="5"/>
      <c r="BV111" s="40"/>
      <c r="BW111" s="5"/>
      <c r="BY111" s="40"/>
      <c r="BZ111" s="5"/>
      <c r="CB111" s="40"/>
      <c r="CC111" s="5"/>
      <c r="CE111" s="40"/>
      <c r="CF111" s="5"/>
      <c r="CH111" s="40"/>
      <c r="CI111" s="5"/>
      <c r="CK111" s="40"/>
      <c r="CL111" s="5"/>
      <c r="CN111" s="40"/>
      <c r="CO111" s="5"/>
      <c r="CQ111" s="40"/>
      <c r="CR111" s="5"/>
    </row>
    <row r="112">
      <c r="AO112" s="40"/>
      <c r="AP112" s="5"/>
      <c r="AR112" s="40"/>
      <c r="AS112" s="5"/>
      <c r="AU112" s="40"/>
      <c r="AV112" s="5"/>
      <c r="AX112" s="40"/>
      <c r="AY112" s="5"/>
      <c r="BA112" s="40"/>
      <c r="BB112" s="5"/>
      <c r="BD112" s="40"/>
      <c r="BE112" s="5"/>
      <c r="BG112" s="40"/>
      <c r="BH112" s="5"/>
      <c r="BJ112" s="40"/>
      <c r="BK112" s="5"/>
      <c r="BM112" s="40"/>
      <c r="BN112" s="5"/>
      <c r="BP112" s="40"/>
      <c r="BQ112" s="5"/>
      <c r="BS112" s="40"/>
      <c r="BT112" s="5"/>
      <c r="BV112" s="40"/>
      <c r="BW112" s="5"/>
      <c r="BY112" s="40"/>
      <c r="BZ112" s="5"/>
      <c r="CB112" s="40"/>
      <c r="CC112" s="5"/>
      <c r="CE112" s="40"/>
      <c r="CF112" s="5"/>
      <c r="CH112" s="40"/>
      <c r="CI112" s="5"/>
      <c r="CK112" s="40"/>
      <c r="CL112" s="5"/>
      <c r="CN112" s="40"/>
      <c r="CO112" s="5"/>
      <c r="CQ112" s="40"/>
      <c r="CR112" s="5"/>
    </row>
    <row r="113">
      <c r="AO113" s="40"/>
      <c r="AP113" s="5"/>
      <c r="AR113" s="40"/>
      <c r="AS113" s="5"/>
      <c r="AU113" s="40"/>
      <c r="AV113" s="5"/>
      <c r="AX113" s="40"/>
      <c r="AY113" s="5"/>
      <c r="BA113" s="40"/>
      <c r="BB113" s="5"/>
      <c r="BD113" s="40"/>
      <c r="BE113" s="5"/>
      <c r="BG113" s="40"/>
      <c r="BH113" s="5"/>
      <c r="BJ113" s="40"/>
      <c r="BK113" s="5"/>
      <c r="BM113" s="40"/>
      <c r="BN113" s="5"/>
      <c r="BP113" s="40"/>
      <c r="BQ113" s="5"/>
      <c r="BS113" s="40"/>
      <c r="BT113" s="5"/>
      <c r="BV113" s="40"/>
      <c r="BW113" s="5"/>
      <c r="BY113" s="40"/>
      <c r="BZ113" s="5"/>
      <c r="CB113" s="40"/>
      <c r="CC113" s="5"/>
      <c r="CE113" s="40"/>
      <c r="CF113" s="5"/>
      <c r="CH113" s="40"/>
      <c r="CI113" s="5"/>
      <c r="CK113" s="40"/>
      <c r="CL113" s="5"/>
      <c r="CN113" s="40"/>
      <c r="CO113" s="5"/>
      <c r="CQ113" s="40"/>
      <c r="CR113" s="5"/>
    </row>
    <row r="114">
      <c r="AO114" s="40"/>
      <c r="AP114" s="5"/>
      <c r="AR114" s="40"/>
      <c r="AS114" s="5"/>
      <c r="AU114" s="40"/>
      <c r="AV114" s="5"/>
      <c r="AX114" s="40"/>
      <c r="AY114" s="5"/>
      <c r="BA114" s="40"/>
      <c r="BB114" s="5"/>
      <c r="BD114" s="40"/>
      <c r="BE114" s="5"/>
      <c r="BG114" s="40"/>
      <c r="BH114" s="5"/>
      <c r="BJ114" s="40"/>
      <c r="BK114" s="5"/>
      <c r="BM114" s="40"/>
      <c r="BN114" s="5"/>
      <c r="BP114" s="40"/>
      <c r="BQ114" s="5"/>
      <c r="BS114" s="40"/>
      <c r="BT114" s="5"/>
      <c r="BV114" s="40"/>
      <c r="BW114" s="5"/>
      <c r="BY114" s="40"/>
      <c r="BZ114" s="5"/>
      <c r="CB114" s="40"/>
      <c r="CC114" s="5"/>
      <c r="CE114" s="40"/>
      <c r="CF114" s="5"/>
      <c r="CH114" s="40"/>
      <c r="CI114" s="5"/>
      <c r="CK114" s="40"/>
      <c r="CL114" s="5"/>
      <c r="CN114" s="40"/>
      <c r="CO114" s="5"/>
      <c r="CQ114" s="40"/>
      <c r="CR114" s="5"/>
    </row>
    <row r="115">
      <c r="AO115" s="40"/>
      <c r="AP115" s="5"/>
      <c r="AR115" s="40"/>
      <c r="AS115" s="5"/>
      <c r="AU115" s="40"/>
      <c r="AV115" s="5"/>
      <c r="AX115" s="40"/>
      <c r="AY115" s="5"/>
      <c r="BA115" s="40"/>
      <c r="BB115" s="5"/>
      <c r="BD115" s="40"/>
      <c r="BE115" s="5"/>
      <c r="BG115" s="40"/>
      <c r="BH115" s="5"/>
      <c r="BJ115" s="40"/>
      <c r="BK115" s="5"/>
      <c r="BM115" s="40"/>
      <c r="BN115" s="5"/>
      <c r="BP115" s="40"/>
      <c r="BQ115" s="5"/>
      <c r="BS115" s="40"/>
      <c r="BT115" s="5"/>
      <c r="BV115" s="40"/>
      <c r="BW115" s="5"/>
      <c r="BY115" s="40"/>
      <c r="BZ115" s="5"/>
      <c r="CB115" s="40"/>
      <c r="CC115" s="5"/>
      <c r="CE115" s="40"/>
      <c r="CF115" s="5"/>
      <c r="CH115" s="40"/>
      <c r="CI115" s="5"/>
      <c r="CK115" s="40"/>
      <c r="CL115" s="5"/>
      <c r="CN115" s="40"/>
      <c r="CO115" s="5"/>
      <c r="CQ115" s="40"/>
      <c r="CR115" s="5"/>
    </row>
    <row r="116">
      <c r="AO116" s="40"/>
      <c r="AP116" s="5"/>
      <c r="AR116" s="40"/>
      <c r="AS116" s="5"/>
      <c r="AU116" s="40"/>
      <c r="AV116" s="5"/>
      <c r="AX116" s="40"/>
      <c r="AY116" s="5"/>
      <c r="BA116" s="40"/>
      <c r="BB116" s="5"/>
      <c r="BD116" s="40"/>
      <c r="BE116" s="5"/>
      <c r="BG116" s="40"/>
      <c r="BH116" s="5"/>
      <c r="BJ116" s="40"/>
      <c r="BK116" s="5"/>
      <c r="BM116" s="40"/>
      <c r="BN116" s="5"/>
      <c r="BP116" s="40"/>
      <c r="BQ116" s="5"/>
      <c r="BS116" s="40"/>
      <c r="BT116" s="5"/>
      <c r="BV116" s="40"/>
      <c r="BW116" s="5"/>
      <c r="BY116" s="40"/>
      <c r="BZ116" s="5"/>
      <c r="CB116" s="40"/>
      <c r="CC116" s="5"/>
      <c r="CE116" s="40"/>
      <c r="CF116" s="5"/>
      <c r="CH116" s="40"/>
      <c r="CI116" s="5"/>
      <c r="CK116" s="40"/>
      <c r="CL116" s="5"/>
      <c r="CN116" s="40"/>
      <c r="CO116" s="5"/>
      <c r="CQ116" s="40"/>
      <c r="CR116" s="5"/>
    </row>
    <row r="117">
      <c r="AO117" s="40"/>
      <c r="AP117" s="5"/>
      <c r="AR117" s="40"/>
      <c r="AS117" s="5"/>
      <c r="AU117" s="40"/>
      <c r="AV117" s="5"/>
      <c r="AX117" s="40"/>
      <c r="AY117" s="5"/>
      <c r="BA117" s="40"/>
      <c r="BB117" s="5"/>
      <c r="BD117" s="40"/>
      <c r="BE117" s="5"/>
      <c r="BG117" s="40"/>
      <c r="BH117" s="5"/>
      <c r="BJ117" s="40"/>
      <c r="BK117" s="5"/>
      <c r="BM117" s="40"/>
      <c r="BN117" s="5"/>
      <c r="BP117" s="40"/>
      <c r="BQ117" s="5"/>
      <c r="BS117" s="40"/>
      <c r="BT117" s="5"/>
      <c r="BV117" s="40"/>
      <c r="BW117" s="5"/>
      <c r="BY117" s="40"/>
      <c r="BZ117" s="5"/>
      <c r="CB117" s="40"/>
      <c r="CC117" s="5"/>
      <c r="CE117" s="40"/>
      <c r="CF117" s="5"/>
      <c r="CH117" s="40"/>
      <c r="CI117" s="5"/>
      <c r="CK117" s="40"/>
      <c r="CL117" s="5"/>
      <c r="CN117" s="40"/>
      <c r="CO117" s="5"/>
      <c r="CQ117" s="40"/>
      <c r="CR117" s="5"/>
    </row>
    <row r="118">
      <c r="AO118" s="40"/>
      <c r="AP118" s="5"/>
      <c r="AR118" s="40"/>
      <c r="AS118" s="5"/>
      <c r="AU118" s="40"/>
      <c r="AV118" s="5"/>
      <c r="AX118" s="40"/>
      <c r="AY118" s="5"/>
      <c r="BA118" s="40"/>
      <c r="BB118" s="5"/>
      <c r="BD118" s="40"/>
      <c r="BE118" s="5"/>
      <c r="BG118" s="40"/>
      <c r="BH118" s="5"/>
      <c r="BJ118" s="40"/>
      <c r="BK118" s="5"/>
      <c r="BM118" s="40"/>
      <c r="BN118" s="5"/>
      <c r="BP118" s="40"/>
      <c r="BQ118" s="5"/>
      <c r="BS118" s="40"/>
      <c r="BT118" s="5"/>
      <c r="BV118" s="40"/>
      <c r="BW118" s="5"/>
      <c r="BY118" s="40"/>
      <c r="BZ118" s="5"/>
      <c r="CB118" s="40"/>
      <c r="CC118" s="5"/>
      <c r="CE118" s="40"/>
      <c r="CF118" s="5"/>
      <c r="CH118" s="40"/>
      <c r="CI118" s="5"/>
      <c r="CK118" s="40"/>
      <c r="CL118" s="5"/>
      <c r="CN118" s="40"/>
      <c r="CO118" s="5"/>
      <c r="CQ118" s="40"/>
      <c r="CR118" s="5"/>
    </row>
    <row r="119">
      <c r="AO119" s="40"/>
      <c r="AP119" s="5"/>
      <c r="AR119" s="40"/>
      <c r="AS119" s="5"/>
      <c r="AU119" s="40"/>
      <c r="AV119" s="5"/>
      <c r="AX119" s="40"/>
      <c r="AY119" s="5"/>
      <c r="BA119" s="40"/>
      <c r="BB119" s="5"/>
      <c r="BD119" s="40"/>
      <c r="BE119" s="5"/>
      <c r="BG119" s="40"/>
      <c r="BH119" s="5"/>
      <c r="BJ119" s="40"/>
      <c r="BK119" s="5"/>
      <c r="BM119" s="40"/>
      <c r="BN119" s="5"/>
      <c r="BP119" s="40"/>
      <c r="BQ119" s="5"/>
      <c r="BS119" s="40"/>
      <c r="BT119" s="5"/>
      <c r="BV119" s="40"/>
      <c r="BW119" s="5"/>
      <c r="BY119" s="40"/>
      <c r="BZ119" s="5"/>
      <c r="CB119" s="40"/>
      <c r="CC119" s="5"/>
      <c r="CE119" s="40"/>
      <c r="CF119" s="5"/>
      <c r="CH119" s="40"/>
      <c r="CI119" s="5"/>
      <c r="CK119" s="40"/>
      <c r="CL119" s="5"/>
      <c r="CN119" s="40"/>
      <c r="CO119" s="5"/>
      <c r="CQ119" s="40"/>
      <c r="CR119" s="5"/>
    </row>
    <row r="120">
      <c r="AO120" s="40"/>
      <c r="AP120" s="5"/>
      <c r="AR120" s="40"/>
      <c r="AS120" s="5"/>
      <c r="AU120" s="40"/>
      <c r="AV120" s="5"/>
      <c r="AX120" s="40"/>
      <c r="AY120" s="5"/>
      <c r="BA120" s="40"/>
      <c r="BB120" s="5"/>
      <c r="BD120" s="40"/>
      <c r="BE120" s="5"/>
      <c r="BG120" s="40"/>
      <c r="BH120" s="5"/>
      <c r="BJ120" s="40"/>
      <c r="BK120" s="5"/>
      <c r="BM120" s="40"/>
      <c r="BN120" s="5"/>
      <c r="BP120" s="40"/>
      <c r="BQ120" s="5"/>
      <c r="BS120" s="40"/>
      <c r="BT120" s="5"/>
      <c r="BV120" s="40"/>
      <c r="BW120" s="5"/>
      <c r="BY120" s="40"/>
      <c r="BZ120" s="5"/>
      <c r="CB120" s="40"/>
      <c r="CC120" s="5"/>
      <c r="CE120" s="40"/>
      <c r="CF120" s="5"/>
      <c r="CH120" s="40"/>
      <c r="CI120" s="5"/>
      <c r="CK120" s="40"/>
      <c r="CL120" s="5"/>
      <c r="CN120" s="40"/>
      <c r="CO120" s="5"/>
      <c r="CQ120" s="40"/>
      <c r="CR120" s="5"/>
    </row>
    <row r="121">
      <c r="AO121" s="40"/>
      <c r="AP121" s="5"/>
      <c r="AR121" s="40"/>
      <c r="AS121" s="5"/>
      <c r="AU121" s="40"/>
      <c r="AV121" s="5"/>
      <c r="AX121" s="40"/>
      <c r="AY121" s="5"/>
      <c r="BA121" s="40"/>
      <c r="BB121" s="5"/>
      <c r="BD121" s="40"/>
      <c r="BE121" s="5"/>
      <c r="BG121" s="40"/>
      <c r="BH121" s="5"/>
      <c r="BJ121" s="40"/>
      <c r="BK121" s="5"/>
      <c r="BM121" s="40"/>
      <c r="BN121" s="5"/>
      <c r="BP121" s="40"/>
      <c r="BQ121" s="5"/>
      <c r="BS121" s="40"/>
      <c r="BT121" s="5"/>
      <c r="BV121" s="40"/>
      <c r="BW121" s="5"/>
      <c r="BY121" s="40"/>
      <c r="BZ121" s="5"/>
      <c r="CB121" s="40"/>
      <c r="CC121" s="5"/>
      <c r="CE121" s="40"/>
      <c r="CF121" s="5"/>
      <c r="CH121" s="40"/>
      <c r="CI121" s="5"/>
      <c r="CK121" s="40"/>
      <c r="CL121" s="5"/>
      <c r="CN121" s="40"/>
      <c r="CO121" s="5"/>
      <c r="CQ121" s="40"/>
      <c r="CR121" s="5"/>
    </row>
    <row r="122">
      <c r="AO122" s="40"/>
      <c r="AP122" s="5"/>
      <c r="AR122" s="40"/>
      <c r="AS122" s="5"/>
      <c r="AU122" s="40"/>
      <c r="AV122" s="5"/>
      <c r="AX122" s="40"/>
      <c r="AY122" s="5"/>
      <c r="BA122" s="40"/>
      <c r="BB122" s="5"/>
      <c r="BD122" s="40"/>
      <c r="BE122" s="5"/>
      <c r="BG122" s="40"/>
      <c r="BH122" s="5"/>
      <c r="BJ122" s="40"/>
      <c r="BK122" s="5"/>
      <c r="BM122" s="40"/>
      <c r="BN122" s="5"/>
      <c r="BP122" s="40"/>
      <c r="BQ122" s="5"/>
      <c r="BS122" s="40"/>
      <c r="BT122" s="5"/>
      <c r="BV122" s="40"/>
      <c r="BW122" s="5"/>
      <c r="BY122" s="40"/>
      <c r="BZ122" s="5"/>
      <c r="CB122" s="40"/>
      <c r="CC122" s="5"/>
      <c r="CE122" s="40"/>
      <c r="CF122" s="5"/>
      <c r="CH122" s="40"/>
      <c r="CI122" s="5"/>
      <c r="CK122" s="40"/>
      <c r="CL122" s="5"/>
      <c r="CN122" s="40"/>
      <c r="CO122" s="5"/>
      <c r="CQ122" s="40"/>
      <c r="CR122" s="5"/>
    </row>
    <row r="123">
      <c r="AO123" s="40"/>
      <c r="AP123" s="5"/>
      <c r="AR123" s="40"/>
      <c r="AS123" s="5"/>
      <c r="AU123" s="40"/>
      <c r="AV123" s="5"/>
      <c r="AX123" s="40"/>
      <c r="AY123" s="5"/>
      <c r="BA123" s="40"/>
      <c r="BB123" s="5"/>
      <c r="BD123" s="40"/>
      <c r="BE123" s="5"/>
      <c r="BG123" s="40"/>
      <c r="BH123" s="5"/>
      <c r="BJ123" s="40"/>
      <c r="BK123" s="5"/>
      <c r="BM123" s="40"/>
      <c r="BN123" s="5"/>
      <c r="BP123" s="40"/>
      <c r="BQ123" s="5"/>
      <c r="BS123" s="40"/>
      <c r="BT123" s="5"/>
      <c r="BV123" s="40"/>
      <c r="BW123" s="5"/>
      <c r="BY123" s="40"/>
      <c r="BZ123" s="5"/>
      <c r="CB123" s="40"/>
      <c r="CC123" s="5"/>
      <c r="CE123" s="40"/>
      <c r="CF123" s="5"/>
      <c r="CH123" s="40"/>
      <c r="CI123" s="5"/>
      <c r="CK123" s="40"/>
      <c r="CL123" s="5"/>
      <c r="CN123" s="40"/>
      <c r="CO123" s="5"/>
      <c r="CQ123" s="40"/>
      <c r="CR123" s="5"/>
    </row>
    <row r="124">
      <c r="AO124" s="40"/>
      <c r="AP124" s="5"/>
      <c r="AR124" s="40"/>
      <c r="AS124" s="5"/>
      <c r="AU124" s="40"/>
      <c r="AV124" s="5"/>
      <c r="AX124" s="40"/>
      <c r="AY124" s="5"/>
      <c r="BA124" s="40"/>
      <c r="BB124" s="5"/>
      <c r="BD124" s="40"/>
      <c r="BE124" s="5"/>
      <c r="BG124" s="40"/>
      <c r="BH124" s="5"/>
      <c r="BJ124" s="40"/>
      <c r="BK124" s="5"/>
      <c r="BM124" s="40"/>
      <c r="BN124" s="5"/>
      <c r="BP124" s="40"/>
      <c r="BQ124" s="5"/>
      <c r="BS124" s="40"/>
      <c r="BT124" s="5"/>
      <c r="BV124" s="40"/>
      <c r="BW124" s="5"/>
      <c r="BY124" s="40"/>
      <c r="BZ124" s="5"/>
      <c r="CB124" s="40"/>
      <c r="CC124" s="5"/>
      <c r="CE124" s="40"/>
      <c r="CF124" s="5"/>
      <c r="CH124" s="40"/>
      <c r="CI124" s="5"/>
      <c r="CK124" s="40"/>
      <c r="CL124" s="5"/>
      <c r="CN124" s="40"/>
      <c r="CO124" s="5"/>
      <c r="CQ124" s="40"/>
      <c r="CR124" s="5"/>
    </row>
    <row r="125">
      <c r="AO125" s="40"/>
      <c r="AP125" s="5"/>
      <c r="AR125" s="40"/>
      <c r="AS125" s="5"/>
      <c r="AU125" s="40"/>
      <c r="AV125" s="5"/>
      <c r="AX125" s="40"/>
      <c r="AY125" s="5"/>
      <c r="BA125" s="40"/>
      <c r="BB125" s="5"/>
      <c r="BD125" s="40"/>
      <c r="BE125" s="5"/>
      <c r="BG125" s="40"/>
      <c r="BH125" s="5"/>
      <c r="BJ125" s="40"/>
      <c r="BK125" s="5"/>
      <c r="BM125" s="40"/>
      <c r="BN125" s="5"/>
      <c r="BP125" s="40"/>
      <c r="BQ125" s="5"/>
      <c r="BS125" s="40"/>
      <c r="BT125" s="5"/>
      <c r="BV125" s="40"/>
      <c r="BW125" s="5"/>
      <c r="BY125" s="40"/>
      <c r="BZ125" s="5"/>
      <c r="CB125" s="40"/>
      <c r="CC125" s="5"/>
      <c r="CE125" s="40"/>
      <c r="CF125" s="5"/>
      <c r="CH125" s="40"/>
      <c r="CI125" s="5"/>
      <c r="CK125" s="40"/>
      <c r="CL125" s="5"/>
      <c r="CN125" s="40"/>
      <c r="CO125" s="5"/>
      <c r="CQ125" s="40"/>
      <c r="CR125" s="5"/>
    </row>
    <row r="126">
      <c r="AO126" s="40"/>
      <c r="AP126" s="5"/>
      <c r="AR126" s="40"/>
      <c r="AS126" s="5"/>
      <c r="AU126" s="40"/>
      <c r="AV126" s="5"/>
      <c r="AX126" s="40"/>
      <c r="AY126" s="5"/>
      <c r="BA126" s="40"/>
      <c r="BB126" s="5"/>
      <c r="BD126" s="40"/>
      <c r="BE126" s="5"/>
      <c r="BG126" s="40"/>
      <c r="BH126" s="5"/>
      <c r="BJ126" s="40"/>
      <c r="BK126" s="5"/>
      <c r="BM126" s="40"/>
      <c r="BN126" s="5"/>
      <c r="BP126" s="40"/>
      <c r="BQ126" s="5"/>
      <c r="BS126" s="40"/>
      <c r="BT126" s="5"/>
      <c r="BV126" s="40"/>
      <c r="BW126" s="5"/>
      <c r="BY126" s="40"/>
      <c r="BZ126" s="5"/>
      <c r="CB126" s="40"/>
      <c r="CC126" s="5"/>
      <c r="CE126" s="40"/>
      <c r="CF126" s="5"/>
      <c r="CH126" s="40"/>
      <c r="CI126" s="5"/>
      <c r="CK126" s="40"/>
      <c r="CL126" s="5"/>
      <c r="CN126" s="40"/>
      <c r="CO126" s="5"/>
      <c r="CQ126" s="40"/>
      <c r="CR126" s="5"/>
    </row>
    <row r="127">
      <c r="AO127" s="40"/>
      <c r="AP127" s="5"/>
      <c r="AR127" s="40"/>
      <c r="AS127" s="5"/>
      <c r="AU127" s="40"/>
      <c r="AV127" s="5"/>
      <c r="AX127" s="40"/>
      <c r="AY127" s="5"/>
      <c r="BA127" s="40"/>
      <c r="BB127" s="5"/>
      <c r="BD127" s="40"/>
      <c r="BE127" s="5"/>
      <c r="BG127" s="40"/>
      <c r="BH127" s="5"/>
      <c r="BJ127" s="40"/>
      <c r="BK127" s="5"/>
      <c r="BM127" s="40"/>
      <c r="BN127" s="5"/>
      <c r="BP127" s="40"/>
      <c r="BQ127" s="5"/>
      <c r="BS127" s="40"/>
      <c r="BT127" s="5"/>
      <c r="BV127" s="40"/>
      <c r="BW127" s="5"/>
      <c r="BY127" s="40"/>
      <c r="BZ127" s="5"/>
      <c r="CB127" s="40"/>
      <c r="CC127" s="5"/>
      <c r="CE127" s="40"/>
      <c r="CF127" s="5"/>
      <c r="CH127" s="40"/>
      <c r="CI127" s="5"/>
      <c r="CK127" s="40"/>
      <c r="CL127" s="5"/>
      <c r="CN127" s="40"/>
      <c r="CO127" s="5"/>
      <c r="CQ127" s="40"/>
      <c r="CR127" s="5"/>
    </row>
    <row r="128">
      <c r="AO128" s="40"/>
      <c r="AP128" s="5"/>
      <c r="AR128" s="40"/>
      <c r="AS128" s="5"/>
      <c r="AU128" s="40"/>
      <c r="AV128" s="5"/>
      <c r="AX128" s="40"/>
      <c r="AY128" s="5"/>
      <c r="BA128" s="40"/>
      <c r="BB128" s="5"/>
      <c r="BD128" s="40"/>
      <c r="BE128" s="5"/>
      <c r="BG128" s="40"/>
      <c r="BH128" s="5"/>
      <c r="BJ128" s="40"/>
      <c r="BK128" s="5"/>
      <c r="BM128" s="40"/>
      <c r="BN128" s="5"/>
      <c r="BP128" s="40"/>
      <c r="BQ128" s="5"/>
      <c r="BS128" s="40"/>
      <c r="BT128" s="5"/>
      <c r="BV128" s="40"/>
      <c r="BW128" s="5"/>
      <c r="BY128" s="40"/>
      <c r="BZ128" s="5"/>
      <c r="CB128" s="40"/>
      <c r="CC128" s="5"/>
      <c r="CE128" s="40"/>
      <c r="CF128" s="5"/>
      <c r="CH128" s="40"/>
      <c r="CI128" s="5"/>
      <c r="CK128" s="40"/>
      <c r="CL128" s="5"/>
      <c r="CN128" s="40"/>
      <c r="CO128" s="5"/>
      <c r="CQ128" s="40"/>
      <c r="CR128" s="5"/>
    </row>
    <row r="129">
      <c r="AO129" s="40"/>
      <c r="AP129" s="5"/>
      <c r="AR129" s="40"/>
      <c r="AS129" s="5"/>
      <c r="AU129" s="40"/>
      <c r="AV129" s="5"/>
      <c r="AX129" s="40"/>
      <c r="AY129" s="5"/>
      <c r="BA129" s="40"/>
      <c r="BB129" s="5"/>
      <c r="BD129" s="40"/>
      <c r="BE129" s="5"/>
      <c r="BG129" s="40"/>
      <c r="BH129" s="5"/>
      <c r="BJ129" s="40"/>
      <c r="BK129" s="5"/>
      <c r="BM129" s="40"/>
      <c r="BN129" s="5"/>
      <c r="BP129" s="40"/>
      <c r="BQ129" s="5"/>
      <c r="BS129" s="40"/>
      <c r="BT129" s="5"/>
      <c r="BV129" s="40"/>
      <c r="BW129" s="5"/>
      <c r="BY129" s="40"/>
      <c r="BZ129" s="5"/>
      <c r="CB129" s="40"/>
      <c r="CC129" s="5"/>
      <c r="CE129" s="40"/>
      <c r="CF129" s="5"/>
      <c r="CH129" s="40"/>
      <c r="CI129" s="5"/>
      <c r="CK129" s="40"/>
      <c r="CL129" s="5"/>
      <c r="CN129" s="40"/>
      <c r="CO129" s="5"/>
      <c r="CQ129" s="40"/>
      <c r="CR129" s="5"/>
    </row>
    <row r="130">
      <c r="AO130" s="40"/>
      <c r="AP130" s="5"/>
      <c r="AR130" s="40"/>
      <c r="AS130" s="5"/>
      <c r="AU130" s="40"/>
      <c r="AV130" s="5"/>
      <c r="AX130" s="40"/>
      <c r="AY130" s="5"/>
      <c r="BA130" s="40"/>
      <c r="BB130" s="5"/>
      <c r="BD130" s="40"/>
      <c r="BE130" s="5"/>
      <c r="BG130" s="40"/>
      <c r="BH130" s="5"/>
      <c r="BJ130" s="40"/>
      <c r="BK130" s="5"/>
      <c r="BM130" s="40"/>
      <c r="BN130" s="5"/>
      <c r="BP130" s="40"/>
      <c r="BQ130" s="5"/>
      <c r="BS130" s="40"/>
      <c r="BT130" s="5"/>
      <c r="BV130" s="40"/>
      <c r="BW130" s="5"/>
      <c r="BY130" s="40"/>
      <c r="BZ130" s="5"/>
      <c r="CB130" s="40"/>
      <c r="CC130" s="5"/>
      <c r="CE130" s="40"/>
      <c r="CF130" s="5"/>
      <c r="CH130" s="40"/>
      <c r="CI130" s="5"/>
      <c r="CK130" s="40"/>
      <c r="CL130" s="5"/>
      <c r="CN130" s="40"/>
      <c r="CO130" s="5"/>
      <c r="CQ130" s="40"/>
      <c r="CR130" s="5"/>
    </row>
    <row r="131">
      <c r="AO131" s="40"/>
      <c r="AP131" s="5"/>
      <c r="AR131" s="40"/>
      <c r="AS131" s="5"/>
      <c r="AU131" s="40"/>
      <c r="AV131" s="5"/>
      <c r="AX131" s="40"/>
      <c r="AY131" s="5"/>
      <c r="BA131" s="40"/>
      <c r="BB131" s="5"/>
      <c r="BD131" s="40"/>
      <c r="BE131" s="5"/>
      <c r="BG131" s="40"/>
      <c r="BH131" s="5"/>
      <c r="BJ131" s="40"/>
      <c r="BK131" s="5"/>
      <c r="BM131" s="40"/>
      <c r="BN131" s="5"/>
      <c r="BP131" s="40"/>
      <c r="BQ131" s="5"/>
      <c r="BS131" s="40"/>
      <c r="BT131" s="5"/>
      <c r="BV131" s="40"/>
      <c r="BW131" s="5"/>
      <c r="BY131" s="40"/>
      <c r="BZ131" s="5"/>
      <c r="CB131" s="40"/>
      <c r="CC131" s="5"/>
      <c r="CE131" s="40"/>
      <c r="CF131" s="5"/>
      <c r="CH131" s="40"/>
      <c r="CI131" s="5"/>
      <c r="CK131" s="40"/>
      <c r="CL131" s="5"/>
      <c r="CN131" s="40"/>
      <c r="CO131" s="5"/>
      <c r="CQ131" s="40"/>
      <c r="CR131" s="5"/>
    </row>
    <row r="132">
      <c r="AO132" s="40"/>
      <c r="AP132" s="5"/>
      <c r="AR132" s="40"/>
      <c r="AS132" s="5"/>
      <c r="AU132" s="40"/>
      <c r="AV132" s="5"/>
      <c r="AX132" s="40"/>
      <c r="AY132" s="5"/>
      <c r="BA132" s="40"/>
      <c r="BB132" s="5"/>
      <c r="BD132" s="40"/>
      <c r="BE132" s="5"/>
      <c r="BG132" s="40"/>
      <c r="BH132" s="5"/>
      <c r="BJ132" s="40"/>
      <c r="BK132" s="5"/>
      <c r="BM132" s="40"/>
      <c r="BN132" s="5"/>
      <c r="BP132" s="40"/>
      <c r="BQ132" s="5"/>
      <c r="BS132" s="40"/>
      <c r="BT132" s="5"/>
      <c r="BV132" s="40"/>
      <c r="BW132" s="5"/>
      <c r="BY132" s="40"/>
      <c r="BZ132" s="5"/>
      <c r="CB132" s="40"/>
      <c r="CC132" s="5"/>
      <c r="CE132" s="40"/>
      <c r="CF132" s="5"/>
      <c r="CH132" s="40"/>
      <c r="CI132" s="5"/>
      <c r="CK132" s="40"/>
      <c r="CL132" s="5"/>
      <c r="CN132" s="40"/>
      <c r="CO132" s="5"/>
      <c r="CQ132" s="40"/>
      <c r="CR132" s="5"/>
    </row>
    <row r="133">
      <c r="AO133" s="40"/>
      <c r="AP133" s="5"/>
      <c r="AR133" s="40"/>
      <c r="AS133" s="5"/>
      <c r="AU133" s="40"/>
      <c r="AV133" s="5"/>
      <c r="AX133" s="40"/>
      <c r="AY133" s="5"/>
      <c r="BA133" s="40"/>
      <c r="BB133" s="5"/>
      <c r="BD133" s="40"/>
      <c r="BE133" s="5"/>
      <c r="BG133" s="40"/>
      <c r="BH133" s="5"/>
      <c r="BJ133" s="40"/>
      <c r="BK133" s="5"/>
      <c r="BM133" s="40"/>
      <c r="BN133" s="5"/>
      <c r="BP133" s="40"/>
      <c r="BQ133" s="5"/>
      <c r="BS133" s="40"/>
      <c r="BT133" s="5"/>
      <c r="BV133" s="40"/>
      <c r="BW133" s="5"/>
      <c r="BY133" s="40"/>
      <c r="BZ133" s="5"/>
      <c r="CB133" s="40"/>
      <c r="CC133" s="5"/>
      <c r="CE133" s="40"/>
      <c r="CF133" s="5"/>
      <c r="CH133" s="40"/>
      <c r="CI133" s="5"/>
      <c r="CK133" s="40"/>
      <c r="CL133" s="5"/>
      <c r="CN133" s="40"/>
      <c r="CO133" s="5"/>
      <c r="CQ133" s="40"/>
      <c r="CR133" s="5"/>
    </row>
    <row r="134">
      <c r="AO134" s="40"/>
      <c r="AP134" s="5"/>
      <c r="AR134" s="40"/>
      <c r="AS134" s="5"/>
      <c r="AU134" s="40"/>
      <c r="AV134" s="5"/>
      <c r="AX134" s="40"/>
      <c r="AY134" s="5"/>
      <c r="BA134" s="40"/>
      <c r="BB134" s="5"/>
      <c r="BD134" s="40"/>
      <c r="BE134" s="5"/>
      <c r="BG134" s="40"/>
      <c r="BH134" s="5"/>
      <c r="BJ134" s="40"/>
      <c r="BK134" s="5"/>
      <c r="BM134" s="40"/>
      <c r="BN134" s="5"/>
      <c r="BP134" s="40"/>
      <c r="BQ134" s="5"/>
      <c r="BS134" s="40"/>
      <c r="BT134" s="5"/>
      <c r="BV134" s="40"/>
      <c r="BW134" s="5"/>
      <c r="BY134" s="40"/>
      <c r="BZ134" s="5"/>
      <c r="CB134" s="40"/>
      <c r="CC134" s="5"/>
      <c r="CE134" s="40"/>
      <c r="CF134" s="5"/>
      <c r="CH134" s="40"/>
      <c r="CI134" s="5"/>
      <c r="CK134" s="40"/>
      <c r="CL134" s="5"/>
      <c r="CN134" s="40"/>
      <c r="CO134" s="5"/>
      <c r="CQ134" s="40"/>
      <c r="CR134" s="5"/>
    </row>
    <row r="135">
      <c r="AO135" s="40"/>
      <c r="AP135" s="5"/>
      <c r="AR135" s="40"/>
      <c r="AS135" s="5"/>
      <c r="AU135" s="40"/>
      <c r="AV135" s="5"/>
      <c r="AX135" s="40"/>
      <c r="AY135" s="5"/>
      <c r="BA135" s="40"/>
      <c r="BB135" s="5"/>
      <c r="BD135" s="40"/>
      <c r="BE135" s="5"/>
      <c r="BG135" s="40"/>
      <c r="BH135" s="5"/>
      <c r="BJ135" s="40"/>
      <c r="BK135" s="5"/>
      <c r="BM135" s="40"/>
      <c r="BN135" s="5"/>
      <c r="BP135" s="40"/>
      <c r="BQ135" s="5"/>
      <c r="BS135" s="40"/>
      <c r="BT135" s="5"/>
      <c r="BV135" s="40"/>
      <c r="BW135" s="5"/>
      <c r="BY135" s="40"/>
      <c r="BZ135" s="5"/>
      <c r="CB135" s="40"/>
      <c r="CC135" s="5"/>
      <c r="CE135" s="40"/>
      <c r="CF135" s="5"/>
      <c r="CH135" s="40"/>
      <c r="CI135" s="5"/>
      <c r="CK135" s="40"/>
      <c r="CL135" s="5"/>
      <c r="CN135" s="40"/>
      <c r="CO135" s="5"/>
      <c r="CQ135" s="40"/>
      <c r="CR135" s="5"/>
    </row>
    <row r="136">
      <c r="AO136" s="40"/>
      <c r="AP136" s="5"/>
      <c r="AR136" s="40"/>
      <c r="AS136" s="5"/>
      <c r="AU136" s="40"/>
      <c r="AV136" s="5"/>
      <c r="AX136" s="40"/>
      <c r="AY136" s="5"/>
      <c r="BA136" s="40"/>
      <c r="BB136" s="5"/>
      <c r="BD136" s="40"/>
      <c r="BE136" s="5"/>
      <c r="BG136" s="40"/>
      <c r="BH136" s="5"/>
      <c r="BJ136" s="40"/>
      <c r="BK136" s="5"/>
      <c r="BM136" s="40"/>
      <c r="BN136" s="5"/>
      <c r="BP136" s="40"/>
      <c r="BQ136" s="5"/>
      <c r="BS136" s="40"/>
      <c r="BT136" s="5"/>
      <c r="BV136" s="40"/>
      <c r="BW136" s="5"/>
      <c r="BY136" s="40"/>
      <c r="BZ136" s="5"/>
      <c r="CB136" s="40"/>
      <c r="CC136" s="5"/>
      <c r="CE136" s="40"/>
      <c r="CF136" s="5"/>
      <c r="CH136" s="40"/>
      <c r="CI136" s="5"/>
      <c r="CK136" s="40"/>
      <c r="CL136" s="5"/>
      <c r="CN136" s="40"/>
      <c r="CO136" s="5"/>
      <c r="CQ136" s="40"/>
      <c r="CR136" s="5"/>
    </row>
    <row r="137">
      <c r="AO137" s="40"/>
      <c r="AP137" s="5"/>
      <c r="AR137" s="40"/>
      <c r="AS137" s="5"/>
      <c r="AU137" s="40"/>
      <c r="AV137" s="5"/>
      <c r="AX137" s="40"/>
      <c r="AY137" s="5"/>
      <c r="BA137" s="40"/>
      <c r="BB137" s="5"/>
      <c r="BD137" s="40"/>
      <c r="BE137" s="5"/>
      <c r="BG137" s="40"/>
      <c r="BH137" s="5"/>
      <c r="BJ137" s="40"/>
      <c r="BK137" s="5"/>
      <c r="BM137" s="40"/>
      <c r="BN137" s="5"/>
      <c r="BP137" s="40"/>
      <c r="BQ137" s="5"/>
      <c r="BS137" s="40"/>
      <c r="BT137" s="5"/>
      <c r="BV137" s="40"/>
      <c r="BW137" s="5"/>
      <c r="BY137" s="40"/>
      <c r="BZ137" s="5"/>
      <c r="CB137" s="40"/>
      <c r="CC137" s="5"/>
      <c r="CE137" s="40"/>
      <c r="CF137" s="5"/>
      <c r="CH137" s="40"/>
      <c r="CI137" s="5"/>
      <c r="CK137" s="40"/>
      <c r="CL137" s="5"/>
      <c r="CN137" s="40"/>
      <c r="CO137" s="5"/>
      <c r="CQ137" s="40"/>
      <c r="CR137" s="5"/>
    </row>
    <row r="138">
      <c r="AO138" s="40"/>
      <c r="AP138" s="5"/>
      <c r="AR138" s="40"/>
      <c r="AS138" s="5"/>
      <c r="AU138" s="40"/>
      <c r="AV138" s="5"/>
      <c r="AX138" s="40"/>
      <c r="AY138" s="5"/>
      <c r="BA138" s="40"/>
      <c r="BB138" s="5"/>
      <c r="BD138" s="40"/>
      <c r="BE138" s="5"/>
      <c r="BG138" s="40"/>
      <c r="BH138" s="5"/>
      <c r="BJ138" s="40"/>
      <c r="BK138" s="5"/>
      <c r="BM138" s="40"/>
      <c r="BN138" s="5"/>
      <c r="BP138" s="40"/>
      <c r="BQ138" s="5"/>
      <c r="BS138" s="40"/>
      <c r="BT138" s="5"/>
      <c r="BV138" s="40"/>
      <c r="BW138" s="5"/>
      <c r="BY138" s="40"/>
      <c r="BZ138" s="5"/>
      <c r="CB138" s="40"/>
      <c r="CC138" s="5"/>
      <c r="CE138" s="40"/>
      <c r="CF138" s="5"/>
      <c r="CH138" s="40"/>
      <c r="CI138" s="5"/>
      <c r="CK138" s="40"/>
      <c r="CL138" s="5"/>
      <c r="CN138" s="40"/>
      <c r="CO138" s="5"/>
      <c r="CQ138" s="40"/>
      <c r="CR138" s="5"/>
    </row>
    <row r="139">
      <c r="AO139" s="40"/>
      <c r="AP139" s="5"/>
      <c r="AR139" s="40"/>
      <c r="AS139" s="5"/>
      <c r="AU139" s="40"/>
      <c r="AV139" s="5"/>
      <c r="AX139" s="40"/>
      <c r="AY139" s="5"/>
      <c r="BA139" s="40"/>
      <c r="BB139" s="5"/>
      <c r="BD139" s="40"/>
      <c r="BE139" s="5"/>
      <c r="BG139" s="40"/>
      <c r="BH139" s="5"/>
      <c r="BJ139" s="40"/>
      <c r="BK139" s="5"/>
      <c r="BM139" s="40"/>
      <c r="BN139" s="5"/>
      <c r="BP139" s="40"/>
      <c r="BQ139" s="5"/>
      <c r="BS139" s="40"/>
      <c r="BT139" s="5"/>
      <c r="BV139" s="40"/>
      <c r="BW139" s="5"/>
      <c r="BY139" s="40"/>
      <c r="BZ139" s="5"/>
      <c r="CB139" s="40"/>
      <c r="CC139" s="5"/>
      <c r="CE139" s="40"/>
      <c r="CF139" s="5"/>
      <c r="CH139" s="40"/>
      <c r="CI139" s="5"/>
      <c r="CK139" s="40"/>
      <c r="CL139" s="5"/>
      <c r="CN139" s="40"/>
      <c r="CO139" s="5"/>
      <c r="CQ139" s="40"/>
      <c r="CR139" s="5"/>
    </row>
    <row r="140">
      <c r="AO140" s="40"/>
      <c r="AP140" s="5"/>
      <c r="AR140" s="40"/>
      <c r="AS140" s="5"/>
      <c r="AU140" s="40"/>
      <c r="AV140" s="5"/>
      <c r="AX140" s="40"/>
      <c r="AY140" s="5"/>
      <c r="BA140" s="40"/>
      <c r="BB140" s="5"/>
      <c r="BD140" s="40"/>
      <c r="BE140" s="5"/>
      <c r="BG140" s="40"/>
      <c r="BH140" s="5"/>
      <c r="BJ140" s="40"/>
      <c r="BK140" s="5"/>
      <c r="BM140" s="40"/>
      <c r="BN140" s="5"/>
      <c r="BP140" s="40"/>
      <c r="BQ140" s="5"/>
      <c r="BS140" s="40"/>
      <c r="BT140" s="5"/>
      <c r="BV140" s="40"/>
      <c r="BW140" s="5"/>
      <c r="BY140" s="40"/>
      <c r="BZ140" s="5"/>
      <c r="CB140" s="40"/>
      <c r="CC140" s="5"/>
      <c r="CE140" s="40"/>
      <c r="CF140" s="5"/>
      <c r="CH140" s="40"/>
      <c r="CI140" s="5"/>
      <c r="CK140" s="40"/>
      <c r="CL140" s="5"/>
      <c r="CN140" s="40"/>
      <c r="CO140" s="5"/>
      <c r="CQ140" s="40"/>
      <c r="CR140" s="5"/>
    </row>
    <row r="141">
      <c r="AO141" s="40"/>
      <c r="AP141" s="5"/>
      <c r="AR141" s="40"/>
      <c r="AS141" s="5"/>
      <c r="AU141" s="40"/>
      <c r="AV141" s="5"/>
      <c r="AX141" s="40"/>
      <c r="AY141" s="5"/>
      <c r="BA141" s="40"/>
      <c r="BB141" s="5"/>
      <c r="BD141" s="40"/>
      <c r="BE141" s="5"/>
      <c r="BG141" s="40"/>
      <c r="BH141" s="5"/>
      <c r="BJ141" s="40"/>
      <c r="BK141" s="5"/>
      <c r="BM141" s="40"/>
      <c r="BN141" s="5"/>
      <c r="BP141" s="40"/>
      <c r="BQ141" s="5"/>
      <c r="BS141" s="40"/>
      <c r="BT141" s="5"/>
      <c r="BV141" s="40"/>
      <c r="BW141" s="5"/>
      <c r="BY141" s="40"/>
      <c r="BZ141" s="5"/>
      <c r="CB141" s="40"/>
      <c r="CC141" s="5"/>
      <c r="CE141" s="40"/>
      <c r="CF141" s="5"/>
      <c r="CH141" s="40"/>
      <c r="CI141" s="5"/>
      <c r="CK141" s="40"/>
      <c r="CL141" s="5"/>
      <c r="CN141" s="40"/>
      <c r="CO141" s="5"/>
      <c r="CQ141" s="40"/>
      <c r="CR141" s="5"/>
    </row>
    <row r="142">
      <c r="AO142" s="40"/>
      <c r="AP142" s="5"/>
      <c r="AR142" s="40"/>
      <c r="AS142" s="5"/>
      <c r="AU142" s="40"/>
      <c r="AV142" s="5"/>
      <c r="AX142" s="40"/>
      <c r="AY142" s="5"/>
      <c r="BA142" s="40"/>
      <c r="BB142" s="5"/>
      <c r="BD142" s="40"/>
      <c r="BE142" s="5"/>
      <c r="BG142" s="40"/>
      <c r="BH142" s="5"/>
      <c r="BJ142" s="40"/>
      <c r="BK142" s="5"/>
      <c r="BM142" s="40"/>
      <c r="BN142" s="5"/>
      <c r="BP142" s="40"/>
      <c r="BQ142" s="5"/>
      <c r="BS142" s="40"/>
      <c r="BT142" s="5"/>
      <c r="BV142" s="40"/>
      <c r="BW142" s="5"/>
      <c r="BY142" s="40"/>
      <c r="BZ142" s="5"/>
      <c r="CB142" s="40"/>
      <c r="CC142" s="5"/>
      <c r="CE142" s="40"/>
      <c r="CF142" s="5"/>
      <c r="CH142" s="40"/>
      <c r="CI142" s="5"/>
      <c r="CK142" s="40"/>
      <c r="CL142" s="5"/>
      <c r="CN142" s="40"/>
      <c r="CO142" s="5"/>
      <c r="CQ142" s="40"/>
      <c r="CR142" s="5"/>
    </row>
    <row r="143">
      <c r="AO143" s="40"/>
      <c r="AP143" s="5"/>
      <c r="AR143" s="40"/>
      <c r="AS143" s="5"/>
      <c r="AU143" s="40"/>
      <c r="AV143" s="5"/>
      <c r="AX143" s="40"/>
      <c r="AY143" s="5"/>
      <c r="BA143" s="40"/>
      <c r="BB143" s="5"/>
      <c r="BD143" s="40"/>
      <c r="BE143" s="5"/>
      <c r="BG143" s="40"/>
      <c r="BH143" s="5"/>
      <c r="BJ143" s="40"/>
      <c r="BK143" s="5"/>
      <c r="BM143" s="40"/>
      <c r="BN143" s="5"/>
      <c r="BP143" s="40"/>
      <c r="BQ143" s="5"/>
      <c r="BS143" s="40"/>
      <c r="BT143" s="5"/>
      <c r="BV143" s="40"/>
      <c r="BW143" s="5"/>
      <c r="BY143" s="40"/>
      <c r="BZ143" s="5"/>
      <c r="CB143" s="40"/>
      <c r="CC143" s="5"/>
      <c r="CE143" s="40"/>
      <c r="CF143" s="5"/>
      <c r="CH143" s="40"/>
      <c r="CI143" s="5"/>
      <c r="CK143" s="40"/>
      <c r="CL143" s="5"/>
      <c r="CN143" s="40"/>
      <c r="CO143" s="5"/>
      <c r="CQ143" s="40"/>
      <c r="CR143" s="5"/>
    </row>
    <row r="144">
      <c r="AO144" s="40"/>
      <c r="AP144" s="5"/>
      <c r="AR144" s="40"/>
      <c r="AS144" s="5"/>
      <c r="AU144" s="40"/>
      <c r="AV144" s="5"/>
      <c r="AX144" s="40"/>
      <c r="AY144" s="5"/>
      <c r="BA144" s="40"/>
      <c r="BB144" s="5"/>
      <c r="BD144" s="40"/>
      <c r="BE144" s="5"/>
      <c r="BG144" s="40"/>
      <c r="BH144" s="5"/>
      <c r="BJ144" s="40"/>
      <c r="BK144" s="5"/>
      <c r="BM144" s="40"/>
      <c r="BN144" s="5"/>
      <c r="BP144" s="40"/>
      <c r="BQ144" s="5"/>
      <c r="BS144" s="40"/>
      <c r="BT144" s="5"/>
      <c r="BV144" s="40"/>
      <c r="BW144" s="5"/>
      <c r="BY144" s="40"/>
      <c r="BZ144" s="5"/>
      <c r="CB144" s="40"/>
      <c r="CC144" s="5"/>
      <c r="CE144" s="40"/>
      <c r="CF144" s="5"/>
      <c r="CH144" s="40"/>
      <c r="CI144" s="5"/>
      <c r="CK144" s="40"/>
      <c r="CL144" s="5"/>
      <c r="CN144" s="40"/>
      <c r="CO144" s="5"/>
      <c r="CQ144" s="40"/>
      <c r="CR144" s="5"/>
    </row>
    <row r="145">
      <c r="AO145" s="40"/>
      <c r="AP145" s="5"/>
      <c r="AR145" s="40"/>
      <c r="AS145" s="5"/>
      <c r="AU145" s="40"/>
      <c r="AV145" s="5"/>
      <c r="AX145" s="40"/>
      <c r="AY145" s="5"/>
      <c r="BA145" s="40"/>
      <c r="BB145" s="5"/>
      <c r="BD145" s="40"/>
      <c r="BE145" s="5"/>
      <c r="BG145" s="40"/>
      <c r="BH145" s="5"/>
      <c r="BJ145" s="40"/>
      <c r="BK145" s="5"/>
      <c r="BM145" s="40"/>
      <c r="BN145" s="5"/>
      <c r="BP145" s="40"/>
      <c r="BQ145" s="5"/>
      <c r="BS145" s="40"/>
      <c r="BT145" s="5"/>
      <c r="BV145" s="40"/>
      <c r="BW145" s="5"/>
      <c r="BY145" s="40"/>
      <c r="BZ145" s="5"/>
      <c r="CB145" s="40"/>
      <c r="CC145" s="5"/>
      <c r="CE145" s="40"/>
      <c r="CF145" s="5"/>
      <c r="CH145" s="40"/>
      <c r="CI145" s="5"/>
      <c r="CK145" s="40"/>
      <c r="CL145" s="5"/>
      <c r="CN145" s="40"/>
      <c r="CO145" s="5"/>
      <c r="CQ145" s="40"/>
      <c r="CR145" s="5"/>
    </row>
    <row r="146">
      <c r="AO146" s="40"/>
      <c r="AP146" s="5"/>
      <c r="AR146" s="40"/>
      <c r="AS146" s="5"/>
      <c r="AU146" s="40"/>
      <c r="AV146" s="5"/>
      <c r="AX146" s="40"/>
      <c r="AY146" s="5"/>
      <c r="BA146" s="40"/>
      <c r="BB146" s="5"/>
      <c r="BD146" s="40"/>
      <c r="BE146" s="5"/>
      <c r="BG146" s="40"/>
      <c r="BH146" s="5"/>
      <c r="BJ146" s="40"/>
      <c r="BK146" s="5"/>
      <c r="BM146" s="40"/>
      <c r="BN146" s="5"/>
      <c r="BP146" s="40"/>
      <c r="BQ146" s="5"/>
      <c r="BS146" s="40"/>
      <c r="BT146" s="5"/>
      <c r="BV146" s="40"/>
      <c r="BW146" s="5"/>
      <c r="BY146" s="40"/>
      <c r="BZ146" s="5"/>
      <c r="CB146" s="40"/>
      <c r="CC146" s="5"/>
      <c r="CE146" s="40"/>
      <c r="CF146" s="5"/>
      <c r="CH146" s="40"/>
      <c r="CI146" s="5"/>
      <c r="CK146" s="40"/>
      <c r="CL146" s="5"/>
      <c r="CN146" s="40"/>
      <c r="CO146" s="5"/>
      <c r="CQ146" s="40"/>
      <c r="CR146" s="5"/>
    </row>
    <row r="147">
      <c r="AO147" s="40"/>
      <c r="AP147" s="5"/>
      <c r="AR147" s="40"/>
      <c r="AS147" s="5"/>
      <c r="AU147" s="40"/>
      <c r="AV147" s="5"/>
      <c r="AX147" s="40"/>
      <c r="AY147" s="5"/>
      <c r="BA147" s="40"/>
      <c r="BB147" s="5"/>
      <c r="BD147" s="40"/>
      <c r="BE147" s="5"/>
      <c r="BG147" s="40"/>
      <c r="BH147" s="5"/>
      <c r="BJ147" s="40"/>
      <c r="BK147" s="5"/>
      <c r="BM147" s="40"/>
      <c r="BN147" s="5"/>
      <c r="BP147" s="40"/>
      <c r="BQ147" s="5"/>
      <c r="BS147" s="40"/>
      <c r="BT147" s="5"/>
      <c r="BV147" s="40"/>
      <c r="BW147" s="5"/>
      <c r="BY147" s="40"/>
      <c r="BZ147" s="5"/>
      <c r="CB147" s="40"/>
      <c r="CC147" s="5"/>
      <c r="CE147" s="40"/>
      <c r="CF147" s="5"/>
      <c r="CH147" s="40"/>
      <c r="CI147" s="5"/>
      <c r="CK147" s="40"/>
      <c r="CL147" s="5"/>
      <c r="CN147" s="40"/>
      <c r="CO147" s="5"/>
      <c r="CQ147" s="40"/>
      <c r="CR147" s="5"/>
    </row>
    <row r="148">
      <c r="AO148" s="40"/>
      <c r="AP148" s="5"/>
      <c r="AR148" s="40"/>
      <c r="AS148" s="5"/>
      <c r="AU148" s="40"/>
      <c r="AV148" s="5"/>
      <c r="AX148" s="40"/>
      <c r="AY148" s="5"/>
      <c r="BA148" s="40"/>
      <c r="BB148" s="5"/>
      <c r="BD148" s="40"/>
      <c r="BE148" s="5"/>
      <c r="BG148" s="40"/>
      <c r="BH148" s="5"/>
      <c r="BJ148" s="40"/>
      <c r="BK148" s="5"/>
      <c r="BM148" s="40"/>
      <c r="BN148" s="5"/>
      <c r="BP148" s="40"/>
      <c r="BQ148" s="5"/>
      <c r="BS148" s="40"/>
      <c r="BT148" s="5"/>
      <c r="BV148" s="40"/>
      <c r="BW148" s="5"/>
      <c r="BY148" s="40"/>
      <c r="BZ148" s="5"/>
      <c r="CB148" s="40"/>
      <c r="CC148" s="5"/>
      <c r="CE148" s="40"/>
      <c r="CF148" s="5"/>
      <c r="CH148" s="40"/>
      <c r="CI148" s="5"/>
      <c r="CK148" s="40"/>
      <c r="CL148" s="5"/>
      <c r="CN148" s="40"/>
      <c r="CO148" s="5"/>
      <c r="CQ148" s="40"/>
      <c r="CR148" s="5"/>
    </row>
    <row r="149">
      <c r="AO149" s="40"/>
      <c r="AP149" s="5"/>
      <c r="AR149" s="40"/>
      <c r="AS149" s="5"/>
      <c r="AU149" s="40"/>
      <c r="AV149" s="5"/>
      <c r="AX149" s="40"/>
      <c r="AY149" s="5"/>
      <c r="BA149" s="40"/>
      <c r="BB149" s="5"/>
      <c r="BD149" s="40"/>
      <c r="BE149" s="5"/>
      <c r="BG149" s="40"/>
      <c r="BH149" s="5"/>
      <c r="BJ149" s="40"/>
      <c r="BK149" s="5"/>
      <c r="BM149" s="40"/>
      <c r="BN149" s="5"/>
      <c r="BP149" s="40"/>
      <c r="BQ149" s="5"/>
      <c r="BS149" s="40"/>
      <c r="BT149" s="5"/>
      <c r="BV149" s="40"/>
      <c r="BW149" s="5"/>
      <c r="BY149" s="40"/>
      <c r="BZ149" s="5"/>
      <c r="CB149" s="40"/>
      <c r="CC149" s="5"/>
      <c r="CE149" s="40"/>
      <c r="CF149" s="5"/>
      <c r="CH149" s="40"/>
      <c r="CI149" s="5"/>
      <c r="CK149" s="40"/>
      <c r="CL149" s="5"/>
      <c r="CN149" s="40"/>
      <c r="CO149" s="5"/>
      <c r="CQ149" s="40"/>
      <c r="CR149" s="5"/>
    </row>
    <row r="150">
      <c r="AO150" s="40"/>
      <c r="AP150" s="5"/>
      <c r="AR150" s="40"/>
      <c r="AS150" s="5"/>
      <c r="AU150" s="40"/>
      <c r="AV150" s="5"/>
      <c r="AX150" s="40"/>
      <c r="AY150" s="5"/>
      <c r="BA150" s="40"/>
      <c r="BB150" s="5"/>
      <c r="BD150" s="40"/>
      <c r="BE150" s="5"/>
      <c r="BG150" s="40"/>
      <c r="BH150" s="5"/>
      <c r="BJ150" s="40"/>
      <c r="BK150" s="5"/>
      <c r="BM150" s="40"/>
      <c r="BN150" s="5"/>
      <c r="BP150" s="40"/>
      <c r="BQ150" s="5"/>
      <c r="BS150" s="40"/>
      <c r="BT150" s="5"/>
      <c r="BV150" s="40"/>
      <c r="BW150" s="5"/>
      <c r="BY150" s="40"/>
      <c r="BZ150" s="5"/>
      <c r="CB150" s="40"/>
      <c r="CC150" s="5"/>
      <c r="CE150" s="40"/>
      <c r="CF150" s="5"/>
      <c r="CH150" s="40"/>
      <c r="CI150" s="5"/>
      <c r="CK150" s="40"/>
      <c r="CL150" s="5"/>
      <c r="CN150" s="40"/>
      <c r="CO150" s="5"/>
      <c r="CQ150" s="40"/>
      <c r="CR150" s="5"/>
    </row>
    <row r="151">
      <c r="AO151" s="40"/>
      <c r="AP151" s="5"/>
      <c r="AR151" s="40"/>
      <c r="AS151" s="5"/>
      <c r="AU151" s="40"/>
      <c r="AV151" s="5"/>
      <c r="AX151" s="40"/>
      <c r="AY151" s="5"/>
      <c r="BA151" s="40"/>
      <c r="BB151" s="5"/>
      <c r="BD151" s="40"/>
      <c r="BE151" s="5"/>
      <c r="BG151" s="40"/>
      <c r="BH151" s="5"/>
      <c r="BJ151" s="40"/>
      <c r="BK151" s="5"/>
      <c r="BM151" s="40"/>
      <c r="BN151" s="5"/>
      <c r="BP151" s="40"/>
      <c r="BQ151" s="5"/>
      <c r="BS151" s="40"/>
      <c r="BT151" s="5"/>
      <c r="BV151" s="40"/>
      <c r="BW151" s="5"/>
      <c r="BY151" s="40"/>
      <c r="BZ151" s="5"/>
      <c r="CB151" s="40"/>
      <c r="CC151" s="5"/>
      <c r="CE151" s="40"/>
      <c r="CF151" s="5"/>
      <c r="CH151" s="40"/>
      <c r="CI151" s="5"/>
      <c r="CK151" s="40"/>
      <c r="CL151" s="5"/>
      <c r="CN151" s="40"/>
      <c r="CO151" s="5"/>
      <c r="CQ151" s="40"/>
      <c r="CR151" s="5"/>
    </row>
    <row r="152">
      <c r="AO152" s="40"/>
      <c r="AP152" s="5"/>
      <c r="AR152" s="40"/>
      <c r="AS152" s="5"/>
      <c r="AU152" s="40"/>
      <c r="AV152" s="5"/>
      <c r="AX152" s="40"/>
      <c r="AY152" s="5"/>
      <c r="BA152" s="40"/>
      <c r="BB152" s="5"/>
      <c r="BD152" s="40"/>
      <c r="BE152" s="5"/>
      <c r="BG152" s="40"/>
      <c r="BH152" s="5"/>
      <c r="BJ152" s="40"/>
      <c r="BK152" s="5"/>
      <c r="BM152" s="40"/>
      <c r="BN152" s="5"/>
      <c r="BP152" s="40"/>
      <c r="BQ152" s="5"/>
      <c r="BS152" s="40"/>
      <c r="BT152" s="5"/>
      <c r="BV152" s="40"/>
      <c r="BW152" s="5"/>
      <c r="BY152" s="40"/>
      <c r="BZ152" s="5"/>
      <c r="CB152" s="40"/>
      <c r="CC152" s="5"/>
      <c r="CE152" s="40"/>
      <c r="CF152" s="5"/>
      <c r="CH152" s="40"/>
      <c r="CI152" s="5"/>
      <c r="CK152" s="40"/>
      <c r="CL152" s="5"/>
      <c r="CN152" s="40"/>
      <c r="CO152" s="5"/>
      <c r="CQ152" s="40"/>
      <c r="CR152" s="5"/>
    </row>
    <row r="153">
      <c r="AO153" s="40"/>
      <c r="AP153" s="5"/>
      <c r="AR153" s="40"/>
      <c r="AS153" s="5"/>
      <c r="AU153" s="40"/>
      <c r="AV153" s="5"/>
      <c r="AX153" s="40"/>
      <c r="AY153" s="5"/>
      <c r="BA153" s="40"/>
      <c r="BB153" s="5"/>
      <c r="BD153" s="40"/>
      <c r="BE153" s="5"/>
      <c r="BG153" s="40"/>
      <c r="BH153" s="5"/>
      <c r="BJ153" s="40"/>
      <c r="BK153" s="5"/>
      <c r="BM153" s="40"/>
      <c r="BN153" s="5"/>
      <c r="BP153" s="40"/>
      <c r="BQ153" s="5"/>
      <c r="BS153" s="40"/>
      <c r="BT153" s="5"/>
      <c r="BV153" s="40"/>
      <c r="BW153" s="5"/>
      <c r="BY153" s="40"/>
      <c r="BZ153" s="5"/>
      <c r="CB153" s="40"/>
      <c r="CC153" s="5"/>
      <c r="CE153" s="40"/>
      <c r="CF153" s="5"/>
      <c r="CH153" s="40"/>
      <c r="CI153" s="5"/>
      <c r="CK153" s="40"/>
      <c r="CL153" s="5"/>
      <c r="CN153" s="40"/>
      <c r="CO153" s="5"/>
      <c r="CQ153" s="40"/>
      <c r="CR153" s="5"/>
    </row>
    <row r="154">
      <c r="AO154" s="40"/>
      <c r="AP154" s="5"/>
      <c r="AR154" s="40"/>
      <c r="AS154" s="5"/>
      <c r="AU154" s="40"/>
      <c r="AV154" s="5"/>
      <c r="AX154" s="40"/>
      <c r="AY154" s="5"/>
      <c r="BA154" s="40"/>
      <c r="BB154" s="5"/>
      <c r="BD154" s="40"/>
      <c r="BE154" s="5"/>
      <c r="BG154" s="40"/>
      <c r="BH154" s="5"/>
      <c r="BJ154" s="40"/>
      <c r="BK154" s="5"/>
      <c r="BM154" s="40"/>
      <c r="BN154" s="5"/>
      <c r="BP154" s="40"/>
      <c r="BQ154" s="5"/>
      <c r="BS154" s="40"/>
      <c r="BT154" s="5"/>
      <c r="BV154" s="40"/>
      <c r="BW154" s="5"/>
      <c r="BY154" s="40"/>
      <c r="BZ154" s="5"/>
      <c r="CB154" s="40"/>
      <c r="CC154" s="5"/>
      <c r="CE154" s="40"/>
      <c r="CF154" s="5"/>
      <c r="CH154" s="40"/>
      <c r="CI154" s="5"/>
      <c r="CK154" s="40"/>
      <c r="CL154" s="5"/>
      <c r="CN154" s="40"/>
      <c r="CO154" s="5"/>
      <c r="CQ154" s="40"/>
      <c r="CR154" s="5"/>
    </row>
    <row r="155">
      <c r="AO155" s="40"/>
      <c r="AP155" s="5"/>
      <c r="AR155" s="40"/>
      <c r="AS155" s="5"/>
      <c r="AU155" s="40"/>
      <c r="AV155" s="5"/>
      <c r="AX155" s="40"/>
      <c r="AY155" s="5"/>
      <c r="BA155" s="40"/>
      <c r="BB155" s="5"/>
      <c r="BD155" s="40"/>
      <c r="BE155" s="5"/>
      <c r="BG155" s="40"/>
      <c r="BH155" s="5"/>
      <c r="BJ155" s="40"/>
      <c r="BK155" s="5"/>
      <c r="BM155" s="40"/>
      <c r="BN155" s="5"/>
      <c r="BP155" s="40"/>
      <c r="BQ155" s="5"/>
      <c r="BS155" s="40"/>
      <c r="BT155" s="5"/>
      <c r="BV155" s="40"/>
      <c r="BW155" s="5"/>
      <c r="BY155" s="40"/>
      <c r="BZ155" s="5"/>
      <c r="CB155" s="40"/>
      <c r="CC155" s="5"/>
      <c r="CE155" s="40"/>
      <c r="CF155" s="5"/>
      <c r="CH155" s="40"/>
      <c r="CI155" s="5"/>
      <c r="CK155" s="40"/>
      <c r="CL155" s="5"/>
      <c r="CN155" s="40"/>
      <c r="CO155" s="5"/>
      <c r="CQ155" s="40"/>
      <c r="CR155" s="5"/>
    </row>
    <row r="156">
      <c r="AO156" s="40"/>
      <c r="AP156" s="5"/>
      <c r="AR156" s="40"/>
      <c r="AS156" s="5"/>
      <c r="AU156" s="40"/>
      <c r="AV156" s="5"/>
      <c r="AX156" s="40"/>
      <c r="AY156" s="5"/>
      <c r="BA156" s="40"/>
      <c r="BB156" s="5"/>
      <c r="BD156" s="40"/>
      <c r="BE156" s="5"/>
      <c r="BG156" s="40"/>
      <c r="BH156" s="5"/>
      <c r="BJ156" s="40"/>
      <c r="BK156" s="5"/>
      <c r="BM156" s="40"/>
      <c r="BN156" s="5"/>
      <c r="BP156" s="40"/>
      <c r="BQ156" s="5"/>
      <c r="BS156" s="40"/>
      <c r="BT156" s="5"/>
      <c r="BV156" s="40"/>
      <c r="BW156" s="5"/>
      <c r="BY156" s="40"/>
      <c r="BZ156" s="5"/>
      <c r="CB156" s="40"/>
      <c r="CC156" s="5"/>
      <c r="CE156" s="40"/>
      <c r="CF156" s="5"/>
      <c r="CH156" s="40"/>
      <c r="CI156" s="5"/>
      <c r="CK156" s="40"/>
      <c r="CL156" s="5"/>
      <c r="CN156" s="40"/>
      <c r="CO156" s="5"/>
      <c r="CQ156" s="40"/>
      <c r="CR156" s="5"/>
    </row>
    <row r="157">
      <c r="AO157" s="40"/>
      <c r="AP157" s="5"/>
      <c r="AR157" s="40"/>
      <c r="AS157" s="5"/>
      <c r="AU157" s="40"/>
      <c r="AV157" s="5"/>
      <c r="AX157" s="40"/>
      <c r="AY157" s="5"/>
      <c r="BA157" s="40"/>
      <c r="BB157" s="5"/>
      <c r="BD157" s="40"/>
      <c r="BE157" s="5"/>
      <c r="BG157" s="40"/>
      <c r="BH157" s="5"/>
      <c r="BJ157" s="40"/>
      <c r="BK157" s="5"/>
      <c r="BM157" s="40"/>
      <c r="BN157" s="5"/>
      <c r="BP157" s="40"/>
      <c r="BQ157" s="5"/>
      <c r="BS157" s="40"/>
      <c r="BT157" s="5"/>
      <c r="BV157" s="40"/>
      <c r="BW157" s="5"/>
      <c r="BY157" s="40"/>
      <c r="BZ157" s="5"/>
      <c r="CB157" s="40"/>
      <c r="CC157" s="5"/>
      <c r="CE157" s="40"/>
      <c r="CF157" s="5"/>
      <c r="CH157" s="40"/>
      <c r="CI157" s="5"/>
      <c r="CK157" s="40"/>
      <c r="CL157" s="5"/>
      <c r="CN157" s="40"/>
      <c r="CO157" s="5"/>
      <c r="CQ157" s="40"/>
      <c r="CR157" s="5"/>
    </row>
    <row r="158">
      <c r="AO158" s="40"/>
      <c r="AP158" s="5"/>
      <c r="AR158" s="40"/>
      <c r="AS158" s="5"/>
      <c r="AU158" s="40"/>
      <c r="AV158" s="5"/>
      <c r="AX158" s="40"/>
      <c r="AY158" s="5"/>
      <c r="BA158" s="40"/>
      <c r="BB158" s="5"/>
      <c r="BD158" s="40"/>
      <c r="BE158" s="5"/>
      <c r="BG158" s="40"/>
      <c r="BH158" s="5"/>
      <c r="BJ158" s="40"/>
      <c r="BK158" s="5"/>
      <c r="BM158" s="40"/>
      <c r="BN158" s="5"/>
      <c r="BP158" s="40"/>
      <c r="BQ158" s="5"/>
      <c r="BS158" s="40"/>
      <c r="BT158" s="5"/>
      <c r="BV158" s="40"/>
      <c r="BW158" s="5"/>
      <c r="BY158" s="40"/>
      <c r="BZ158" s="5"/>
      <c r="CB158" s="40"/>
      <c r="CC158" s="5"/>
      <c r="CE158" s="40"/>
      <c r="CF158" s="5"/>
      <c r="CH158" s="40"/>
      <c r="CI158" s="5"/>
      <c r="CK158" s="40"/>
      <c r="CL158" s="5"/>
      <c r="CN158" s="40"/>
      <c r="CO158" s="5"/>
      <c r="CQ158" s="40"/>
      <c r="CR158" s="5"/>
    </row>
    <row r="159">
      <c r="AO159" s="40"/>
      <c r="AP159" s="5"/>
      <c r="AR159" s="40"/>
      <c r="AS159" s="5"/>
      <c r="AU159" s="40"/>
      <c r="AV159" s="5"/>
      <c r="AX159" s="40"/>
      <c r="AY159" s="5"/>
      <c r="BA159" s="40"/>
      <c r="BB159" s="5"/>
      <c r="BD159" s="40"/>
      <c r="BE159" s="5"/>
      <c r="BG159" s="40"/>
      <c r="BH159" s="5"/>
      <c r="BJ159" s="40"/>
      <c r="BK159" s="5"/>
      <c r="BM159" s="40"/>
      <c r="BN159" s="5"/>
      <c r="BP159" s="40"/>
      <c r="BQ159" s="5"/>
      <c r="BS159" s="40"/>
      <c r="BT159" s="5"/>
      <c r="BV159" s="40"/>
      <c r="BW159" s="5"/>
      <c r="BY159" s="40"/>
      <c r="BZ159" s="5"/>
      <c r="CB159" s="40"/>
      <c r="CC159" s="5"/>
      <c r="CE159" s="40"/>
      <c r="CF159" s="5"/>
      <c r="CH159" s="40"/>
      <c r="CI159" s="5"/>
      <c r="CK159" s="40"/>
      <c r="CL159" s="5"/>
      <c r="CN159" s="40"/>
      <c r="CO159" s="5"/>
      <c r="CQ159" s="40"/>
      <c r="CR159" s="5"/>
    </row>
    <row r="160">
      <c r="AO160" s="40"/>
      <c r="AP160" s="5"/>
      <c r="AR160" s="40"/>
      <c r="AS160" s="5"/>
      <c r="AU160" s="40"/>
      <c r="AV160" s="5"/>
      <c r="AX160" s="40"/>
      <c r="AY160" s="5"/>
      <c r="BA160" s="40"/>
      <c r="BB160" s="5"/>
      <c r="BD160" s="40"/>
      <c r="BE160" s="5"/>
      <c r="BG160" s="40"/>
      <c r="BH160" s="5"/>
      <c r="BJ160" s="40"/>
      <c r="BK160" s="5"/>
      <c r="BM160" s="40"/>
      <c r="BN160" s="5"/>
      <c r="BP160" s="40"/>
      <c r="BQ160" s="5"/>
      <c r="BS160" s="40"/>
      <c r="BT160" s="5"/>
      <c r="BV160" s="40"/>
      <c r="BW160" s="5"/>
      <c r="BY160" s="40"/>
      <c r="BZ160" s="5"/>
      <c r="CB160" s="40"/>
      <c r="CC160" s="5"/>
      <c r="CE160" s="40"/>
      <c r="CF160" s="5"/>
      <c r="CH160" s="40"/>
      <c r="CI160" s="5"/>
      <c r="CK160" s="40"/>
      <c r="CL160" s="5"/>
      <c r="CN160" s="40"/>
      <c r="CO160" s="5"/>
      <c r="CQ160" s="40"/>
      <c r="CR160" s="5"/>
    </row>
    <row r="161">
      <c r="AO161" s="40"/>
      <c r="AP161" s="5"/>
      <c r="AR161" s="40"/>
      <c r="AS161" s="5"/>
      <c r="AU161" s="40"/>
      <c r="AV161" s="5"/>
      <c r="AX161" s="40"/>
      <c r="AY161" s="5"/>
      <c r="BA161" s="40"/>
      <c r="BB161" s="5"/>
      <c r="BD161" s="40"/>
      <c r="BE161" s="5"/>
      <c r="BG161" s="40"/>
      <c r="BH161" s="5"/>
      <c r="BJ161" s="40"/>
      <c r="BK161" s="5"/>
      <c r="BM161" s="40"/>
      <c r="BN161" s="5"/>
      <c r="BP161" s="40"/>
      <c r="BQ161" s="5"/>
      <c r="BS161" s="40"/>
      <c r="BT161" s="5"/>
      <c r="BV161" s="40"/>
      <c r="BW161" s="5"/>
      <c r="BY161" s="40"/>
      <c r="BZ161" s="5"/>
      <c r="CB161" s="40"/>
      <c r="CC161" s="5"/>
      <c r="CE161" s="40"/>
      <c r="CF161" s="5"/>
      <c r="CH161" s="40"/>
      <c r="CI161" s="5"/>
      <c r="CK161" s="40"/>
      <c r="CL161" s="5"/>
      <c r="CN161" s="40"/>
      <c r="CO161" s="5"/>
      <c r="CQ161" s="40"/>
      <c r="CR161" s="5"/>
    </row>
    <row r="162">
      <c r="AO162" s="40"/>
      <c r="AP162" s="5"/>
      <c r="AR162" s="40"/>
      <c r="AS162" s="5"/>
      <c r="AU162" s="40"/>
      <c r="AV162" s="5"/>
      <c r="AX162" s="40"/>
      <c r="AY162" s="5"/>
      <c r="BA162" s="40"/>
      <c r="BB162" s="5"/>
      <c r="BD162" s="40"/>
      <c r="BE162" s="5"/>
      <c r="BG162" s="40"/>
      <c r="BH162" s="5"/>
      <c r="BJ162" s="40"/>
      <c r="BK162" s="5"/>
      <c r="BM162" s="40"/>
      <c r="BN162" s="5"/>
      <c r="BP162" s="40"/>
      <c r="BQ162" s="5"/>
      <c r="BS162" s="40"/>
      <c r="BT162" s="5"/>
      <c r="BV162" s="40"/>
      <c r="BW162" s="5"/>
      <c r="BY162" s="40"/>
      <c r="BZ162" s="5"/>
      <c r="CB162" s="40"/>
      <c r="CC162" s="5"/>
      <c r="CE162" s="40"/>
      <c r="CF162" s="5"/>
      <c r="CH162" s="40"/>
      <c r="CI162" s="5"/>
      <c r="CK162" s="40"/>
      <c r="CL162" s="5"/>
      <c r="CN162" s="40"/>
      <c r="CO162" s="5"/>
      <c r="CQ162" s="40"/>
      <c r="CR162" s="5"/>
    </row>
    <row r="163">
      <c r="AO163" s="40"/>
      <c r="AP163" s="5"/>
      <c r="AR163" s="40"/>
      <c r="AS163" s="5"/>
      <c r="AU163" s="40"/>
      <c r="AV163" s="5"/>
      <c r="AX163" s="40"/>
      <c r="AY163" s="5"/>
      <c r="BA163" s="40"/>
      <c r="BB163" s="5"/>
      <c r="BD163" s="40"/>
      <c r="BE163" s="5"/>
      <c r="BG163" s="40"/>
      <c r="BH163" s="5"/>
      <c r="BJ163" s="40"/>
      <c r="BK163" s="5"/>
      <c r="BM163" s="40"/>
      <c r="BN163" s="5"/>
      <c r="BP163" s="40"/>
      <c r="BQ163" s="5"/>
      <c r="BS163" s="40"/>
      <c r="BT163" s="5"/>
      <c r="BV163" s="40"/>
      <c r="BW163" s="5"/>
      <c r="BY163" s="40"/>
      <c r="BZ163" s="5"/>
      <c r="CB163" s="40"/>
      <c r="CC163" s="5"/>
      <c r="CE163" s="40"/>
      <c r="CF163" s="5"/>
      <c r="CH163" s="40"/>
      <c r="CI163" s="5"/>
      <c r="CK163" s="40"/>
      <c r="CL163" s="5"/>
      <c r="CN163" s="40"/>
      <c r="CO163" s="5"/>
      <c r="CQ163" s="40"/>
      <c r="CR163" s="5"/>
    </row>
    <row r="164">
      <c r="AO164" s="40"/>
      <c r="AP164" s="5"/>
      <c r="AR164" s="40"/>
      <c r="AS164" s="5"/>
      <c r="AU164" s="40"/>
      <c r="AV164" s="5"/>
      <c r="AX164" s="40"/>
      <c r="AY164" s="5"/>
      <c r="BA164" s="40"/>
      <c r="BB164" s="5"/>
      <c r="BD164" s="40"/>
      <c r="BE164" s="5"/>
      <c r="BG164" s="40"/>
      <c r="BH164" s="5"/>
      <c r="BJ164" s="40"/>
      <c r="BK164" s="5"/>
      <c r="BM164" s="40"/>
      <c r="BN164" s="5"/>
      <c r="BP164" s="40"/>
      <c r="BQ164" s="5"/>
      <c r="BS164" s="40"/>
      <c r="BT164" s="5"/>
      <c r="BV164" s="40"/>
      <c r="BW164" s="5"/>
      <c r="BY164" s="40"/>
      <c r="BZ164" s="5"/>
      <c r="CB164" s="40"/>
      <c r="CC164" s="5"/>
      <c r="CE164" s="40"/>
      <c r="CF164" s="5"/>
      <c r="CH164" s="40"/>
      <c r="CI164" s="5"/>
      <c r="CK164" s="40"/>
      <c r="CL164" s="5"/>
      <c r="CN164" s="40"/>
      <c r="CO164" s="5"/>
      <c r="CQ164" s="40"/>
      <c r="CR164" s="5"/>
    </row>
    <row r="165">
      <c r="AO165" s="40"/>
      <c r="AP165" s="5"/>
      <c r="AR165" s="40"/>
      <c r="AS165" s="5"/>
      <c r="AU165" s="40"/>
      <c r="AV165" s="5"/>
      <c r="AX165" s="40"/>
      <c r="AY165" s="5"/>
      <c r="BA165" s="40"/>
      <c r="BB165" s="5"/>
      <c r="BD165" s="40"/>
      <c r="BE165" s="5"/>
      <c r="BG165" s="40"/>
      <c r="BH165" s="5"/>
      <c r="BJ165" s="40"/>
      <c r="BK165" s="5"/>
      <c r="BM165" s="40"/>
      <c r="BN165" s="5"/>
      <c r="BP165" s="40"/>
      <c r="BQ165" s="5"/>
      <c r="BS165" s="40"/>
      <c r="BT165" s="5"/>
      <c r="BV165" s="40"/>
      <c r="BW165" s="5"/>
      <c r="BY165" s="40"/>
      <c r="BZ165" s="5"/>
      <c r="CB165" s="40"/>
      <c r="CC165" s="5"/>
      <c r="CE165" s="40"/>
      <c r="CF165" s="5"/>
      <c r="CH165" s="40"/>
      <c r="CI165" s="5"/>
      <c r="CK165" s="40"/>
      <c r="CL165" s="5"/>
      <c r="CN165" s="40"/>
      <c r="CO165" s="5"/>
      <c r="CQ165" s="40"/>
      <c r="CR165" s="5"/>
    </row>
    <row r="166">
      <c r="AO166" s="40"/>
      <c r="AP166" s="5"/>
      <c r="AR166" s="40"/>
      <c r="AS166" s="5"/>
      <c r="AU166" s="40"/>
      <c r="AV166" s="5"/>
      <c r="AX166" s="40"/>
      <c r="AY166" s="5"/>
      <c r="BA166" s="40"/>
      <c r="BB166" s="5"/>
      <c r="BD166" s="40"/>
      <c r="BE166" s="5"/>
      <c r="BG166" s="40"/>
      <c r="BH166" s="5"/>
      <c r="BJ166" s="40"/>
      <c r="BK166" s="5"/>
      <c r="BM166" s="40"/>
      <c r="BN166" s="5"/>
      <c r="BP166" s="40"/>
      <c r="BQ166" s="5"/>
      <c r="BS166" s="40"/>
      <c r="BT166" s="5"/>
      <c r="BV166" s="40"/>
      <c r="BW166" s="5"/>
      <c r="BY166" s="40"/>
      <c r="BZ166" s="5"/>
      <c r="CB166" s="40"/>
      <c r="CC166" s="5"/>
      <c r="CE166" s="40"/>
      <c r="CF166" s="5"/>
      <c r="CH166" s="40"/>
      <c r="CI166" s="5"/>
      <c r="CK166" s="40"/>
      <c r="CL166" s="5"/>
      <c r="CN166" s="40"/>
      <c r="CO166" s="5"/>
      <c r="CQ166" s="40"/>
      <c r="CR166" s="5"/>
    </row>
    <row r="167">
      <c r="AO167" s="40"/>
      <c r="AP167" s="5"/>
      <c r="AR167" s="40"/>
      <c r="AS167" s="5"/>
      <c r="AU167" s="40"/>
      <c r="AV167" s="5"/>
      <c r="AX167" s="40"/>
      <c r="AY167" s="5"/>
      <c r="BA167" s="40"/>
      <c r="BB167" s="5"/>
      <c r="BD167" s="40"/>
      <c r="BE167" s="5"/>
      <c r="BG167" s="40"/>
      <c r="BH167" s="5"/>
      <c r="BJ167" s="40"/>
      <c r="BK167" s="5"/>
      <c r="BM167" s="40"/>
      <c r="BN167" s="5"/>
      <c r="BP167" s="40"/>
      <c r="BQ167" s="5"/>
      <c r="BS167" s="40"/>
      <c r="BT167" s="5"/>
      <c r="BV167" s="40"/>
      <c r="BW167" s="5"/>
      <c r="BY167" s="40"/>
      <c r="BZ167" s="5"/>
      <c r="CB167" s="40"/>
      <c r="CC167" s="5"/>
      <c r="CE167" s="40"/>
      <c r="CF167" s="5"/>
      <c r="CH167" s="40"/>
      <c r="CI167" s="5"/>
      <c r="CK167" s="40"/>
      <c r="CL167" s="5"/>
      <c r="CN167" s="40"/>
      <c r="CO167" s="5"/>
      <c r="CQ167" s="40"/>
      <c r="CR167" s="5"/>
    </row>
    <row r="168">
      <c r="AO168" s="40"/>
      <c r="AP168" s="5"/>
      <c r="AR168" s="40"/>
      <c r="AS168" s="5"/>
      <c r="AU168" s="40"/>
      <c r="AV168" s="5"/>
      <c r="AX168" s="40"/>
      <c r="AY168" s="5"/>
      <c r="BA168" s="40"/>
      <c r="BB168" s="5"/>
      <c r="BD168" s="40"/>
      <c r="BE168" s="5"/>
      <c r="BG168" s="40"/>
      <c r="BH168" s="5"/>
      <c r="BJ168" s="40"/>
      <c r="BK168" s="5"/>
      <c r="BM168" s="40"/>
      <c r="BN168" s="5"/>
      <c r="BP168" s="40"/>
      <c r="BQ168" s="5"/>
      <c r="BS168" s="40"/>
      <c r="BT168" s="5"/>
      <c r="BV168" s="40"/>
      <c r="BW168" s="5"/>
      <c r="BY168" s="40"/>
      <c r="BZ168" s="5"/>
      <c r="CB168" s="40"/>
      <c r="CC168" s="5"/>
      <c r="CE168" s="40"/>
      <c r="CF168" s="5"/>
      <c r="CH168" s="40"/>
      <c r="CI168" s="5"/>
      <c r="CK168" s="40"/>
      <c r="CL168" s="5"/>
      <c r="CN168" s="40"/>
      <c r="CO168" s="5"/>
      <c r="CQ168" s="40"/>
      <c r="CR168" s="5"/>
    </row>
    <row r="169">
      <c r="AO169" s="40"/>
      <c r="AP169" s="5"/>
      <c r="AR169" s="40"/>
      <c r="AS169" s="5"/>
      <c r="AU169" s="40"/>
      <c r="AV169" s="5"/>
      <c r="AX169" s="40"/>
      <c r="AY169" s="5"/>
      <c r="BA169" s="40"/>
      <c r="BB169" s="5"/>
      <c r="BD169" s="40"/>
      <c r="BE169" s="5"/>
      <c r="BG169" s="40"/>
      <c r="BH169" s="5"/>
      <c r="BJ169" s="40"/>
      <c r="BK169" s="5"/>
      <c r="BM169" s="40"/>
      <c r="BN169" s="5"/>
      <c r="BP169" s="40"/>
      <c r="BQ169" s="5"/>
      <c r="BS169" s="40"/>
      <c r="BT169" s="5"/>
      <c r="BV169" s="40"/>
      <c r="BW169" s="5"/>
      <c r="BY169" s="40"/>
      <c r="BZ169" s="5"/>
      <c r="CB169" s="40"/>
      <c r="CC169" s="5"/>
      <c r="CE169" s="40"/>
      <c r="CF169" s="5"/>
      <c r="CH169" s="40"/>
      <c r="CI169" s="5"/>
      <c r="CK169" s="40"/>
      <c r="CL169" s="5"/>
      <c r="CN169" s="40"/>
      <c r="CO169" s="5"/>
      <c r="CQ169" s="40"/>
      <c r="CR169" s="5"/>
    </row>
    <row r="170">
      <c r="AO170" s="40"/>
      <c r="AP170" s="5"/>
      <c r="AR170" s="40"/>
      <c r="AS170" s="5"/>
      <c r="AU170" s="40"/>
      <c r="AV170" s="5"/>
      <c r="AX170" s="40"/>
      <c r="AY170" s="5"/>
      <c r="BA170" s="40"/>
      <c r="BB170" s="5"/>
      <c r="BD170" s="40"/>
      <c r="BE170" s="5"/>
      <c r="BG170" s="40"/>
      <c r="BH170" s="5"/>
      <c r="BJ170" s="40"/>
      <c r="BK170" s="5"/>
      <c r="BM170" s="40"/>
      <c r="BN170" s="5"/>
      <c r="BP170" s="40"/>
      <c r="BQ170" s="5"/>
      <c r="BS170" s="40"/>
      <c r="BT170" s="5"/>
      <c r="BV170" s="40"/>
      <c r="BW170" s="5"/>
      <c r="BY170" s="40"/>
      <c r="BZ170" s="5"/>
      <c r="CB170" s="40"/>
      <c r="CC170" s="5"/>
      <c r="CE170" s="40"/>
      <c r="CF170" s="5"/>
      <c r="CH170" s="40"/>
      <c r="CI170" s="5"/>
      <c r="CK170" s="40"/>
      <c r="CL170" s="5"/>
      <c r="CN170" s="40"/>
      <c r="CO170" s="5"/>
      <c r="CQ170" s="40"/>
      <c r="CR170" s="5"/>
    </row>
    <row r="171">
      <c r="AO171" s="40"/>
      <c r="AP171" s="5"/>
      <c r="AR171" s="40"/>
      <c r="AS171" s="5"/>
      <c r="AU171" s="40"/>
      <c r="AV171" s="5"/>
      <c r="AX171" s="40"/>
      <c r="AY171" s="5"/>
      <c r="BA171" s="40"/>
      <c r="BB171" s="5"/>
      <c r="BD171" s="40"/>
      <c r="BE171" s="5"/>
      <c r="BG171" s="40"/>
      <c r="BH171" s="5"/>
      <c r="BJ171" s="40"/>
      <c r="BK171" s="5"/>
      <c r="BM171" s="40"/>
      <c r="BN171" s="5"/>
      <c r="BP171" s="40"/>
      <c r="BQ171" s="5"/>
      <c r="BS171" s="40"/>
      <c r="BT171" s="5"/>
      <c r="BV171" s="40"/>
      <c r="BW171" s="5"/>
      <c r="BY171" s="40"/>
      <c r="BZ171" s="5"/>
      <c r="CB171" s="40"/>
      <c r="CC171" s="5"/>
      <c r="CE171" s="40"/>
      <c r="CF171" s="5"/>
      <c r="CH171" s="40"/>
      <c r="CI171" s="5"/>
      <c r="CK171" s="40"/>
      <c r="CL171" s="5"/>
      <c r="CN171" s="40"/>
      <c r="CO171" s="5"/>
      <c r="CQ171" s="40"/>
      <c r="CR171" s="5"/>
    </row>
    <row r="172">
      <c r="AO172" s="40"/>
      <c r="AP172" s="5"/>
      <c r="AR172" s="40"/>
      <c r="AS172" s="5"/>
      <c r="AU172" s="40"/>
      <c r="AV172" s="5"/>
      <c r="AX172" s="40"/>
      <c r="AY172" s="5"/>
      <c r="BA172" s="40"/>
      <c r="BB172" s="5"/>
      <c r="BD172" s="40"/>
      <c r="BE172" s="5"/>
      <c r="BG172" s="40"/>
      <c r="BH172" s="5"/>
      <c r="BJ172" s="40"/>
      <c r="BK172" s="5"/>
      <c r="BM172" s="40"/>
      <c r="BN172" s="5"/>
      <c r="BP172" s="40"/>
      <c r="BQ172" s="5"/>
      <c r="BS172" s="40"/>
      <c r="BT172" s="5"/>
      <c r="BV172" s="40"/>
      <c r="BW172" s="5"/>
      <c r="BY172" s="40"/>
      <c r="BZ172" s="5"/>
      <c r="CB172" s="40"/>
      <c r="CC172" s="5"/>
      <c r="CE172" s="40"/>
      <c r="CF172" s="5"/>
      <c r="CH172" s="40"/>
      <c r="CI172" s="5"/>
      <c r="CK172" s="40"/>
      <c r="CL172" s="5"/>
      <c r="CN172" s="40"/>
      <c r="CO172" s="5"/>
      <c r="CQ172" s="40"/>
      <c r="CR172" s="5"/>
    </row>
    <row r="173">
      <c r="AO173" s="40"/>
      <c r="AP173" s="5"/>
      <c r="AR173" s="40"/>
      <c r="AS173" s="5"/>
      <c r="AU173" s="40"/>
      <c r="AV173" s="5"/>
      <c r="AX173" s="40"/>
      <c r="AY173" s="5"/>
      <c r="BA173" s="40"/>
      <c r="BB173" s="5"/>
      <c r="BD173" s="40"/>
      <c r="BE173" s="5"/>
      <c r="BG173" s="40"/>
      <c r="BH173" s="5"/>
      <c r="BJ173" s="40"/>
      <c r="BK173" s="5"/>
      <c r="BM173" s="40"/>
      <c r="BN173" s="5"/>
      <c r="BP173" s="40"/>
      <c r="BQ173" s="5"/>
      <c r="BS173" s="40"/>
      <c r="BT173" s="5"/>
      <c r="BV173" s="40"/>
      <c r="BW173" s="5"/>
      <c r="BY173" s="40"/>
      <c r="BZ173" s="5"/>
      <c r="CB173" s="40"/>
      <c r="CC173" s="5"/>
      <c r="CE173" s="40"/>
      <c r="CF173" s="5"/>
      <c r="CH173" s="40"/>
      <c r="CI173" s="5"/>
      <c r="CK173" s="40"/>
      <c r="CL173" s="5"/>
      <c r="CN173" s="40"/>
      <c r="CO173" s="5"/>
      <c r="CQ173" s="40"/>
      <c r="CR173" s="5"/>
    </row>
    <row r="174">
      <c r="AO174" s="40"/>
      <c r="AP174" s="5"/>
      <c r="AR174" s="40"/>
      <c r="AS174" s="5"/>
      <c r="AU174" s="40"/>
      <c r="AV174" s="5"/>
      <c r="AX174" s="40"/>
      <c r="AY174" s="5"/>
      <c r="BA174" s="40"/>
      <c r="BB174" s="5"/>
      <c r="BD174" s="40"/>
      <c r="BE174" s="5"/>
      <c r="BG174" s="40"/>
      <c r="BH174" s="5"/>
      <c r="BJ174" s="40"/>
      <c r="BK174" s="5"/>
      <c r="BM174" s="40"/>
      <c r="BN174" s="5"/>
      <c r="BP174" s="40"/>
      <c r="BQ174" s="5"/>
      <c r="BS174" s="40"/>
      <c r="BT174" s="5"/>
      <c r="BV174" s="40"/>
      <c r="BW174" s="5"/>
      <c r="BY174" s="40"/>
      <c r="BZ174" s="5"/>
      <c r="CB174" s="40"/>
      <c r="CC174" s="5"/>
      <c r="CE174" s="40"/>
      <c r="CF174" s="5"/>
      <c r="CH174" s="40"/>
      <c r="CI174" s="5"/>
      <c r="CK174" s="40"/>
      <c r="CL174" s="5"/>
      <c r="CN174" s="40"/>
      <c r="CO174" s="5"/>
      <c r="CQ174" s="40"/>
      <c r="CR174" s="5"/>
    </row>
    <row r="175">
      <c r="AO175" s="40"/>
      <c r="AP175" s="5"/>
      <c r="AR175" s="40"/>
      <c r="AS175" s="5"/>
      <c r="AU175" s="40"/>
      <c r="AV175" s="5"/>
      <c r="AX175" s="40"/>
      <c r="AY175" s="5"/>
      <c r="BA175" s="40"/>
      <c r="BB175" s="5"/>
      <c r="BD175" s="40"/>
      <c r="BE175" s="5"/>
      <c r="BG175" s="40"/>
      <c r="BH175" s="5"/>
      <c r="BJ175" s="40"/>
      <c r="BK175" s="5"/>
      <c r="BM175" s="40"/>
      <c r="BN175" s="5"/>
      <c r="BP175" s="40"/>
      <c r="BQ175" s="5"/>
      <c r="BS175" s="40"/>
      <c r="BT175" s="5"/>
      <c r="BV175" s="40"/>
      <c r="BW175" s="5"/>
      <c r="BY175" s="40"/>
      <c r="BZ175" s="5"/>
      <c r="CB175" s="40"/>
      <c r="CC175" s="5"/>
      <c r="CE175" s="40"/>
      <c r="CF175" s="5"/>
      <c r="CH175" s="40"/>
      <c r="CI175" s="5"/>
      <c r="CK175" s="40"/>
      <c r="CL175" s="5"/>
      <c r="CN175" s="40"/>
      <c r="CO175" s="5"/>
      <c r="CQ175" s="40"/>
      <c r="CR175" s="5"/>
    </row>
    <row r="176">
      <c r="AO176" s="40"/>
      <c r="AP176" s="5"/>
      <c r="AR176" s="40"/>
      <c r="AS176" s="5"/>
      <c r="AU176" s="40"/>
      <c r="AV176" s="5"/>
      <c r="AX176" s="40"/>
      <c r="AY176" s="5"/>
      <c r="BA176" s="40"/>
      <c r="BB176" s="5"/>
      <c r="BD176" s="40"/>
      <c r="BE176" s="5"/>
      <c r="BG176" s="40"/>
      <c r="BH176" s="5"/>
      <c r="BJ176" s="40"/>
      <c r="BK176" s="5"/>
      <c r="BM176" s="40"/>
      <c r="BN176" s="5"/>
      <c r="BP176" s="40"/>
      <c r="BQ176" s="5"/>
      <c r="BS176" s="40"/>
      <c r="BT176" s="5"/>
      <c r="BV176" s="40"/>
      <c r="BW176" s="5"/>
      <c r="BY176" s="40"/>
      <c r="BZ176" s="5"/>
      <c r="CB176" s="40"/>
      <c r="CC176" s="5"/>
      <c r="CE176" s="40"/>
      <c r="CF176" s="5"/>
      <c r="CH176" s="40"/>
      <c r="CI176" s="5"/>
      <c r="CK176" s="40"/>
      <c r="CL176" s="5"/>
      <c r="CN176" s="40"/>
      <c r="CO176" s="5"/>
      <c r="CQ176" s="40"/>
      <c r="CR176" s="5"/>
    </row>
    <row r="177">
      <c r="AO177" s="40"/>
      <c r="AP177" s="5"/>
      <c r="AR177" s="40"/>
      <c r="AS177" s="5"/>
      <c r="AU177" s="40"/>
      <c r="AV177" s="5"/>
      <c r="AX177" s="40"/>
      <c r="AY177" s="5"/>
      <c r="BA177" s="40"/>
      <c r="BB177" s="5"/>
      <c r="BD177" s="40"/>
      <c r="BE177" s="5"/>
      <c r="BG177" s="40"/>
      <c r="BH177" s="5"/>
      <c r="BJ177" s="40"/>
      <c r="BK177" s="5"/>
      <c r="BM177" s="40"/>
      <c r="BN177" s="5"/>
      <c r="BP177" s="40"/>
      <c r="BQ177" s="5"/>
      <c r="BS177" s="40"/>
      <c r="BT177" s="5"/>
      <c r="BV177" s="40"/>
      <c r="BW177" s="5"/>
      <c r="BY177" s="40"/>
      <c r="BZ177" s="5"/>
      <c r="CB177" s="40"/>
      <c r="CC177" s="5"/>
      <c r="CE177" s="40"/>
      <c r="CF177" s="5"/>
      <c r="CH177" s="40"/>
      <c r="CI177" s="5"/>
      <c r="CK177" s="40"/>
      <c r="CL177" s="5"/>
      <c r="CN177" s="40"/>
      <c r="CO177" s="5"/>
      <c r="CQ177" s="40"/>
      <c r="CR177" s="5"/>
    </row>
    <row r="178">
      <c r="AO178" s="40"/>
      <c r="AP178" s="5"/>
      <c r="AR178" s="40"/>
      <c r="AS178" s="5"/>
      <c r="AU178" s="40"/>
      <c r="AV178" s="5"/>
      <c r="AX178" s="40"/>
      <c r="AY178" s="5"/>
      <c r="BA178" s="40"/>
      <c r="BB178" s="5"/>
      <c r="BD178" s="40"/>
      <c r="BE178" s="5"/>
      <c r="BG178" s="40"/>
      <c r="BH178" s="5"/>
      <c r="BJ178" s="40"/>
      <c r="BK178" s="5"/>
      <c r="BM178" s="40"/>
      <c r="BN178" s="5"/>
      <c r="BP178" s="40"/>
      <c r="BQ178" s="5"/>
      <c r="BS178" s="40"/>
      <c r="BT178" s="5"/>
      <c r="BV178" s="40"/>
      <c r="BW178" s="5"/>
      <c r="BY178" s="40"/>
      <c r="BZ178" s="5"/>
      <c r="CB178" s="40"/>
      <c r="CC178" s="5"/>
      <c r="CE178" s="40"/>
      <c r="CF178" s="5"/>
      <c r="CH178" s="40"/>
      <c r="CI178" s="5"/>
      <c r="CK178" s="40"/>
      <c r="CL178" s="5"/>
      <c r="CN178" s="40"/>
      <c r="CO178" s="5"/>
      <c r="CQ178" s="40"/>
      <c r="CR178" s="5"/>
    </row>
    <row r="179">
      <c r="AO179" s="40"/>
      <c r="AP179" s="5"/>
      <c r="AR179" s="40"/>
      <c r="AS179" s="5"/>
      <c r="AU179" s="40"/>
      <c r="AV179" s="5"/>
      <c r="AX179" s="40"/>
      <c r="AY179" s="5"/>
      <c r="BA179" s="40"/>
      <c r="BB179" s="5"/>
      <c r="BD179" s="40"/>
      <c r="BE179" s="5"/>
      <c r="BG179" s="40"/>
      <c r="BH179" s="5"/>
      <c r="BJ179" s="40"/>
      <c r="BK179" s="5"/>
      <c r="BM179" s="40"/>
      <c r="BN179" s="5"/>
      <c r="BP179" s="40"/>
      <c r="BQ179" s="5"/>
      <c r="BS179" s="40"/>
      <c r="BT179" s="5"/>
      <c r="BV179" s="40"/>
      <c r="BW179" s="5"/>
      <c r="BY179" s="40"/>
      <c r="BZ179" s="5"/>
      <c r="CB179" s="40"/>
      <c r="CC179" s="5"/>
      <c r="CE179" s="40"/>
      <c r="CF179" s="5"/>
      <c r="CH179" s="40"/>
      <c r="CI179" s="5"/>
      <c r="CK179" s="40"/>
      <c r="CL179" s="5"/>
      <c r="CN179" s="40"/>
      <c r="CO179" s="5"/>
      <c r="CQ179" s="40"/>
      <c r="CR179" s="5"/>
    </row>
    <row r="180">
      <c r="AO180" s="40"/>
      <c r="AP180" s="5"/>
      <c r="AR180" s="40"/>
      <c r="AS180" s="5"/>
      <c r="AU180" s="40"/>
      <c r="AV180" s="5"/>
      <c r="AX180" s="40"/>
      <c r="AY180" s="5"/>
      <c r="BA180" s="40"/>
      <c r="BB180" s="5"/>
      <c r="BD180" s="40"/>
      <c r="BE180" s="5"/>
      <c r="BG180" s="40"/>
      <c r="BH180" s="5"/>
      <c r="BJ180" s="40"/>
      <c r="BK180" s="5"/>
      <c r="BM180" s="40"/>
      <c r="BN180" s="5"/>
      <c r="BP180" s="40"/>
      <c r="BQ180" s="5"/>
      <c r="BS180" s="40"/>
      <c r="BT180" s="5"/>
      <c r="BV180" s="40"/>
      <c r="BW180" s="5"/>
      <c r="BY180" s="40"/>
      <c r="BZ180" s="5"/>
      <c r="CB180" s="40"/>
      <c r="CC180" s="5"/>
      <c r="CE180" s="40"/>
      <c r="CF180" s="5"/>
      <c r="CH180" s="40"/>
      <c r="CI180" s="5"/>
      <c r="CK180" s="40"/>
      <c r="CL180" s="5"/>
      <c r="CN180" s="40"/>
      <c r="CO180" s="5"/>
      <c r="CQ180" s="40"/>
      <c r="CR180" s="5"/>
    </row>
    <row r="181">
      <c r="AO181" s="40"/>
      <c r="AP181" s="5"/>
      <c r="AR181" s="40"/>
      <c r="AS181" s="5"/>
      <c r="AU181" s="40"/>
      <c r="AV181" s="5"/>
      <c r="AX181" s="40"/>
      <c r="AY181" s="5"/>
      <c r="BA181" s="40"/>
      <c r="BB181" s="5"/>
      <c r="BD181" s="40"/>
      <c r="BE181" s="5"/>
      <c r="BG181" s="40"/>
      <c r="BH181" s="5"/>
      <c r="BJ181" s="40"/>
      <c r="BK181" s="5"/>
      <c r="BM181" s="40"/>
      <c r="BN181" s="5"/>
      <c r="BP181" s="40"/>
      <c r="BQ181" s="5"/>
      <c r="BS181" s="40"/>
      <c r="BT181" s="5"/>
      <c r="BV181" s="40"/>
      <c r="BW181" s="5"/>
      <c r="BY181" s="40"/>
      <c r="BZ181" s="5"/>
      <c r="CB181" s="40"/>
      <c r="CC181" s="5"/>
      <c r="CE181" s="40"/>
      <c r="CF181" s="5"/>
      <c r="CH181" s="40"/>
      <c r="CI181" s="5"/>
      <c r="CK181" s="40"/>
      <c r="CL181" s="5"/>
      <c r="CN181" s="40"/>
      <c r="CO181" s="5"/>
      <c r="CQ181" s="40"/>
      <c r="CR181" s="5"/>
    </row>
    <row r="182">
      <c r="AO182" s="40"/>
      <c r="AP182" s="5"/>
      <c r="AR182" s="40"/>
      <c r="AS182" s="5"/>
      <c r="AU182" s="40"/>
      <c r="AV182" s="5"/>
      <c r="AX182" s="40"/>
      <c r="AY182" s="5"/>
      <c r="BA182" s="40"/>
      <c r="BB182" s="5"/>
      <c r="BD182" s="40"/>
      <c r="BE182" s="5"/>
      <c r="BG182" s="40"/>
      <c r="BH182" s="5"/>
      <c r="BJ182" s="40"/>
      <c r="BK182" s="5"/>
      <c r="BM182" s="40"/>
      <c r="BN182" s="5"/>
      <c r="BP182" s="40"/>
      <c r="BQ182" s="5"/>
      <c r="BS182" s="40"/>
      <c r="BT182" s="5"/>
      <c r="BV182" s="40"/>
      <c r="BW182" s="5"/>
      <c r="BY182" s="40"/>
      <c r="BZ182" s="5"/>
      <c r="CB182" s="40"/>
      <c r="CC182" s="5"/>
      <c r="CE182" s="40"/>
      <c r="CF182" s="5"/>
      <c r="CH182" s="40"/>
      <c r="CI182" s="5"/>
      <c r="CK182" s="40"/>
      <c r="CL182" s="5"/>
      <c r="CN182" s="40"/>
      <c r="CO182" s="5"/>
      <c r="CQ182" s="40"/>
      <c r="CR182" s="5"/>
    </row>
    <row r="183">
      <c r="AO183" s="40"/>
      <c r="AP183" s="5"/>
      <c r="AR183" s="40"/>
      <c r="AS183" s="5"/>
      <c r="AU183" s="40"/>
      <c r="AV183" s="5"/>
      <c r="AX183" s="40"/>
      <c r="AY183" s="5"/>
      <c r="BA183" s="40"/>
      <c r="BB183" s="5"/>
      <c r="BD183" s="40"/>
      <c r="BE183" s="5"/>
      <c r="BG183" s="40"/>
      <c r="BH183" s="5"/>
      <c r="BJ183" s="40"/>
      <c r="BK183" s="5"/>
      <c r="BM183" s="40"/>
      <c r="BN183" s="5"/>
      <c r="BP183" s="40"/>
      <c r="BQ183" s="5"/>
      <c r="BS183" s="40"/>
      <c r="BT183" s="5"/>
      <c r="BV183" s="40"/>
      <c r="BW183" s="5"/>
      <c r="BY183" s="40"/>
      <c r="BZ183" s="5"/>
      <c r="CB183" s="40"/>
      <c r="CC183" s="5"/>
      <c r="CE183" s="40"/>
      <c r="CF183" s="5"/>
      <c r="CH183" s="40"/>
      <c r="CI183" s="5"/>
      <c r="CK183" s="40"/>
      <c r="CL183" s="5"/>
      <c r="CN183" s="40"/>
      <c r="CO183" s="5"/>
      <c r="CQ183" s="40"/>
      <c r="CR183" s="5"/>
    </row>
    <row r="184">
      <c r="AO184" s="40"/>
      <c r="AP184" s="5"/>
      <c r="AR184" s="40"/>
      <c r="AS184" s="5"/>
      <c r="AU184" s="40"/>
      <c r="AV184" s="5"/>
      <c r="AX184" s="40"/>
      <c r="AY184" s="5"/>
      <c r="BA184" s="40"/>
      <c r="BB184" s="5"/>
      <c r="BD184" s="40"/>
      <c r="BE184" s="5"/>
      <c r="BG184" s="40"/>
      <c r="BH184" s="5"/>
      <c r="BJ184" s="40"/>
      <c r="BK184" s="5"/>
      <c r="BM184" s="40"/>
      <c r="BN184" s="5"/>
      <c r="BP184" s="40"/>
      <c r="BQ184" s="5"/>
      <c r="BS184" s="40"/>
      <c r="BT184" s="5"/>
      <c r="BV184" s="40"/>
      <c r="BW184" s="5"/>
      <c r="BY184" s="40"/>
      <c r="BZ184" s="5"/>
      <c r="CB184" s="40"/>
      <c r="CC184" s="5"/>
      <c r="CE184" s="40"/>
      <c r="CF184" s="5"/>
      <c r="CH184" s="40"/>
      <c r="CI184" s="5"/>
      <c r="CK184" s="40"/>
      <c r="CL184" s="5"/>
      <c r="CN184" s="40"/>
      <c r="CO184" s="5"/>
      <c r="CQ184" s="40"/>
      <c r="CR184" s="5"/>
    </row>
    <row r="185">
      <c r="AO185" s="40"/>
      <c r="AP185" s="5"/>
      <c r="AR185" s="40"/>
      <c r="AS185" s="5"/>
      <c r="AU185" s="40"/>
      <c r="AV185" s="5"/>
      <c r="AX185" s="40"/>
      <c r="AY185" s="5"/>
      <c r="BA185" s="40"/>
      <c r="BB185" s="5"/>
      <c r="BD185" s="40"/>
      <c r="BE185" s="5"/>
      <c r="BG185" s="40"/>
      <c r="BH185" s="5"/>
      <c r="BJ185" s="40"/>
      <c r="BK185" s="5"/>
      <c r="BM185" s="40"/>
      <c r="BN185" s="5"/>
      <c r="BP185" s="40"/>
      <c r="BQ185" s="5"/>
      <c r="BS185" s="40"/>
      <c r="BT185" s="5"/>
      <c r="BV185" s="40"/>
      <c r="BW185" s="5"/>
      <c r="BY185" s="40"/>
      <c r="BZ185" s="5"/>
      <c r="CB185" s="40"/>
      <c r="CC185" s="5"/>
      <c r="CE185" s="40"/>
      <c r="CF185" s="5"/>
      <c r="CH185" s="40"/>
      <c r="CI185" s="5"/>
      <c r="CK185" s="40"/>
      <c r="CL185" s="5"/>
      <c r="CN185" s="40"/>
      <c r="CO185" s="5"/>
      <c r="CQ185" s="40"/>
      <c r="CR185" s="5"/>
    </row>
    <row r="186">
      <c r="AO186" s="40"/>
      <c r="AP186" s="5"/>
      <c r="AR186" s="40"/>
      <c r="AS186" s="5"/>
      <c r="AU186" s="40"/>
      <c r="AV186" s="5"/>
      <c r="AX186" s="40"/>
      <c r="AY186" s="5"/>
      <c r="BA186" s="40"/>
      <c r="BB186" s="5"/>
      <c r="BD186" s="40"/>
      <c r="BE186" s="5"/>
      <c r="BG186" s="40"/>
      <c r="BH186" s="5"/>
      <c r="BJ186" s="40"/>
      <c r="BK186" s="5"/>
      <c r="BM186" s="40"/>
      <c r="BN186" s="5"/>
      <c r="BP186" s="40"/>
      <c r="BQ186" s="5"/>
      <c r="BS186" s="40"/>
      <c r="BT186" s="5"/>
      <c r="BV186" s="40"/>
      <c r="BW186" s="5"/>
      <c r="BY186" s="40"/>
      <c r="BZ186" s="5"/>
      <c r="CB186" s="40"/>
      <c r="CC186" s="5"/>
      <c r="CE186" s="40"/>
      <c r="CF186" s="5"/>
      <c r="CH186" s="40"/>
      <c r="CI186" s="5"/>
      <c r="CK186" s="40"/>
      <c r="CL186" s="5"/>
      <c r="CN186" s="40"/>
      <c r="CO186" s="5"/>
      <c r="CQ186" s="40"/>
      <c r="CR186" s="5"/>
    </row>
    <row r="187">
      <c r="AO187" s="40"/>
      <c r="AP187" s="5"/>
      <c r="AR187" s="40"/>
      <c r="AS187" s="5"/>
      <c r="AU187" s="40"/>
      <c r="AV187" s="5"/>
      <c r="AX187" s="40"/>
      <c r="AY187" s="5"/>
      <c r="BA187" s="40"/>
      <c r="BB187" s="5"/>
      <c r="BD187" s="40"/>
      <c r="BE187" s="5"/>
      <c r="BG187" s="40"/>
      <c r="BH187" s="5"/>
      <c r="BJ187" s="40"/>
      <c r="BK187" s="5"/>
      <c r="BM187" s="40"/>
      <c r="BN187" s="5"/>
      <c r="BP187" s="40"/>
      <c r="BQ187" s="5"/>
      <c r="BS187" s="40"/>
      <c r="BT187" s="5"/>
      <c r="BV187" s="40"/>
      <c r="BW187" s="5"/>
      <c r="BY187" s="40"/>
      <c r="BZ187" s="5"/>
      <c r="CB187" s="40"/>
      <c r="CC187" s="5"/>
      <c r="CE187" s="40"/>
      <c r="CF187" s="5"/>
      <c r="CH187" s="40"/>
      <c r="CI187" s="5"/>
      <c r="CK187" s="40"/>
      <c r="CL187" s="5"/>
      <c r="CN187" s="40"/>
      <c r="CO187" s="5"/>
      <c r="CQ187" s="40"/>
      <c r="CR187" s="5"/>
    </row>
    <row r="188">
      <c r="AO188" s="40"/>
      <c r="AP188" s="5"/>
      <c r="AR188" s="40"/>
      <c r="AS188" s="5"/>
      <c r="AU188" s="40"/>
      <c r="AV188" s="5"/>
      <c r="AX188" s="40"/>
      <c r="AY188" s="5"/>
      <c r="BA188" s="40"/>
      <c r="BB188" s="5"/>
      <c r="BD188" s="40"/>
      <c r="BE188" s="5"/>
      <c r="BG188" s="40"/>
      <c r="BH188" s="5"/>
      <c r="BJ188" s="40"/>
      <c r="BK188" s="5"/>
      <c r="BM188" s="40"/>
      <c r="BN188" s="5"/>
      <c r="BP188" s="40"/>
      <c r="BQ188" s="5"/>
      <c r="BS188" s="40"/>
      <c r="BT188" s="5"/>
      <c r="BV188" s="40"/>
      <c r="BW188" s="5"/>
      <c r="BY188" s="40"/>
      <c r="BZ188" s="5"/>
      <c r="CB188" s="40"/>
      <c r="CC188" s="5"/>
      <c r="CE188" s="40"/>
      <c r="CF188" s="5"/>
      <c r="CH188" s="40"/>
      <c r="CI188" s="5"/>
      <c r="CK188" s="40"/>
      <c r="CL188" s="5"/>
      <c r="CN188" s="40"/>
      <c r="CO188" s="5"/>
      <c r="CQ188" s="40"/>
      <c r="CR188" s="5"/>
    </row>
    <row r="189">
      <c r="AO189" s="40"/>
      <c r="AP189" s="5"/>
      <c r="AR189" s="40"/>
      <c r="AS189" s="5"/>
      <c r="AU189" s="40"/>
      <c r="AV189" s="5"/>
      <c r="AX189" s="40"/>
      <c r="AY189" s="5"/>
      <c r="BA189" s="40"/>
      <c r="BB189" s="5"/>
      <c r="BD189" s="40"/>
      <c r="BE189" s="5"/>
      <c r="BG189" s="40"/>
      <c r="BH189" s="5"/>
      <c r="BJ189" s="40"/>
      <c r="BK189" s="5"/>
      <c r="BM189" s="40"/>
      <c r="BN189" s="5"/>
      <c r="BP189" s="40"/>
      <c r="BQ189" s="5"/>
      <c r="BS189" s="40"/>
      <c r="BT189" s="5"/>
      <c r="BV189" s="40"/>
      <c r="BW189" s="5"/>
      <c r="BY189" s="40"/>
      <c r="BZ189" s="5"/>
      <c r="CB189" s="40"/>
      <c r="CC189" s="5"/>
      <c r="CE189" s="40"/>
      <c r="CF189" s="5"/>
      <c r="CH189" s="40"/>
      <c r="CI189" s="5"/>
      <c r="CK189" s="40"/>
      <c r="CL189" s="5"/>
      <c r="CN189" s="40"/>
      <c r="CO189" s="5"/>
      <c r="CQ189" s="40"/>
      <c r="CR189" s="5"/>
    </row>
    <row r="190">
      <c r="AO190" s="40"/>
      <c r="AP190" s="5"/>
      <c r="AR190" s="40"/>
      <c r="AS190" s="5"/>
      <c r="AU190" s="40"/>
      <c r="AV190" s="5"/>
      <c r="AX190" s="40"/>
      <c r="AY190" s="5"/>
      <c r="BA190" s="40"/>
      <c r="BB190" s="5"/>
      <c r="BD190" s="40"/>
      <c r="BE190" s="5"/>
      <c r="BG190" s="40"/>
      <c r="BH190" s="5"/>
      <c r="BJ190" s="40"/>
      <c r="BK190" s="5"/>
      <c r="BM190" s="40"/>
      <c r="BN190" s="5"/>
      <c r="BP190" s="40"/>
      <c r="BQ190" s="5"/>
      <c r="BS190" s="40"/>
      <c r="BT190" s="5"/>
      <c r="BV190" s="40"/>
      <c r="BW190" s="5"/>
      <c r="BY190" s="40"/>
      <c r="BZ190" s="5"/>
      <c r="CB190" s="40"/>
      <c r="CC190" s="5"/>
      <c r="CE190" s="40"/>
      <c r="CF190" s="5"/>
      <c r="CH190" s="40"/>
      <c r="CI190" s="5"/>
      <c r="CK190" s="40"/>
      <c r="CL190" s="5"/>
      <c r="CN190" s="40"/>
      <c r="CO190" s="5"/>
      <c r="CQ190" s="40"/>
      <c r="CR190" s="5"/>
    </row>
    <row r="191">
      <c r="AO191" s="40"/>
      <c r="AP191" s="5"/>
      <c r="AR191" s="40"/>
      <c r="AS191" s="5"/>
      <c r="AU191" s="40"/>
      <c r="AV191" s="5"/>
      <c r="AX191" s="40"/>
      <c r="AY191" s="5"/>
      <c r="BA191" s="40"/>
      <c r="BB191" s="5"/>
      <c r="BD191" s="40"/>
      <c r="BE191" s="5"/>
      <c r="BG191" s="40"/>
      <c r="BH191" s="5"/>
      <c r="BJ191" s="40"/>
      <c r="BK191" s="5"/>
      <c r="BM191" s="40"/>
      <c r="BN191" s="5"/>
      <c r="BP191" s="40"/>
      <c r="BQ191" s="5"/>
      <c r="BS191" s="40"/>
      <c r="BT191" s="5"/>
      <c r="BV191" s="40"/>
      <c r="BW191" s="5"/>
      <c r="BY191" s="40"/>
      <c r="BZ191" s="5"/>
      <c r="CB191" s="40"/>
      <c r="CC191" s="5"/>
      <c r="CE191" s="40"/>
      <c r="CF191" s="5"/>
      <c r="CH191" s="40"/>
      <c r="CI191" s="5"/>
      <c r="CK191" s="40"/>
      <c r="CL191" s="5"/>
      <c r="CN191" s="40"/>
      <c r="CO191" s="5"/>
      <c r="CQ191" s="40"/>
      <c r="CR191" s="5"/>
    </row>
    <row r="192">
      <c r="AO192" s="40"/>
      <c r="AP192" s="5"/>
      <c r="AR192" s="40"/>
      <c r="AS192" s="5"/>
      <c r="AU192" s="40"/>
      <c r="AV192" s="5"/>
      <c r="AX192" s="40"/>
      <c r="AY192" s="5"/>
      <c r="BA192" s="40"/>
      <c r="BB192" s="5"/>
      <c r="BD192" s="40"/>
      <c r="BE192" s="5"/>
      <c r="BG192" s="40"/>
      <c r="BH192" s="5"/>
      <c r="BJ192" s="40"/>
      <c r="BK192" s="5"/>
      <c r="BM192" s="40"/>
      <c r="BN192" s="5"/>
      <c r="BP192" s="40"/>
      <c r="BQ192" s="5"/>
      <c r="BS192" s="40"/>
      <c r="BT192" s="5"/>
      <c r="BV192" s="40"/>
      <c r="BW192" s="5"/>
      <c r="BY192" s="40"/>
      <c r="BZ192" s="5"/>
      <c r="CB192" s="40"/>
      <c r="CC192" s="5"/>
      <c r="CE192" s="40"/>
      <c r="CF192" s="5"/>
      <c r="CH192" s="40"/>
      <c r="CI192" s="5"/>
      <c r="CK192" s="40"/>
      <c r="CL192" s="5"/>
      <c r="CN192" s="40"/>
      <c r="CO192" s="5"/>
      <c r="CQ192" s="40"/>
      <c r="CR192" s="5"/>
    </row>
    <row r="193">
      <c r="AO193" s="40"/>
      <c r="AP193" s="5"/>
      <c r="AR193" s="40"/>
      <c r="AS193" s="5"/>
      <c r="AU193" s="40"/>
      <c r="AV193" s="5"/>
      <c r="AX193" s="40"/>
      <c r="AY193" s="5"/>
      <c r="BA193" s="40"/>
      <c r="BB193" s="5"/>
      <c r="BD193" s="40"/>
      <c r="BE193" s="5"/>
      <c r="BG193" s="40"/>
      <c r="BH193" s="5"/>
      <c r="BJ193" s="40"/>
      <c r="BK193" s="5"/>
      <c r="BM193" s="40"/>
      <c r="BN193" s="5"/>
      <c r="BP193" s="40"/>
      <c r="BQ193" s="5"/>
      <c r="BS193" s="40"/>
      <c r="BT193" s="5"/>
      <c r="BV193" s="40"/>
      <c r="BW193" s="5"/>
      <c r="BY193" s="40"/>
      <c r="BZ193" s="5"/>
      <c r="CB193" s="40"/>
      <c r="CC193" s="5"/>
      <c r="CE193" s="40"/>
      <c r="CF193" s="5"/>
      <c r="CH193" s="40"/>
      <c r="CI193" s="5"/>
      <c r="CK193" s="40"/>
      <c r="CL193" s="5"/>
      <c r="CN193" s="40"/>
      <c r="CO193" s="5"/>
      <c r="CQ193" s="40"/>
      <c r="CR193" s="5"/>
    </row>
    <row r="194">
      <c r="AO194" s="40"/>
      <c r="AP194" s="5"/>
      <c r="AR194" s="40"/>
      <c r="AS194" s="5"/>
      <c r="AU194" s="40"/>
      <c r="AV194" s="5"/>
      <c r="AX194" s="40"/>
      <c r="AY194" s="5"/>
      <c r="BA194" s="40"/>
      <c r="BB194" s="5"/>
      <c r="BD194" s="40"/>
      <c r="BE194" s="5"/>
      <c r="BG194" s="40"/>
      <c r="BH194" s="5"/>
      <c r="BJ194" s="40"/>
      <c r="BK194" s="5"/>
      <c r="BM194" s="40"/>
      <c r="BN194" s="5"/>
      <c r="BP194" s="40"/>
      <c r="BQ194" s="5"/>
      <c r="BS194" s="40"/>
      <c r="BT194" s="5"/>
      <c r="BV194" s="40"/>
      <c r="BW194" s="5"/>
      <c r="BY194" s="40"/>
      <c r="BZ194" s="5"/>
      <c r="CB194" s="40"/>
      <c r="CC194" s="5"/>
      <c r="CE194" s="40"/>
      <c r="CF194" s="5"/>
      <c r="CH194" s="40"/>
      <c r="CI194" s="5"/>
      <c r="CK194" s="40"/>
      <c r="CL194" s="5"/>
      <c r="CN194" s="40"/>
      <c r="CO194" s="5"/>
      <c r="CQ194" s="40"/>
      <c r="CR194" s="5"/>
    </row>
    <row r="195">
      <c r="AO195" s="40"/>
      <c r="AP195" s="5"/>
      <c r="AR195" s="40"/>
      <c r="AS195" s="5"/>
      <c r="AU195" s="40"/>
      <c r="AV195" s="5"/>
      <c r="AX195" s="40"/>
      <c r="AY195" s="5"/>
      <c r="BA195" s="40"/>
      <c r="BB195" s="5"/>
      <c r="BD195" s="40"/>
      <c r="BE195" s="5"/>
      <c r="BG195" s="40"/>
      <c r="BH195" s="5"/>
      <c r="BJ195" s="40"/>
      <c r="BK195" s="5"/>
      <c r="BM195" s="40"/>
      <c r="BN195" s="5"/>
      <c r="BP195" s="40"/>
      <c r="BQ195" s="5"/>
      <c r="BS195" s="40"/>
      <c r="BT195" s="5"/>
      <c r="BV195" s="40"/>
      <c r="BW195" s="5"/>
      <c r="BY195" s="40"/>
      <c r="BZ195" s="5"/>
      <c r="CB195" s="40"/>
      <c r="CC195" s="5"/>
      <c r="CE195" s="40"/>
      <c r="CF195" s="5"/>
      <c r="CH195" s="40"/>
      <c r="CI195" s="5"/>
      <c r="CK195" s="40"/>
      <c r="CL195" s="5"/>
      <c r="CN195" s="40"/>
      <c r="CO195" s="5"/>
      <c r="CQ195" s="40"/>
      <c r="CR195" s="5"/>
    </row>
    <row r="196">
      <c r="AO196" s="40"/>
      <c r="AP196" s="5"/>
      <c r="AR196" s="40"/>
      <c r="AS196" s="5"/>
      <c r="AU196" s="40"/>
      <c r="AV196" s="5"/>
      <c r="AX196" s="40"/>
      <c r="AY196" s="5"/>
      <c r="BA196" s="40"/>
      <c r="BB196" s="5"/>
      <c r="BD196" s="40"/>
      <c r="BE196" s="5"/>
      <c r="BG196" s="40"/>
      <c r="BH196" s="5"/>
      <c r="BJ196" s="40"/>
      <c r="BK196" s="5"/>
      <c r="BM196" s="40"/>
      <c r="BN196" s="5"/>
      <c r="BP196" s="40"/>
      <c r="BQ196" s="5"/>
      <c r="BS196" s="40"/>
      <c r="BT196" s="5"/>
      <c r="BV196" s="40"/>
      <c r="BW196" s="5"/>
      <c r="BY196" s="40"/>
      <c r="BZ196" s="5"/>
      <c r="CB196" s="40"/>
      <c r="CC196" s="5"/>
      <c r="CE196" s="40"/>
      <c r="CF196" s="5"/>
      <c r="CH196" s="40"/>
      <c r="CI196" s="5"/>
      <c r="CK196" s="40"/>
      <c r="CL196" s="5"/>
      <c r="CN196" s="40"/>
      <c r="CO196" s="5"/>
      <c r="CQ196" s="40"/>
      <c r="CR196" s="5"/>
    </row>
    <row r="197">
      <c r="AO197" s="40"/>
      <c r="AP197" s="5"/>
      <c r="AR197" s="40"/>
      <c r="AS197" s="5"/>
      <c r="AU197" s="40"/>
      <c r="AV197" s="5"/>
      <c r="AX197" s="40"/>
      <c r="AY197" s="5"/>
      <c r="BA197" s="40"/>
      <c r="BB197" s="5"/>
      <c r="BD197" s="40"/>
      <c r="BE197" s="5"/>
      <c r="BG197" s="40"/>
      <c r="BH197" s="5"/>
      <c r="BJ197" s="40"/>
      <c r="BK197" s="5"/>
      <c r="BM197" s="40"/>
      <c r="BN197" s="5"/>
      <c r="BP197" s="40"/>
      <c r="BQ197" s="5"/>
      <c r="BS197" s="40"/>
      <c r="BT197" s="5"/>
      <c r="BV197" s="40"/>
      <c r="BW197" s="5"/>
      <c r="BY197" s="40"/>
      <c r="BZ197" s="5"/>
      <c r="CB197" s="40"/>
      <c r="CC197" s="5"/>
      <c r="CE197" s="40"/>
      <c r="CF197" s="5"/>
      <c r="CH197" s="40"/>
      <c r="CI197" s="5"/>
      <c r="CK197" s="40"/>
      <c r="CL197" s="5"/>
      <c r="CN197" s="40"/>
      <c r="CO197" s="5"/>
      <c r="CQ197" s="40"/>
      <c r="CR197" s="5"/>
    </row>
    <row r="198">
      <c r="AO198" s="40"/>
      <c r="AP198" s="5"/>
      <c r="AR198" s="40"/>
      <c r="AS198" s="5"/>
      <c r="AU198" s="40"/>
      <c r="AV198" s="5"/>
      <c r="AX198" s="40"/>
      <c r="AY198" s="5"/>
      <c r="BA198" s="40"/>
      <c r="BB198" s="5"/>
      <c r="BD198" s="40"/>
      <c r="BE198" s="5"/>
      <c r="BG198" s="40"/>
      <c r="BH198" s="5"/>
      <c r="BJ198" s="40"/>
      <c r="BK198" s="5"/>
      <c r="BM198" s="40"/>
      <c r="BN198" s="5"/>
      <c r="BP198" s="40"/>
      <c r="BQ198" s="5"/>
      <c r="BS198" s="40"/>
      <c r="BT198" s="5"/>
      <c r="BV198" s="40"/>
      <c r="BW198" s="5"/>
      <c r="BY198" s="40"/>
      <c r="BZ198" s="5"/>
      <c r="CB198" s="40"/>
      <c r="CC198" s="5"/>
      <c r="CE198" s="40"/>
      <c r="CF198" s="5"/>
      <c r="CH198" s="40"/>
      <c r="CI198" s="5"/>
      <c r="CK198" s="40"/>
      <c r="CL198" s="5"/>
      <c r="CN198" s="40"/>
      <c r="CO198" s="5"/>
      <c r="CQ198" s="40"/>
      <c r="CR198" s="5"/>
    </row>
    <row r="199">
      <c r="AO199" s="40"/>
      <c r="AP199" s="5"/>
      <c r="AR199" s="40"/>
      <c r="AS199" s="5"/>
      <c r="AU199" s="40"/>
      <c r="AV199" s="5"/>
      <c r="AX199" s="40"/>
      <c r="AY199" s="5"/>
      <c r="BA199" s="40"/>
      <c r="BB199" s="5"/>
      <c r="BD199" s="40"/>
      <c r="BE199" s="5"/>
      <c r="BG199" s="40"/>
      <c r="BH199" s="5"/>
      <c r="BJ199" s="40"/>
      <c r="BK199" s="5"/>
      <c r="BM199" s="40"/>
      <c r="BN199" s="5"/>
      <c r="BP199" s="40"/>
      <c r="BQ199" s="5"/>
      <c r="BS199" s="40"/>
      <c r="BT199" s="5"/>
      <c r="BV199" s="40"/>
      <c r="BW199" s="5"/>
      <c r="BY199" s="40"/>
      <c r="BZ199" s="5"/>
      <c r="CB199" s="40"/>
      <c r="CC199" s="5"/>
      <c r="CE199" s="40"/>
      <c r="CF199" s="5"/>
      <c r="CH199" s="40"/>
      <c r="CI199" s="5"/>
      <c r="CK199" s="40"/>
      <c r="CL199" s="5"/>
      <c r="CN199" s="40"/>
      <c r="CO199" s="5"/>
      <c r="CQ199" s="40"/>
      <c r="CR199" s="5"/>
    </row>
    <row r="200">
      <c r="AO200" s="40"/>
      <c r="AP200" s="5"/>
      <c r="AR200" s="40"/>
      <c r="AS200" s="5"/>
      <c r="AU200" s="40"/>
      <c r="AV200" s="5"/>
      <c r="AX200" s="40"/>
      <c r="AY200" s="5"/>
      <c r="BA200" s="40"/>
      <c r="BB200" s="5"/>
      <c r="BD200" s="40"/>
      <c r="BE200" s="5"/>
      <c r="BG200" s="40"/>
      <c r="BH200" s="5"/>
      <c r="BJ200" s="40"/>
      <c r="BK200" s="5"/>
      <c r="BM200" s="40"/>
      <c r="BN200" s="5"/>
      <c r="BP200" s="40"/>
      <c r="BQ200" s="5"/>
      <c r="BS200" s="40"/>
      <c r="BT200" s="5"/>
      <c r="BV200" s="40"/>
      <c r="BW200" s="5"/>
      <c r="BY200" s="40"/>
      <c r="BZ200" s="5"/>
      <c r="CB200" s="40"/>
      <c r="CC200" s="5"/>
      <c r="CE200" s="40"/>
      <c r="CF200" s="5"/>
      <c r="CH200" s="40"/>
      <c r="CI200" s="5"/>
      <c r="CK200" s="40"/>
      <c r="CL200" s="5"/>
      <c r="CN200" s="40"/>
      <c r="CO200" s="5"/>
      <c r="CQ200" s="40"/>
      <c r="CR200" s="5"/>
    </row>
    <row r="201">
      <c r="AO201" s="40"/>
      <c r="AP201" s="5"/>
      <c r="AR201" s="40"/>
      <c r="AS201" s="5"/>
      <c r="AU201" s="40"/>
      <c r="AV201" s="5"/>
      <c r="AX201" s="40"/>
      <c r="AY201" s="5"/>
      <c r="BA201" s="40"/>
      <c r="BB201" s="5"/>
      <c r="BD201" s="40"/>
      <c r="BE201" s="5"/>
      <c r="BG201" s="40"/>
      <c r="BH201" s="5"/>
      <c r="BJ201" s="40"/>
      <c r="BK201" s="5"/>
      <c r="BM201" s="40"/>
      <c r="BN201" s="5"/>
      <c r="BP201" s="40"/>
      <c r="BQ201" s="5"/>
      <c r="BS201" s="40"/>
      <c r="BT201" s="5"/>
      <c r="BV201" s="40"/>
      <c r="BW201" s="5"/>
      <c r="BY201" s="40"/>
      <c r="BZ201" s="5"/>
      <c r="CB201" s="40"/>
      <c r="CC201" s="5"/>
      <c r="CE201" s="40"/>
      <c r="CF201" s="5"/>
      <c r="CH201" s="40"/>
      <c r="CI201" s="5"/>
      <c r="CK201" s="40"/>
      <c r="CL201" s="5"/>
      <c r="CN201" s="40"/>
      <c r="CO201" s="5"/>
      <c r="CQ201" s="40"/>
      <c r="CR201" s="5"/>
    </row>
    <row r="202">
      <c r="AO202" s="40"/>
      <c r="AP202" s="5"/>
      <c r="AR202" s="40"/>
      <c r="AS202" s="5"/>
      <c r="AU202" s="40"/>
      <c r="AV202" s="5"/>
      <c r="AX202" s="40"/>
      <c r="AY202" s="5"/>
      <c r="BA202" s="40"/>
      <c r="BB202" s="5"/>
      <c r="BD202" s="40"/>
      <c r="BE202" s="5"/>
      <c r="BG202" s="40"/>
      <c r="BH202" s="5"/>
      <c r="BJ202" s="40"/>
      <c r="BK202" s="5"/>
      <c r="BM202" s="40"/>
      <c r="BN202" s="5"/>
      <c r="BP202" s="40"/>
      <c r="BQ202" s="5"/>
      <c r="BS202" s="40"/>
      <c r="BT202" s="5"/>
      <c r="BV202" s="40"/>
      <c r="BW202" s="5"/>
      <c r="BY202" s="40"/>
      <c r="BZ202" s="5"/>
      <c r="CB202" s="40"/>
      <c r="CC202" s="5"/>
      <c r="CE202" s="40"/>
      <c r="CF202" s="5"/>
      <c r="CH202" s="40"/>
      <c r="CI202" s="5"/>
      <c r="CK202" s="40"/>
      <c r="CL202" s="5"/>
      <c r="CN202" s="40"/>
      <c r="CO202" s="5"/>
      <c r="CQ202" s="40"/>
      <c r="CR202" s="5"/>
    </row>
    <row r="203">
      <c r="AO203" s="40"/>
      <c r="AP203" s="5"/>
      <c r="AR203" s="40"/>
      <c r="AS203" s="5"/>
      <c r="AU203" s="40"/>
      <c r="AV203" s="5"/>
      <c r="AX203" s="40"/>
      <c r="AY203" s="5"/>
      <c r="BA203" s="40"/>
      <c r="BB203" s="5"/>
      <c r="BD203" s="40"/>
      <c r="BE203" s="5"/>
      <c r="BG203" s="40"/>
      <c r="BH203" s="5"/>
      <c r="BJ203" s="40"/>
      <c r="BK203" s="5"/>
      <c r="BM203" s="40"/>
      <c r="BN203" s="5"/>
      <c r="BP203" s="40"/>
      <c r="BQ203" s="5"/>
      <c r="BS203" s="40"/>
      <c r="BT203" s="5"/>
      <c r="BV203" s="40"/>
      <c r="BW203" s="5"/>
      <c r="BY203" s="40"/>
      <c r="BZ203" s="5"/>
      <c r="CB203" s="40"/>
      <c r="CC203" s="5"/>
      <c r="CE203" s="40"/>
      <c r="CF203" s="5"/>
      <c r="CH203" s="40"/>
      <c r="CI203" s="5"/>
      <c r="CK203" s="40"/>
      <c r="CL203" s="5"/>
      <c r="CN203" s="40"/>
      <c r="CO203" s="5"/>
      <c r="CQ203" s="40"/>
      <c r="CR203" s="5"/>
    </row>
    <row r="204">
      <c r="AO204" s="40"/>
      <c r="AP204" s="5"/>
      <c r="AR204" s="40"/>
      <c r="AS204" s="5"/>
      <c r="AU204" s="40"/>
      <c r="AV204" s="5"/>
      <c r="AX204" s="40"/>
      <c r="AY204" s="5"/>
      <c r="BA204" s="40"/>
      <c r="BB204" s="5"/>
      <c r="BD204" s="40"/>
      <c r="BE204" s="5"/>
      <c r="BG204" s="40"/>
      <c r="BH204" s="5"/>
      <c r="BJ204" s="40"/>
      <c r="BK204" s="5"/>
      <c r="BM204" s="40"/>
      <c r="BN204" s="5"/>
      <c r="BP204" s="40"/>
      <c r="BQ204" s="5"/>
      <c r="BS204" s="40"/>
      <c r="BT204" s="5"/>
      <c r="BV204" s="40"/>
      <c r="BW204" s="5"/>
      <c r="BY204" s="40"/>
      <c r="BZ204" s="5"/>
      <c r="CB204" s="40"/>
      <c r="CC204" s="5"/>
      <c r="CE204" s="40"/>
      <c r="CF204" s="5"/>
      <c r="CH204" s="40"/>
      <c r="CI204" s="5"/>
      <c r="CK204" s="40"/>
      <c r="CL204" s="5"/>
      <c r="CN204" s="40"/>
      <c r="CO204" s="5"/>
      <c r="CQ204" s="40"/>
      <c r="CR204" s="5"/>
    </row>
    <row r="205">
      <c r="AO205" s="40"/>
      <c r="AP205" s="5"/>
      <c r="AR205" s="40"/>
      <c r="AS205" s="5"/>
      <c r="AU205" s="40"/>
      <c r="AV205" s="5"/>
      <c r="AX205" s="40"/>
      <c r="AY205" s="5"/>
      <c r="BA205" s="40"/>
      <c r="BB205" s="5"/>
      <c r="BD205" s="40"/>
      <c r="BE205" s="5"/>
      <c r="BG205" s="40"/>
      <c r="BH205" s="5"/>
      <c r="BJ205" s="40"/>
      <c r="BK205" s="5"/>
      <c r="BM205" s="40"/>
      <c r="BN205" s="5"/>
      <c r="BP205" s="40"/>
      <c r="BQ205" s="5"/>
      <c r="BS205" s="40"/>
      <c r="BT205" s="5"/>
      <c r="BV205" s="40"/>
      <c r="BW205" s="5"/>
      <c r="BY205" s="40"/>
      <c r="BZ205" s="5"/>
      <c r="CB205" s="40"/>
      <c r="CC205" s="5"/>
      <c r="CE205" s="40"/>
      <c r="CF205" s="5"/>
      <c r="CH205" s="40"/>
      <c r="CI205" s="5"/>
      <c r="CK205" s="40"/>
      <c r="CL205" s="5"/>
      <c r="CN205" s="40"/>
      <c r="CO205" s="5"/>
      <c r="CQ205" s="40"/>
      <c r="CR205" s="5"/>
    </row>
    <row r="206">
      <c r="AO206" s="40"/>
      <c r="AP206" s="5"/>
      <c r="AR206" s="40"/>
      <c r="AS206" s="5"/>
      <c r="AU206" s="40"/>
      <c r="AV206" s="5"/>
      <c r="AX206" s="40"/>
      <c r="AY206" s="5"/>
      <c r="BA206" s="40"/>
      <c r="BB206" s="5"/>
      <c r="BD206" s="40"/>
      <c r="BE206" s="5"/>
      <c r="BG206" s="40"/>
      <c r="BH206" s="5"/>
      <c r="BJ206" s="40"/>
      <c r="BK206" s="5"/>
      <c r="BM206" s="40"/>
      <c r="BN206" s="5"/>
      <c r="BP206" s="40"/>
      <c r="BQ206" s="5"/>
      <c r="BS206" s="40"/>
      <c r="BT206" s="5"/>
      <c r="BV206" s="40"/>
      <c r="BW206" s="5"/>
      <c r="BY206" s="40"/>
      <c r="BZ206" s="5"/>
      <c r="CB206" s="40"/>
      <c r="CC206" s="5"/>
      <c r="CE206" s="40"/>
      <c r="CF206" s="5"/>
      <c r="CH206" s="40"/>
      <c r="CI206" s="5"/>
      <c r="CK206" s="40"/>
      <c r="CL206" s="5"/>
      <c r="CN206" s="40"/>
      <c r="CO206" s="5"/>
      <c r="CQ206" s="40"/>
      <c r="CR206" s="5"/>
    </row>
    <row r="207">
      <c r="AO207" s="40"/>
      <c r="AP207" s="5"/>
      <c r="AR207" s="40"/>
      <c r="AS207" s="5"/>
      <c r="AU207" s="40"/>
      <c r="AV207" s="5"/>
      <c r="AX207" s="40"/>
      <c r="AY207" s="5"/>
      <c r="BA207" s="40"/>
      <c r="BB207" s="5"/>
      <c r="BD207" s="40"/>
      <c r="BE207" s="5"/>
      <c r="BG207" s="40"/>
      <c r="BH207" s="5"/>
      <c r="BJ207" s="40"/>
      <c r="BK207" s="5"/>
      <c r="BM207" s="40"/>
      <c r="BN207" s="5"/>
      <c r="BP207" s="40"/>
      <c r="BQ207" s="5"/>
      <c r="BS207" s="40"/>
      <c r="BT207" s="5"/>
      <c r="BV207" s="40"/>
      <c r="BW207" s="5"/>
      <c r="BY207" s="40"/>
      <c r="BZ207" s="5"/>
      <c r="CB207" s="40"/>
      <c r="CC207" s="5"/>
      <c r="CE207" s="40"/>
      <c r="CF207" s="5"/>
      <c r="CH207" s="40"/>
      <c r="CI207" s="5"/>
      <c r="CK207" s="40"/>
      <c r="CL207" s="5"/>
      <c r="CN207" s="40"/>
      <c r="CO207" s="5"/>
      <c r="CQ207" s="40"/>
      <c r="CR207" s="5"/>
    </row>
    <row r="208">
      <c r="AO208" s="40"/>
      <c r="AP208" s="5"/>
      <c r="AR208" s="40"/>
      <c r="AS208" s="5"/>
      <c r="AU208" s="40"/>
      <c r="AV208" s="5"/>
      <c r="AX208" s="40"/>
      <c r="AY208" s="5"/>
      <c r="BA208" s="40"/>
      <c r="BB208" s="5"/>
      <c r="BD208" s="40"/>
      <c r="BE208" s="5"/>
      <c r="BG208" s="40"/>
      <c r="BH208" s="5"/>
      <c r="BJ208" s="40"/>
      <c r="BK208" s="5"/>
      <c r="BM208" s="40"/>
      <c r="BN208" s="5"/>
      <c r="BP208" s="40"/>
      <c r="BQ208" s="5"/>
      <c r="BS208" s="40"/>
      <c r="BT208" s="5"/>
      <c r="BV208" s="40"/>
      <c r="BW208" s="5"/>
      <c r="BY208" s="40"/>
      <c r="BZ208" s="5"/>
      <c r="CB208" s="40"/>
      <c r="CC208" s="5"/>
      <c r="CE208" s="40"/>
      <c r="CF208" s="5"/>
      <c r="CH208" s="40"/>
      <c r="CI208" s="5"/>
      <c r="CK208" s="40"/>
      <c r="CL208" s="5"/>
      <c r="CN208" s="40"/>
      <c r="CO208" s="5"/>
      <c r="CQ208" s="40"/>
      <c r="CR208" s="5"/>
    </row>
    <row r="209">
      <c r="AO209" s="40"/>
      <c r="AP209" s="5"/>
      <c r="AR209" s="40"/>
      <c r="AS209" s="5"/>
      <c r="AU209" s="40"/>
      <c r="AV209" s="5"/>
      <c r="AX209" s="40"/>
      <c r="AY209" s="5"/>
      <c r="BA209" s="40"/>
      <c r="BB209" s="5"/>
      <c r="BD209" s="40"/>
      <c r="BE209" s="5"/>
      <c r="BG209" s="40"/>
      <c r="BH209" s="5"/>
      <c r="BJ209" s="40"/>
      <c r="BK209" s="5"/>
      <c r="BM209" s="40"/>
      <c r="BN209" s="5"/>
      <c r="BP209" s="40"/>
      <c r="BQ209" s="5"/>
      <c r="BS209" s="40"/>
      <c r="BT209" s="5"/>
      <c r="BV209" s="40"/>
      <c r="BW209" s="5"/>
      <c r="BY209" s="40"/>
      <c r="BZ209" s="5"/>
      <c r="CB209" s="40"/>
      <c r="CC209" s="5"/>
      <c r="CE209" s="40"/>
      <c r="CF209" s="5"/>
      <c r="CH209" s="40"/>
      <c r="CI209" s="5"/>
      <c r="CK209" s="40"/>
      <c r="CL209" s="5"/>
      <c r="CN209" s="40"/>
      <c r="CO209" s="5"/>
      <c r="CQ209" s="40"/>
      <c r="CR209" s="5"/>
    </row>
    <row r="210">
      <c r="AO210" s="40"/>
      <c r="AP210" s="5"/>
      <c r="AR210" s="40"/>
      <c r="AS210" s="5"/>
      <c r="AU210" s="40"/>
      <c r="AV210" s="5"/>
      <c r="AX210" s="40"/>
      <c r="AY210" s="5"/>
      <c r="BA210" s="40"/>
      <c r="BB210" s="5"/>
      <c r="BD210" s="40"/>
      <c r="BE210" s="5"/>
      <c r="BG210" s="40"/>
      <c r="BH210" s="5"/>
      <c r="BJ210" s="40"/>
      <c r="BK210" s="5"/>
      <c r="BM210" s="40"/>
      <c r="BN210" s="5"/>
      <c r="BP210" s="40"/>
      <c r="BQ210" s="5"/>
      <c r="BS210" s="40"/>
      <c r="BT210" s="5"/>
      <c r="BV210" s="40"/>
      <c r="BW210" s="5"/>
      <c r="BY210" s="40"/>
      <c r="BZ210" s="5"/>
      <c r="CB210" s="40"/>
      <c r="CC210" s="5"/>
      <c r="CE210" s="40"/>
      <c r="CF210" s="5"/>
      <c r="CH210" s="40"/>
      <c r="CI210" s="5"/>
      <c r="CK210" s="40"/>
      <c r="CL210" s="5"/>
      <c r="CN210" s="40"/>
      <c r="CO210" s="5"/>
      <c r="CQ210" s="40"/>
      <c r="CR210" s="5"/>
    </row>
    <row r="211">
      <c r="AO211" s="40"/>
      <c r="AP211" s="5"/>
      <c r="AR211" s="40"/>
      <c r="AS211" s="5"/>
      <c r="AU211" s="40"/>
      <c r="AV211" s="5"/>
      <c r="AX211" s="40"/>
      <c r="AY211" s="5"/>
      <c r="BA211" s="40"/>
      <c r="BB211" s="5"/>
      <c r="BD211" s="40"/>
      <c r="BE211" s="5"/>
      <c r="BG211" s="40"/>
      <c r="BH211" s="5"/>
      <c r="BJ211" s="40"/>
      <c r="BK211" s="5"/>
      <c r="BM211" s="40"/>
      <c r="BN211" s="5"/>
      <c r="BP211" s="40"/>
      <c r="BQ211" s="5"/>
      <c r="BS211" s="40"/>
      <c r="BT211" s="5"/>
      <c r="BV211" s="40"/>
      <c r="BW211" s="5"/>
      <c r="BY211" s="40"/>
      <c r="BZ211" s="5"/>
      <c r="CB211" s="40"/>
      <c r="CC211" s="5"/>
      <c r="CE211" s="40"/>
      <c r="CF211" s="5"/>
      <c r="CH211" s="40"/>
      <c r="CI211" s="5"/>
      <c r="CK211" s="40"/>
      <c r="CL211" s="5"/>
      <c r="CN211" s="40"/>
      <c r="CO211" s="5"/>
      <c r="CQ211" s="40"/>
      <c r="CR211" s="5"/>
    </row>
    <row r="212">
      <c r="AO212" s="40"/>
      <c r="AP212" s="5"/>
      <c r="AR212" s="40"/>
      <c r="AS212" s="5"/>
      <c r="AU212" s="40"/>
      <c r="AV212" s="5"/>
      <c r="AX212" s="40"/>
      <c r="AY212" s="5"/>
      <c r="BA212" s="40"/>
      <c r="BB212" s="5"/>
      <c r="BD212" s="40"/>
      <c r="BE212" s="5"/>
      <c r="BG212" s="40"/>
      <c r="BH212" s="5"/>
      <c r="BJ212" s="40"/>
      <c r="BK212" s="5"/>
      <c r="BM212" s="40"/>
      <c r="BN212" s="5"/>
      <c r="BP212" s="40"/>
      <c r="BQ212" s="5"/>
      <c r="BS212" s="40"/>
      <c r="BT212" s="5"/>
      <c r="BV212" s="40"/>
      <c r="BW212" s="5"/>
      <c r="BY212" s="40"/>
      <c r="BZ212" s="5"/>
      <c r="CB212" s="40"/>
      <c r="CC212" s="5"/>
      <c r="CE212" s="40"/>
      <c r="CF212" s="5"/>
      <c r="CH212" s="40"/>
      <c r="CI212" s="5"/>
      <c r="CK212" s="40"/>
      <c r="CL212" s="5"/>
      <c r="CN212" s="40"/>
      <c r="CO212" s="5"/>
      <c r="CQ212" s="40"/>
      <c r="CR212" s="5"/>
    </row>
    <row r="213">
      <c r="AO213" s="40"/>
      <c r="AP213" s="5"/>
      <c r="AR213" s="40"/>
      <c r="AS213" s="5"/>
      <c r="AU213" s="40"/>
      <c r="AV213" s="5"/>
      <c r="AX213" s="40"/>
      <c r="AY213" s="5"/>
      <c r="BA213" s="40"/>
      <c r="BB213" s="5"/>
      <c r="BD213" s="40"/>
      <c r="BE213" s="5"/>
      <c r="BG213" s="40"/>
      <c r="BH213" s="5"/>
      <c r="BJ213" s="40"/>
      <c r="BK213" s="5"/>
      <c r="BM213" s="40"/>
      <c r="BN213" s="5"/>
      <c r="BP213" s="40"/>
      <c r="BQ213" s="5"/>
      <c r="BS213" s="40"/>
      <c r="BT213" s="5"/>
      <c r="BV213" s="40"/>
      <c r="BW213" s="5"/>
      <c r="BY213" s="40"/>
      <c r="BZ213" s="5"/>
      <c r="CB213" s="40"/>
      <c r="CC213" s="5"/>
      <c r="CE213" s="40"/>
      <c r="CF213" s="5"/>
      <c r="CH213" s="40"/>
      <c r="CI213" s="5"/>
      <c r="CK213" s="40"/>
      <c r="CL213" s="5"/>
      <c r="CN213" s="40"/>
      <c r="CO213" s="5"/>
      <c r="CQ213" s="40"/>
      <c r="CR213" s="5"/>
    </row>
    <row r="214">
      <c r="AO214" s="40"/>
      <c r="AP214" s="5"/>
      <c r="AR214" s="40"/>
      <c r="AS214" s="5"/>
      <c r="AU214" s="40"/>
      <c r="AV214" s="5"/>
      <c r="AX214" s="40"/>
      <c r="AY214" s="5"/>
      <c r="BA214" s="40"/>
      <c r="BB214" s="5"/>
      <c r="BD214" s="40"/>
      <c r="BE214" s="5"/>
      <c r="BG214" s="40"/>
      <c r="BH214" s="5"/>
      <c r="BJ214" s="40"/>
      <c r="BK214" s="5"/>
      <c r="BM214" s="40"/>
      <c r="BN214" s="5"/>
      <c r="BP214" s="40"/>
      <c r="BQ214" s="5"/>
      <c r="BS214" s="40"/>
      <c r="BT214" s="5"/>
      <c r="BV214" s="40"/>
      <c r="BW214" s="5"/>
      <c r="BY214" s="40"/>
      <c r="BZ214" s="5"/>
      <c r="CB214" s="40"/>
      <c r="CC214" s="5"/>
      <c r="CE214" s="40"/>
      <c r="CF214" s="5"/>
      <c r="CH214" s="40"/>
      <c r="CI214" s="5"/>
      <c r="CK214" s="40"/>
      <c r="CL214" s="5"/>
      <c r="CN214" s="40"/>
      <c r="CO214" s="5"/>
      <c r="CQ214" s="40"/>
      <c r="CR214" s="5"/>
    </row>
    <row r="215">
      <c r="AO215" s="40"/>
      <c r="AP215" s="5"/>
      <c r="AR215" s="40"/>
      <c r="AS215" s="5"/>
      <c r="AU215" s="40"/>
      <c r="AV215" s="5"/>
      <c r="AX215" s="40"/>
      <c r="AY215" s="5"/>
      <c r="BA215" s="40"/>
      <c r="BB215" s="5"/>
      <c r="BD215" s="40"/>
      <c r="BE215" s="5"/>
      <c r="BG215" s="40"/>
      <c r="BH215" s="5"/>
      <c r="BJ215" s="40"/>
      <c r="BK215" s="5"/>
      <c r="BM215" s="40"/>
      <c r="BN215" s="5"/>
      <c r="BP215" s="40"/>
      <c r="BQ215" s="5"/>
      <c r="BS215" s="40"/>
      <c r="BT215" s="5"/>
      <c r="BV215" s="40"/>
      <c r="BW215" s="5"/>
      <c r="BY215" s="40"/>
      <c r="BZ215" s="5"/>
      <c r="CB215" s="40"/>
      <c r="CC215" s="5"/>
      <c r="CE215" s="40"/>
      <c r="CF215" s="5"/>
      <c r="CH215" s="40"/>
      <c r="CI215" s="5"/>
      <c r="CK215" s="40"/>
      <c r="CL215" s="5"/>
      <c r="CN215" s="40"/>
      <c r="CO215" s="5"/>
      <c r="CQ215" s="40"/>
      <c r="CR215" s="5"/>
    </row>
    <row r="216">
      <c r="AO216" s="40"/>
      <c r="AP216" s="5"/>
      <c r="AR216" s="40"/>
      <c r="AS216" s="5"/>
      <c r="AU216" s="40"/>
      <c r="AV216" s="5"/>
      <c r="AX216" s="40"/>
      <c r="AY216" s="5"/>
      <c r="BA216" s="40"/>
      <c r="BB216" s="5"/>
      <c r="BD216" s="40"/>
      <c r="BE216" s="5"/>
      <c r="BG216" s="40"/>
      <c r="BH216" s="5"/>
      <c r="BJ216" s="40"/>
      <c r="BK216" s="5"/>
      <c r="BM216" s="40"/>
      <c r="BN216" s="5"/>
      <c r="BP216" s="40"/>
      <c r="BQ216" s="5"/>
      <c r="BS216" s="40"/>
      <c r="BT216" s="5"/>
      <c r="BV216" s="40"/>
      <c r="BW216" s="5"/>
      <c r="BY216" s="40"/>
      <c r="BZ216" s="5"/>
      <c r="CB216" s="40"/>
      <c r="CC216" s="5"/>
      <c r="CE216" s="40"/>
      <c r="CF216" s="5"/>
      <c r="CH216" s="40"/>
      <c r="CI216" s="5"/>
      <c r="CK216" s="40"/>
      <c r="CL216" s="5"/>
      <c r="CN216" s="40"/>
      <c r="CO216" s="5"/>
      <c r="CQ216" s="40"/>
      <c r="CR216" s="5"/>
    </row>
    <row r="217">
      <c r="AO217" s="40"/>
      <c r="AP217" s="5"/>
      <c r="AR217" s="40"/>
      <c r="AS217" s="5"/>
      <c r="AU217" s="40"/>
      <c r="AV217" s="5"/>
      <c r="AX217" s="40"/>
      <c r="AY217" s="5"/>
      <c r="BA217" s="40"/>
      <c r="BB217" s="5"/>
      <c r="BD217" s="40"/>
      <c r="BE217" s="5"/>
      <c r="BG217" s="40"/>
      <c r="BH217" s="5"/>
      <c r="BJ217" s="40"/>
      <c r="BK217" s="5"/>
      <c r="BM217" s="40"/>
      <c r="BN217" s="5"/>
      <c r="BP217" s="40"/>
      <c r="BQ217" s="5"/>
      <c r="BS217" s="40"/>
      <c r="BT217" s="5"/>
      <c r="BV217" s="40"/>
      <c r="BW217" s="5"/>
      <c r="BY217" s="40"/>
      <c r="BZ217" s="5"/>
      <c r="CB217" s="40"/>
      <c r="CC217" s="5"/>
      <c r="CE217" s="40"/>
      <c r="CF217" s="5"/>
      <c r="CH217" s="40"/>
      <c r="CI217" s="5"/>
      <c r="CK217" s="40"/>
      <c r="CL217" s="5"/>
      <c r="CN217" s="40"/>
      <c r="CO217" s="5"/>
      <c r="CQ217" s="40"/>
      <c r="CR217" s="5"/>
    </row>
    <row r="218">
      <c r="AO218" s="40"/>
      <c r="AP218" s="5"/>
      <c r="AR218" s="40"/>
      <c r="AS218" s="5"/>
      <c r="AU218" s="40"/>
      <c r="AV218" s="5"/>
      <c r="AX218" s="40"/>
      <c r="AY218" s="5"/>
      <c r="BA218" s="40"/>
      <c r="BB218" s="5"/>
      <c r="BD218" s="40"/>
      <c r="BE218" s="5"/>
      <c r="BG218" s="40"/>
      <c r="BH218" s="5"/>
      <c r="BJ218" s="40"/>
      <c r="BK218" s="5"/>
      <c r="BM218" s="40"/>
      <c r="BN218" s="5"/>
      <c r="BP218" s="40"/>
      <c r="BQ218" s="5"/>
      <c r="BS218" s="40"/>
      <c r="BT218" s="5"/>
      <c r="BV218" s="40"/>
      <c r="BW218" s="5"/>
      <c r="BY218" s="40"/>
      <c r="BZ218" s="5"/>
      <c r="CB218" s="40"/>
      <c r="CC218" s="5"/>
      <c r="CE218" s="40"/>
      <c r="CF218" s="5"/>
      <c r="CH218" s="40"/>
      <c r="CI218" s="5"/>
      <c r="CK218" s="40"/>
      <c r="CL218" s="5"/>
      <c r="CN218" s="40"/>
      <c r="CO218" s="5"/>
      <c r="CQ218" s="40"/>
      <c r="CR218" s="5"/>
    </row>
    <row r="219">
      <c r="AO219" s="40"/>
      <c r="AP219" s="5"/>
      <c r="AR219" s="40"/>
      <c r="AS219" s="5"/>
      <c r="AU219" s="40"/>
      <c r="AV219" s="5"/>
      <c r="AX219" s="40"/>
      <c r="AY219" s="5"/>
      <c r="BA219" s="40"/>
      <c r="BB219" s="5"/>
      <c r="BD219" s="40"/>
      <c r="BE219" s="5"/>
      <c r="BG219" s="40"/>
      <c r="BH219" s="5"/>
      <c r="BJ219" s="40"/>
      <c r="BK219" s="5"/>
      <c r="BM219" s="40"/>
      <c r="BN219" s="5"/>
      <c r="BP219" s="40"/>
      <c r="BQ219" s="5"/>
      <c r="BS219" s="40"/>
      <c r="BT219" s="5"/>
      <c r="BV219" s="40"/>
      <c r="BW219" s="5"/>
      <c r="BY219" s="40"/>
      <c r="BZ219" s="5"/>
      <c r="CB219" s="40"/>
      <c r="CC219" s="5"/>
      <c r="CE219" s="40"/>
      <c r="CF219" s="5"/>
      <c r="CH219" s="40"/>
      <c r="CI219" s="5"/>
      <c r="CK219" s="40"/>
      <c r="CL219" s="5"/>
      <c r="CN219" s="40"/>
      <c r="CO219" s="5"/>
      <c r="CQ219" s="40"/>
      <c r="CR219" s="5"/>
    </row>
    <row r="220">
      <c r="AO220" s="40"/>
      <c r="AP220" s="5"/>
      <c r="AR220" s="40"/>
      <c r="AS220" s="5"/>
      <c r="AU220" s="40"/>
      <c r="AV220" s="5"/>
      <c r="AX220" s="40"/>
      <c r="AY220" s="5"/>
      <c r="BA220" s="40"/>
      <c r="BB220" s="5"/>
      <c r="BD220" s="40"/>
      <c r="BE220" s="5"/>
      <c r="BG220" s="40"/>
      <c r="BH220" s="5"/>
      <c r="BJ220" s="40"/>
      <c r="BK220" s="5"/>
      <c r="BM220" s="40"/>
      <c r="BN220" s="5"/>
      <c r="BP220" s="40"/>
      <c r="BQ220" s="5"/>
      <c r="BS220" s="40"/>
      <c r="BT220" s="5"/>
      <c r="BV220" s="40"/>
      <c r="BW220" s="5"/>
      <c r="BY220" s="40"/>
      <c r="BZ220" s="5"/>
      <c r="CB220" s="40"/>
      <c r="CC220" s="5"/>
      <c r="CE220" s="40"/>
      <c r="CF220" s="5"/>
      <c r="CH220" s="40"/>
      <c r="CI220" s="5"/>
      <c r="CK220" s="40"/>
      <c r="CL220" s="5"/>
      <c r="CN220" s="40"/>
      <c r="CO220" s="5"/>
      <c r="CQ220" s="40"/>
      <c r="CR220" s="5"/>
    </row>
    <row r="221">
      <c r="AO221" s="40"/>
      <c r="AP221" s="5"/>
      <c r="AR221" s="40"/>
      <c r="AS221" s="5"/>
      <c r="AU221" s="40"/>
      <c r="AV221" s="5"/>
      <c r="AX221" s="40"/>
      <c r="AY221" s="5"/>
      <c r="BA221" s="40"/>
      <c r="BB221" s="5"/>
      <c r="BD221" s="40"/>
      <c r="BE221" s="5"/>
      <c r="BG221" s="40"/>
      <c r="BH221" s="5"/>
      <c r="BJ221" s="40"/>
      <c r="BK221" s="5"/>
      <c r="BM221" s="40"/>
      <c r="BN221" s="5"/>
      <c r="BP221" s="40"/>
      <c r="BQ221" s="5"/>
      <c r="BS221" s="40"/>
      <c r="BT221" s="5"/>
      <c r="BV221" s="40"/>
      <c r="BW221" s="5"/>
      <c r="BY221" s="40"/>
      <c r="BZ221" s="5"/>
      <c r="CB221" s="40"/>
      <c r="CC221" s="5"/>
      <c r="CE221" s="40"/>
      <c r="CF221" s="5"/>
      <c r="CH221" s="40"/>
      <c r="CI221" s="5"/>
      <c r="CK221" s="40"/>
      <c r="CL221" s="5"/>
      <c r="CN221" s="40"/>
      <c r="CO221" s="5"/>
      <c r="CQ221" s="40"/>
      <c r="CR221" s="5"/>
    </row>
    <row r="222">
      <c r="AO222" s="40"/>
      <c r="AP222" s="5"/>
      <c r="AR222" s="40"/>
      <c r="AS222" s="5"/>
      <c r="AU222" s="40"/>
      <c r="AV222" s="5"/>
      <c r="AX222" s="40"/>
      <c r="AY222" s="5"/>
      <c r="BA222" s="40"/>
      <c r="BB222" s="5"/>
      <c r="BD222" s="40"/>
      <c r="BE222" s="5"/>
      <c r="BG222" s="40"/>
      <c r="BH222" s="5"/>
      <c r="BJ222" s="40"/>
      <c r="BK222" s="5"/>
      <c r="BM222" s="40"/>
      <c r="BN222" s="5"/>
      <c r="BP222" s="40"/>
      <c r="BQ222" s="5"/>
      <c r="BS222" s="40"/>
      <c r="BT222" s="5"/>
      <c r="BV222" s="40"/>
      <c r="BW222" s="5"/>
      <c r="BY222" s="40"/>
      <c r="BZ222" s="5"/>
      <c r="CB222" s="40"/>
      <c r="CC222" s="5"/>
      <c r="CE222" s="40"/>
      <c r="CF222" s="5"/>
      <c r="CH222" s="40"/>
      <c r="CI222" s="5"/>
      <c r="CK222" s="40"/>
      <c r="CL222" s="5"/>
      <c r="CN222" s="40"/>
      <c r="CO222" s="5"/>
      <c r="CQ222" s="40"/>
      <c r="CR222" s="5"/>
    </row>
    <row r="223">
      <c r="AO223" s="40"/>
      <c r="AP223" s="5"/>
      <c r="AR223" s="40"/>
      <c r="AS223" s="5"/>
      <c r="AU223" s="40"/>
      <c r="AV223" s="5"/>
      <c r="AX223" s="40"/>
      <c r="AY223" s="5"/>
      <c r="BA223" s="40"/>
      <c r="BB223" s="5"/>
      <c r="BD223" s="40"/>
      <c r="BE223" s="5"/>
      <c r="BG223" s="40"/>
      <c r="BH223" s="5"/>
      <c r="BJ223" s="40"/>
      <c r="BK223" s="5"/>
      <c r="BM223" s="40"/>
      <c r="BN223" s="5"/>
      <c r="BP223" s="40"/>
      <c r="BQ223" s="5"/>
      <c r="BS223" s="40"/>
      <c r="BT223" s="5"/>
      <c r="BV223" s="40"/>
      <c r="BW223" s="5"/>
      <c r="BY223" s="40"/>
      <c r="BZ223" s="5"/>
      <c r="CB223" s="40"/>
      <c r="CC223" s="5"/>
      <c r="CE223" s="40"/>
      <c r="CF223" s="5"/>
      <c r="CH223" s="40"/>
      <c r="CI223" s="5"/>
      <c r="CK223" s="40"/>
      <c r="CL223" s="5"/>
      <c r="CN223" s="40"/>
      <c r="CO223" s="5"/>
      <c r="CQ223" s="40"/>
      <c r="CR223" s="5"/>
    </row>
    <row r="224">
      <c r="AO224" s="40"/>
      <c r="AP224" s="5"/>
      <c r="AR224" s="40"/>
      <c r="AS224" s="5"/>
      <c r="AU224" s="40"/>
      <c r="AV224" s="5"/>
      <c r="AX224" s="40"/>
      <c r="AY224" s="5"/>
      <c r="BA224" s="40"/>
      <c r="BB224" s="5"/>
      <c r="BD224" s="40"/>
      <c r="BE224" s="5"/>
      <c r="BG224" s="40"/>
      <c r="BH224" s="5"/>
      <c r="BJ224" s="40"/>
      <c r="BK224" s="5"/>
      <c r="BM224" s="40"/>
      <c r="BN224" s="5"/>
      <c r="BP224" s="40"/>
      <c r="BQ224" s="5"/>
      <c r="BS224" s="40"/>
      <c r="BT224" s="5"/>
      <c r="BV224" s="40"/>
      <c r="BW224" s="5"/>
      <c r="BY224" s="40"/>
      <c r="BZ224" s="5"/>
      <c r="CB224" s="40"/>
      <c r="CC224" s="5"/>
      <c r="CE224" s="40"/>
      <c r="CF224" s="5"/>
      <c r="CH224" s="40"/>
      <c r="CI224" s="5"/>
      <c r="CK224" s="40"/>
      <c r="CL224" s="5"/>
      <c r="CN224" s="40"/>
      <c r="CO224" s="5"/>
      <c r="CQ224" s="40"/>
      <c r="CR224" s="5"/>
    </row>
    <row r="225">
      <c r="AO225" s="40"/>
      <c r="AP225" s="5"/>
      <c r="AR225" s="40"/>
      <c r="AS225" s="5"/>
      <c r="AU225" s="40"/>
      <c r="AV225" s="5"/>
      <c r="AX225" s="40"/>
      <c r="AY225" s="5"/>
      <c r="BA225" s="40"/>
      <c r="BB225" s="5"/>
      <c r="BD225" s="40"/>
      <c r="BE225" s="5"/>
      <c r="BG225" s="40"/>
      <c r="BH225" s="5"/>
      <c r="BJ225" s="40"/>
      <c r="BK225" s="5"/>
      <c r="BM225" s="40"/>
      <c r="BN225" s="5"/>
      <c r="BP225" s="40"/>
      <c r="BQ225" s="5"/>
      <c r="BS225" s="40"/>
      <c r="BT225" s="5"/>
      <c r="BV225" s="40"/>
      <c r="BW225" s="5"/>
      <c r="BY225" s="40"/>
      <c r="BZ225" s="5"/>
      <c r="CB225" s="40"/>
      <c r="CC225" s="5"/>
      <c r="CE225" s="40"/>
      <c r="CF225" s="5"/>
      <c r="CH225" s="40"/>
      <c r="CI225" s="5"/>
      <c r="CK225" s="40"/>
      <c r="CL225" s="5"/>
      <c r="CN225" s="40"/>
      <c r="CO225" s="5"/>
      <c r="CQ225" s="40"/>
      <c r="CR225" s="5"/>
    </row>
    <row r="226">
      <c r="AO226" s="40"/>
      <c r="AP226" s="5"/>
      <c r="AR226" s="40"/>
      <c r="AS226" s="5"/>
      <c r="AU226" s="40"/>
      <c r="AV226" s="5"/>
      <c r="AX226" s="40"/>
      <c r="AY226" s="5"/>
      <c r="BA226" s="40"/>
      <c r="BB226" s="5"/>
      <c r="BD226" s="40"/>
      <c r="BE226" s="5"/>
      <c r="BG226" s="40"/>
      <c r="BH226" s="5"/>
      <c r="BJ226" s="40"/>
      <c r="BK226" s="5"/>
      <c r="BM226" s="40"/>
      <c r="BN226" s="5"/>
      <c r="BP226" s="40"/>
      <c r="BQ226" s="5"/>
      <c r="BS226" s="40"/>
      <c r="BT226" s="5"/>
      <c r="BV226" s="40"/>
      <c r="BW226" s="5"/>
      <c r="BY226" s="40"/>
      <c r="BZ226" s="5"/>
      <c r="CB226" s="40"/>
      <c r="CC226" s="5"/>
      <c r="CE226" s="40"/>
      <c r="CF226" s="5"/>
      <c r="CH226" s="40"/>
      <c r="CI226" s="5"/>
      <c r="CK226" s="40"/>
      <c r="CL226" s="5"/>
      <c r="CN226" s="40"/>
      <c r="CO226" s="5"/>
      <c r="CQ226" s="40"/>
      <c r="CR226" s="5"/>
    </row>
    <row r="227">
      <c r="AO227" s="40"/>
      <c r="AP227" s="5"/>
      <c r="AR227" s="40"/>
      <c r="AS227" s="5"/>
      <c r="AU227" s="40"/>
      <c r="AV227" s="5"/>
      <c r="AX227" s="40"/>
      <c r="AY227" s="5"/>
      <c r="BA227" s="40"/>
      <c r="BB227" s="5"/>
      <c r="BD227" s="40"/>
      <c r="BE227" s="5"/>
      <c r="BG227" s="40"/>
      <c r="BH227" s="5"/>
      <c r="BJ227" s="40"/>
      <c r="BK227" s="5"/>
      <c r="BM227" s="40"/>
      <c r="BN227" s="5"/>
      <c r="BP227" s="40"/>
      <c r="BQ227" s="5"/>
      <c r="BS227" s="40"/>
      <c r="BT227" s="5"/>
      <c r="BV227" s="40"/>
      <c r="BW227" s="5"/>
      <c r="BY227" s="40"/>
      <c r="BZ227" s="5"/>
      <c r="CB227" s="40"/>
      <c r="CC227" s="5"/>
      <c r="CE227" s="40"/>
      <c r="CF227" s="5"/>
      <c r="CH227" s="40"/>
      <c r="CI227" s="5"/>
      <c r="CK227" s="40"/>
      <c r="CL227" s="5"/>
      <c r="CN227" s="40"/>
      <c r="CO227" s="5"/>
      <c r="CQ227" s="40"/>
      <c r="CR227" s="5"/>
    </row>
    <row r="228">
      <c r="AO228" s="40"/>
      <c r="AP228" s="5"/>
      <c r="AR228" s="40"/>
      <c r="AS228" s="5"/>
      <c r="AU228" s="40"/>
      <c r="AV228" s="5"/>
      <c r="AX228" s="40"/>
      <c r="AY228" s="5"/>
      <c r="BA228" s="40"/>
      <c r="BB228" s="5"/>
      <c r="BD228" s="40"/>
      <c r="BE228" s="5"/>
      <c r="BG228" s="40"/>
      <c r="BH228" s="5"/>
      <c r="BJ228" s="40"/>
      <c r="BK228" s="5"/>
      <c r="BM228" s="40"/>
      <c r="BN228" s="5"/>
      <c r="BP228" s="40"/>
      <c r="BQ228" s="5"/>
      <c r="BS228" s="40"/>
      <c r="BT228" s="5"/>
      <c r="BV228" s="40"/>
      <c r="BW228" s="5"/>
      <c r="BY228" s="40"/>
      <c r="BZ228" s="5"/>
      <c r="CB228" s="40"/>
      <c r="CC228" s="5"/>
      <c r="CE228" s="40"/>
      <c r="CF228" s="5"/>
      <c r="CH228" s="40"/>
      <c r="CI228" s="5"/>
      <c r="CK228" s="40"/>
      <c r="CL228" s="5"/>
      <c r="CN228" s="40"/>
      <c r="CO228" s="5"/>
      <c r="CQ228" s="40"/>
      <c r="CR228" s="5"/>
    </row>
    <row r="229">
      <c r="AO229" s="40"/>
      <c r="AP229" s="5"/>
      <c r="AR229" s="40"/>
      <c r="AS229" s="5"/>
      <c r="AU229" s="40"/>
      <c r="AV229" s="5"/>
      <c r="AX229" s="40"/>
      <c r="AY229" s="5"/>
      <c r="BA229" s="40"/>
      <c r="BB229" s="5"/>
      <c r="BD229" s="40"/>
      <c r="BE229" s="5"/>
      <c r="BG229" s="40"/>
      <c r="BH229" s="5"/>
      <c r="BJ229" s="40"/>
      <c r="BK229" s="5"/>
      <c r="BM229" s="40"/>
      <c r="BN229" s="5"/>
      <c r="BP229" s="40"/>
      <c r="BQ229" s="5"/>
      <c r="BS229" s="40"/>
      <c r="BT229" s="5"/>
      <c r="BV229" s="40"/>
      <c r="BW229" s="5"/>
      <c r="BY229" s="40"/>
      <c r="BZ229" s="5"/>
      <c r="CB229" s="40"/>
      <c r="CC229" s="5"/>
      <c r="CE229" s="40"/>
      <c r="CF229" s="5"/>
      <c r="CH229" s="40"/>
      <c r="CI229" s="5"/>
      <c r="CK229" s="40"/>
      <c r="CL229" s="5"/>
      <c r="CN229" s="40"/>
      <c r="CO229" s="5"/>
      <c r="CQ229" s="40"/>
      <c r="CR229" s="5"/>
    </row>
    <row r="230">
      <c r="AO230" s="40"/>
      <c r="AP230" s="5"/>
      <c r="AR230" s="40"/>
      <c r="AS230" s="5"/>
      <c r="AU230" s="40"/>
      <c r="AV230" s="5"/>
      <c r="AX230" s="40"/>
      <c r="AY230" s="5"/>
      <c r="BA230" s="40"/>
      <c r="BB230" s="5"/>
      <c r="BD230" s="40"/>
      <c r="BE230" s="5"/>
      <c r="BG230" s="40"/>
      <c r="BH230" s="5"/>
      <c r="BJ230" s="40"/>
      <c r="BK230" s="5"/>
      <c r="BM230" s="40"/>
      <c r="BN230" s="5"/>
      <c r="BP230" s="40"/>
      <c r="BQ230" s="5"/>
      <c r="BS230" s="40"/>
      <c r="BT230" s="5"/>
      <c r="BV230" s="40"/>
      <c r="BW230" s="5"/>
      <c r="BY230" s="40"/>
      <c r="BZ230" s="5"/>
      <c r="CB230" s="40"/>
      <c r="CC230" s="5"/>
      <c r="CE230" s="40"/>
      <c r="CF230" s="5"/>
      <c r="CH230" s="40"/>
      <c r="CI230" s="5"/>
      <c r="CK230" s="40"/>
      <c r="CL230" s="5"/>
      <c r="CN230" s="40"/>
      <c r="CO230" s="5"/>
      <c r="CQ230" s="40"/>
      <c r="CR230" s="5"/>
    </row>
    <row r="231">
      <c r="AO231" s="40"/>
      <c r="AP231" s="5"/>
      <c r="AR231" s="40"/>
      <c r="AS231" s="5"/>
      <c r="AU231" s="40"/>
      <c r="AV231" s="5"/>
      <c r="AX231" s="40"/>
      <c r="AY231" s="5"/>
      <c r="BA231" s="40"/>
      <c r="BB231" s="5"/>
      <c r="BD231" s="40"/>
      <c r="BE231" s="5"/>
      <c r="BG231" s="40"/>
      <c r="BH231" s="5"/>
      <c r="BJ231" s="40"/>
      <c r="BK231" s="5"/>
      <c r="BM231" s="40"/>
      <c r="BN231" s="5"/>
      <c r="BP231" s="40"/>
      <c r="BQ231" s="5"/>
      <c r="BS231" s="40"/>
      <c r="BT231" s="5"/>
      <c r="BV231" s="40"/>
      <c r="BW231" s="5"/>
      <c r="BY231" s="40"/>
      <c r="BZ231" s="5"/>
      <c r="CB231" s="40"/>
      <c r="CC231" s="5"/>
      <c r="CE231" s="40"/>
      <c r="CF231" s="5"/>
      <c r="CH231" s="40"/>
      <c r="CI231" s="5"/>
      <c r="CK231" s="40"/>
      <c r="CL231" s="5"/>
      <c r="CN231" s="40"/>
      <c r="CO231" s="5"/>
      <c r="CQ231" s="40"/>
      <c r="CR231" s="5"/>
    </row>
    <row r="232">
      <c r="AO232" s="40"/>
      <c r="AP232" s="5"/>
      <c r="AR232" s="40"/>
      <c r="AS232" s="5"/>
      <c r="AU232" s="40"/>
      <c r="AV232" s="5"/>
      <c r="AX232" s="40"/>
      <c r="AY232" s="5"/>
      <c r="BA232" s="40"/>
      <c r="BB232" s="5"/>
      <c r="BD232" s="40"/>
      <c r="BE232" s="5"/>
      <c r="BG232" s="40"/>
      <c r="BH232" s="5"/>
      <c r="BJ232" s="40"/>
      <c r="BK232" s="5"/>
      <c r="BM232" s="40"/>
      <c r="BN232" s="5"/>
      <c r="BP232" s="40"/>
      <c r="BQ232" s="5"/>
      <c r="BS232" s="40"/>
      <c r="BT232" s="5"/>
      <c r="BV232" s="40"/>
      <c r="BW232" s="5"/>
      <c r="BY232" s="40"/>
      <c r="BZ232" s="5"/>
      <c r="CB232" s="40"/>
      <c r="CC232" s="5"/>
      <c r="CE232" s="40"/>
      <c r="CF232" s="5"/>
      <c r="CH232" s="40"/>
      <c r="CI232" s="5"/>
      <c r="CK232" s="40"/>
      <c r="CL232" s="5"/>
      <c r="CN232" s="40"/>
      <c r="CO232" s="5"/>
      <c r="CQ232" s="40"/>
      <c r="CR232" s="5"/>
    </row>
    <row r="233">
      <c r="AO233" s="40"/>
      <c r="AP233" s="5"/>
      <c r="AR233" s="40"/>
      <c r="AS233" s="5"/>
      <c r="AU233" s="40"/>
      <c r="AV233" s="5"/>
      <c r="AX233" s="40"/>
      <c r="AY233" s="5"/>
      <c r="BA233" s="40"/>
      <c r="BB233" s="5"/>
      <c r="BD233" s="40"/>
      <c r="BE233" s="5"/>
      <c r="BG233" s="40"/>
      <c r="BH233" s="5"/>
      <c r="BJ233" s="40"/>
      <c r="BK233" s="5"/>
      <c r="BM233" s="40"/>
      <c r="BN233" s="5"/>
      <c r="BP233" s="40"/>
      <c r="BQ233" s="5"/>
      <c r="BS233" s="40"/>
      <c r="BT233" s="5"/>
      <c r="BV233" s="40"/>
      <c r="BW233" s="5"/>
      <c r="BY233" s="40"/>
      <c r="BZ233" s="5"/>
      <c r="CB233" s="40"/>
      <c r="CC233" s="5"/>
      <c r="CE233" s="40"/>
      <c r="CF233" s="5"/>
      <c r="CH233" s="40"/>
      <c r="CI233" s="5"/>
      <c r="CK233" s="40"/>
      <c r="CL233" s="5"/>
      <c r="CN233" s="40"/>
      <c r="CO233" s="5"/>
      <c r="CQ233" s="40"/>
      <c r="CR233" s="5"/>
    </row>
    <row r="234">
      <c r="AO234" s="40"/>
      <c r="AP234" s="5"/>
      <c r="AR234" s="40"/>
      <c r="AS234" s="5"/>
      <c r="AU234" s="40"/>
      <c r="AV234" s="5"/>
      <c r="AX234" s="40"/>
      <c r="AY234" s="5"/>
      <c r="BA234" s="40"/>
      <c r="BB234" s="5"/>
      <c r="BD234" s="40"/>
      <c r="BE234" s="5"/>
      <c r="BG234" s="40"/>
      <c r="BH234" s="5"/>
      <c r="BJ234" s="40"/>
      <c r="BK234" s="5"/>
      <c r="BM234" s="40"/>
      <c r="BN234" s="5"/>
      <c r="BP234" s="40"/>
      <c r="BQ234" s="5"/>
      <c r="BS234" s="40"/>
      <c r="BT234" s="5"/>
      <c r="BV234" s="40"/>
      <c r="BW234" s="5"/>
      <c r="BY234" s="40"/>
      <c r="BZ234" s="5"/>
      <c r="CB234" s="40"/>
      <c r="CC234" s="5"/>
      <c r="CE234" s="40"/>
      <c r="CF234" s="5"/>
      <c r="CH234" s="40"/>
      <c r="CI234" s="5"/>
      <c r="CK234" s="40"/>
      <c r="CL234" s="5"/>
      <c r="CN234" s="40"/>
      <c r="CO234" s="5"/>
      <c r="CQ234" s="40"/>
      <c r="CR234" s="5"/>
    </row>
    <row r="235">
      <c r="AO235" s="40"/>
      <c r="AP235" s="5"/>
      <c r="AR235" s="40"/>
      <c r="AS235" s="5"/>
      <c r="AU235" s="40"/>
      <c r="AV235" s="5"/>
      <c r="AX235" s="40"/>
      <c r="AY235" s="5"/>
      <c r="BA235" s="40"/>
      <c r="BB235" s="5"/>
      <c r="BD235" s="40"/>
      <c r="BE235" s="5"/>
      <c r="BG235" s="40"/>
      <c r="BH235" s="5"/>
      <c r="BJ235" s="40"/>
      <c r="BK235" s="5"/>
      <c r="BM235" s="40"/>
      <c r="BN235" s="5"/>
      <c r="BP235" s="40"/>
      <c r="BQ235" s="5"/>
      <c r="BS235" s="40"/>
      <c r="BT235" s="5"/>
      <c r="BV235" s="40"/>
      <c r="BW235" s="5"/>
      <c r="BY235" s="40"/>
      <c r="BZ235" s="5"/>
      <c r="CB235" s="40"/>
      <c r="CC235" s="5"/>
      <c r="CE235" s="40"/>
      <c r="CF235" s="5"/>
      <c r="CH235" s="40"/>
      <c r="CI235" s="5"/>
      <c r="CK235" s="40"/>
      <c r="CL235" s="5"/>
      <c r="CN235" s="40"/>
      <c r="CO235" s="5"/>
      <c r="CQ235" s="40"/>
      <c r="CR235" s="5"/>
    </row>
    <row r="236">
      <c r="AO236" s="40"/>
      <c r="AP236" s="5"/>
      <c r="AR236" s="40"/>
      <c r="AS236" s="5"/>
      <c r="AU236" s="40"/>
      <c r="AV236" s="5"/>
      <c r="AX236" s="40"/>
      <c r="AY236" s="5"/>
      <c r="BA236" s="40"/>
      <c r="BB236" s="5"/>
      <c r="BD236" s="40"/>
      <c r="BE236" s="5"/>
      <c r="BG236" s="40"/>
      <c r="BH236" s="5"/>
      <c r="BJ236" s="40"/>
      <c r="BK236" s="5"/>
      <c r="BM236" s="40"/>
      <c r="BN236" s="5"/>
      <c r="BP236" s="40"/>
      <c r="BQ236" s="5"/>
      <c r="BS236" s="40"/>
      <c r="BT236" s="5"/>
      <c r="BV236" s="40"/>
      <c r="BW236" s="5"/>
      <c r="BY236" s="40"/>
      <c r="BZ236" s="5"/>
      <c r="CB236" s="40"/>
      <c r="CC236" s="5"/>
      <c r="CE236" s="40"/>
      <c r="CF236" s="5"/>
      <c r="CH236" s="40"/>
      <c r="CI236" s="5"/>
      <c r="CK236" s="40"/>
      <c r="CL236" s="5"/>
      <c r="CN236" s="40"/>
      <c r="CO236" s="5"/>
      <c r="CQ236" s="40"/>
      <c r="CR236" s="5"/>
    </row>
    <row r="237">
      <c r="AO237" s="40"/>
      <c r="AP237" s="5"/>
      <c r="AR237" s="40"/>
      <c r="AS237" s="5"/>
      <c r="AU237" s="40"/>
      <c r="AV237" s="5"/>
      <c r="AX237" s="40"/>
      <c r="AY237" s="5"/>
      <c r="BA237" s="40"/>
      <c r="BB237" s="5"/>
      <c r="BD237" s="40"/>
      <c r="BE237" s="5"/>
      <c r="BG237" s="40"/>
      <c r="BH237" s="5"/>
      <c r="BJ237" s="40"/>
      <c r="BK237" s="5"/>
      <c r="BM237" s="40"/>
      <c r="BN237" s="5"/>
      <c r="BP237" s="40"/>
      <c r="BQ237" s="5"/>
      <c r="BS237" s="40"/>
      <c r="BT237" s="5"/>
      <c r="BV237" s="40"/>
      <c r="BW237" s="5"/>
      <c r="BY237" s="40"/>
      <c r="BZ237" s="5"/>
      <c r="CB237" s="40"/>
      <c r="CC237" s="5"/>
      <c r="CE237" s="40"/>
      <c r="CF237" s="5"/>
      <c r="CH237" s="40"/>
      <c r="CI237" s="5"/>
      <c r="CK237" s="40"/>
      <c r="CL237" s="5"/>
      <c r="CN237" s="40"/>
      <c r="CO237" s="5"/>
      <c r="CQ237" s="40"/>
      <c r="CR237" s="5"/>
    </row>
    <row r="238">
      <c r="AO238" s="40"/>
      <c r="AP238" s="5"/>
      <c r="AR238" s="40"/>
      <c r="AS238" s="5"/>
      <c r="AU238" s="40"/>
      <c r="AV238" s="5"/>
      <c r="AX238" s="40"/>
      <c r="AY238" s="5"/>
      <c r="BA238" s="40"/>
      <c r="BB238" s="5"/>
      <c r="BD238" s="40"/>
      <c r="BE238" s="5"/>
      <c r="BG238" s="40"/>
      <c r="BH238" s="5"/>
      <c r="BJ238" s="40"/>
      <c r="BK238" s="5"/>
      <c r="BM238" s="40"/>
      <c r="BN238" s="5"/>
      <c r="BP238" s="40"/>
      <c r="BQ238" s="5"/>
      <c r="BS238" s="40"/>
      <c r="BT238" s="5"/>
      <c r="BV238" s="40"/>
      <c r="BW238" s="5"/>
      <c r="BY238" s="40"/>
      <c r="BZ238" s="5"/>
      <c r="CB238" s="40"/>
      <c r="CC238" s="5"/>
      <c r="CE238" s="40"/>
      <c r="CF238" s="5"/>
      <c r="CH238" s="40"/>
      <c r="CI238" s="5"/>
      <c r="CK238" s="40"/>
      <c r="CL238" s="5"/>
      <c r="CN238" s="40"/>
      <c r="CO238" s="5"/>
      <c r="CQ238" s="40"/>
      <c r="CR238" s="5"/>
    </row>
    <row r="239">
      <c r="AO239" s="40"/>
      <c r="AP239" s="5"/>
      <c r="AR239" s="40"/>
      <c r="AS239" s="5"/>
      <c r="AU239" s="40"/>
      <c r="AV239" s="5"/>
      <c r="AX239" s="40"/>
      <c r="AY239" s="5"/>
      <c r="BA239" s="40"/>
      <c r="BB239" s="5"/>
      <c r="BD239" s="40"/>
      <c r="BE239" s="5"/>
      <c r="BG239" s="40"/>
      <c r="BH239" s="5"/>
      <c r="BJ239" s="40"/>
      <c r="BK239" s="5"/>
      <c r="BM239" s="40"/>
      <c r="BN239" s="5"/>
      <c r="BP239" s="40"/>
      <c r="BQ239" s="5"/>
      <c r="BS239" s="40"/>
      <c r="BT239" s="5"/>
      <c r="BV239" s="40"/>
      <c r="BW239" s="5"/>
      <c r="BY239" s="40"/>
      <c r="BZ239" s="5"/>
      <c r="CB239" s="40"/>
      <c r="CC239" s="5"/>
      <c r="CE239" s="40"/>
      <c r="CF239" s="5"/>
      <c r="CH239" s="40"/>
      <c r="CI239" s="5"/>
      <c r="CK239" s="40"/>
      <c r="CL239" s="5"/>
      <c r="CN239" s="40"/>
      <c r="CO239" s="5"/>
      <c r="CQ239" s="40"/>
      <c r="CR239" s="5"/>
    </row>
    <row r="240">
      <c r="AO240" s="40"/>
      <c r="AP240" s="5"/>
      <c r="AR240" s="40"/>
      <c r="AS240" s="5"/>
      <c r="AU240" s="40"/>
      <c r="AV240" s="5"/>
      <c r="AX240" s="40"/>
      <c r="AY240" s="5"/>
      <c r="BA240" s="40"/>
      <c r="BB240" s="5"/>
      <c r="BD240" s="40"/>
      <c r="BE240" s="5"/>
      <c r="BG240" s="40"/>
      <c r="BH240" s="5"/>
      <c r="BJ240" s="40"/>
      <c r="BK240" s="5"/>
      <c r="BM240" s="40"/>
      <c r="BN240" s="5"/>
      <c r="BP240" s="40"/>
      <c r="BQ240" s="5"/>
      <c r="BS240" s="40"/>
      <c r="BT240" s="5"/>
      <c r="BV240" s="40"/>
      <c r="BW240" s="5"/>
      <c r="BY240" s="40"/>
      <c r="BZ240" s="5"/>
      <c r="CB240" s="40"/>
      <c r="CC240" s="5"/>
      <c r="CE240" s="40"/>
      <c r="CF240" s="5"/>
      <c r="CH240" s="40"/>
      <c r="CI240" s="5"/>
      <c r="CK240" s="40"/>
      <c r="CL240" s="5"/>
      <c r="CN240" s="40"/>
      <c r="CO240" s="5"/>
      <c r="CQ240" s="40"/>
      <c r="CR240" s="5"/>
    </row>
    <row r="241">
      <c r="AO241" s="40"/>
      <c r="AP241" s="5"/>
      <c r="AR241" s="40"/>
      <c r="AS241" s="5"/>
      <c r="AU241" s="40"/>
      <c r="AV241" s="5"/>
      <c r="AX241" s="40"/>
      <c r="AY241" s="5"/>
      <c r="BA241" s="40"/>
      <c r="BB241" s="5"/>
      <c r="BD241" s="40"/>
      <c r="BE241" s="5"/>
      <c r="BG241" s="40"/>
      <c r="BH241" s="5"/>
      <c r="BJ241" s="40"/>
      <c r="BK241" s="5"/>
      <c r="BM241" s="40"/>
      <c r="BN241" s="5"/>
      <c r="BP241" s="40"/>
      <c r="BQ241" s="5"/>
      <c r="BS241" s="40"/>
      <c r="BT241" s="5"/>
      <c r="BV241" s="40"/>
      <c r="BW241" s="5"/>
      <c r="BY241" s="40"/>
      <c r="BZ241" s="5"/>
      <c r="CB241" s="40"/>
      <c r="CC241" s="5"/>
      <c r="CE241" s="40"/>
      <c r="CF241" s="5"/>
      <c r="CH241" s="40"/>
      <c r="CI241" s="5"/>
      <c r="CK241" s="40"/>
      <c r="CL241" s="5"/>
      <c r="CN241" s="40"/>
      <c r="CO241" s="5"/>
      <c r="CQ241" s="40"/>
      <c r="CR241" s="5"/>
    </row>
    <row r="242">
      <c r="AO242" s="40"/>
      <c r="AP242" s="5"/>
      <c r="AR242" s="40"/>
      <c r="AS242" s="5"/>
      <c r="AU242" s="40"/>
      <c r="AV242" s="5"/>
      <c r="AX242" s="40"/>
      <c r="AY242" s="5"/>
      <c r="BA242" s="40"/>
      <c r="BB242" s="5"/>
      <c r="BD242" s="40"/>
      <c r="BE242" s="5"/>
      <c r="BG242" s="40"/>
      <c r="BH242" s="5"/>
      <c r="BJ242" s="40"/>
      <c r="BK242" s="5"/>
      <c r="BM242" s="40"/>
      <c r="BN242" s="5"/>
      <c r="BP242" s="40"/>
      <c r="BQ242" s="5"/>
      <c r="BS242" s="40"/>
      <c r="BT242" s="5"/>
      <c r="BV242" s="40"/>
      <c r="BW242" s="5"/>
      <c r="BY242" s="40"/>
      <c r="BZ242" s="5"/>
      <c r="CB242" s="40"/>
      <c r="CC242" s="5"/>
      <c r="CE242" s="40"/>
      <c r="CF242" s="5"/>
      <c r="CH242" s="40"/>
      <c r="CI242" s="5"/>
      <c r="CK242" s="40"/>
      <c r="CL242" s="5"/>
      <c r="CN242" s="40"/>
      <c r="CO242" s="5"/>
      <c r="CQ242" s="40"/>
      <c r="CR242" s="5"/>
    </row>
    <row r="243">
      <c r="AO243" s="40"/>
      <c r="AP243" s="5"/>
      <c r="AR243" s="40"/>
      <c r="AS243" s="5"/>
      <c r="AU243" s="40"/>
      <c r="AV243" s="5"/>
      <c r="AX243" s="40"/>
      <c r="AY243" s="5"/>
      <c r="BA243" s="40"/>
      <c r="BB243" s="5"/>
      <c r="BD243" s="40"/>
      <c r="BE243" s="5"/>
      <c r="BG243" s="40"/>
      <c r="BH243" s="5"/>
      <c r="BJ243" s="40"/>
      <c r="BK243" s="5"/>
      <c r="BM243" s="40"/>
      <c r="BN243" s="5"/>
      <c r="BP243" s="40"/>
      <c r="BQ243" s="5"/>
      <c r="BS243" s="40"/>
      <c r="BT243" s="5"/>
      <c r="BV243" s="40"/>
      <c r="BW243" s="5"/>
      <c r="BY243" s="40"/>
      <c r="BZ243" s="5"/>
      <c r="CB243" s="40"/>
      <c r="CC243" s="5"/>
      <c r="CE243" s="40"/>
      <c r="CF243" s="5"/>
      <c r="CH243" s="40"/>
      <c r="CI243" s="5"/>
      <c r="CK243" s="40"/>
      <c r="CL243" s="5"/>
      <c r="CN243" s="40"/>
      <c r="CO243" s="5"/>
      <c r="CQ243" s="40"/>
      <c r="CR243" s="5"/>
    </row>
    <row r="244">
      <c r="AO244" s="40"/>
      <c r="AP244" s="5"/>
      <c r="AR244" s="40"/>
      <c r="AS244" s="5"/>
      <c r="AU244" s="40"/>
      <c r="AV244" s="5"/>
      <c r="AX244" s="40"/>
      <c r="AY244" s="5"/>
      <c r="BA244" s="40"/>
      <c r="BB244" s="5"/>
      <c r="BD244" s="40"/>
      <c r="BE244" s="5"/>
      <c r="BG244" s="40"/>
      <c r="BH244" s="5"/>
      <c r="BJ244" s="40"/>
      <c r="BK244" s="5"/>
      <c r="BM244" s="40"/>
      <c r="BN244" s="5"/>
      <c r="BP244" s="40"/>
      <c r="BQ244" s="5"/>
      <c r="BS244" s="40"/>
      <c r="BT244" s="5"/>
      <c r="BV244" s="40"/>
      <c r="BW244" s="5"/>
      <c r="BY244" s="40"/>
      <c r="BZ244" s="5"/>
      <c r="CB244" s="40"/>
      <c r="CC244" s="5"/>
      <c r="CE244" s="40"/>
      <c r="CF244" s="5"/>
      <c r="CH244" s="40"/>
      <c r="CI244" s="5"/>
      <c r="CK244" s="40"/>
      <c r="CL244" s="5"/>
      <c r="CN244" s="40"/>
      <c r="CO244" s="5"/>
      <c r="CQ244" s="40"/>
      <c r="CR244" s="5"/>
    </row>
    <row r="245">
      <c r="AO245" s="40"/>
      <c r="AP245" s="5"/>
      <c r="AR245" s="40"/>
      <c r="AS245" s="5"/>
      <c r="AU245" s="40"/>
      <c r="AV245" s="5"/>
      <c r="AX245" s="40"/>
      <c r="AY245" s="5"/>
      <c r="BA245" s="40"/>
      <c r="BB245" s="5"/>
      <c r="BD245" s="40"/>
      <c r="BE245" s="5"/>
      <c r="BG245" s="40"/>
      <c r="BH245" s="5"/>
      <c r="BJ245" s="40"/>
      <c r="BK245" s="5"/>
      <c r="BM245" s="40"/>
      <c r="BN245" s="5"/>
      <c r="BP245" s="40"/>
      <c r="BQ245" s="5"/>
      <c r="BS245" s="40"/>
      <c r="BT245" s="5"/>
      <c r="BV245" s="40"/>
      <c r="BW245" s="5"/>
      <c r="BY245" s="40"/>
      <c r="BZ245" s="5"/>
      <c r="CB245" s="40"/>
      <c r="CC245" s="5"/>
      <c r="CE245" s="40"/>
      <c r="CF245" s="5"/>
      <c r="CH245" s="40"/>
      <c r="CI245" s="5"/>
      <c r="CK245" s="40"/>
      <c r="CL245" s="5"/>
      <c r="CN245" s="40"/>
      <c r="CO245" s="5"/>
      <c r="CQ245" s="40"/>
      <c r="CR245" s="5"/>
    </row>
    <row r="246">
      <c r="AO246" s="40"/>
      <c r="AP246" s="5"/>
      <c r="AR246" s="40"/>
      <c r="AS246" s="5"/>
      <c r="AU246" s="40"/>
      <c r="AV246" s="5"/>
      <c r="AX246" s="40"/>
      <c r="AY246" s="5"/>
      <c r="BA246" s="40"/>
      <c r="BB246" s="5"/>
      <c r="BD246" s="40"/>
      <c r="BE246" s="5"/>
      <c r="BG246" s="40"/>
      <c r="BH246" s="5"/>
      <c r="BJ246" s="40"/>
      <c r="BK246" s="5"/>
      <c r="BM246" s="40"/>
      <c r="BN246" s="5"/>
      <c r="BP246" s="40"/>
      <c r="BQ246" s="5"/>
      <c r="BS246" s="40"/>
      <c r="BT246" s="5"/>
      <c r="BV246" s="40"/>
      <c r="BW246" s="5"/>
      <c r="BY246" s="40"/>
      <c r="BZ246" s="5"/>
      <c r="CB246" s="40"/>
      <c r="CC246" s="5"/>
      <c r="CE246" s="40"/>
      <c r="CF246" s="5"/>
      <c r="CH246" s="40"/>
      <c r="CI246" s="5"/>
      <c r="CK246" s="40"/>
      <c r="CL246" s="5"/>
      <c r="CN246" s="40"/>
      <c r="CO246" s="5"/>
      <c r="CQ246" s="40"/>
      <c r="CR246" s="5"/>
    </row>
    <row r="247">
      <c r="AO247" s="40"/>
      <c r="AP247" s="5"/>
      <c r="AR247" s="40"/>
      <c r="AS247" s="5"/>
      <c r="AU247" s="40"/>
      <c r="AV247" s="5"/>
      <c r="AX247" s="40"/>
      <c r="AY247" s="5"/>
      <c r="BA247" s="40"/>
      <c r="BB247" s="5"/>
      <c r="BD247" s="40"/>
      <c r="BE247" s="5"/>
      <c r="BG247" s="40"/>
      <c r="BH247" s="5"/>
      <c r="BJ247" s="40"/>
      <c r="BK247" s="5"/>
      <c r="BM247" s="40"/>
      <c r="BN247" s="5"/>
      <c r="BP247" s="40"/>
      <c r="BQ247" s="5"/>
      <c r="BS247" s="40"/>
      <c r="BT247" s="5"/>
      <c r="BV247" s="40"/>
      <c r="BW247" s="5"/>
      <c r="BY247" s="40"/>
      <c r="BZ247" s="5"/>
      <c r="CB247" s="40"/>
      <c r="CC247" s="5"/>
      <c r="CE247" s="40"/>
      <c r="CF247" s="5"/>
      <c r="CH247" s="40"/>
      <c r="CI247" s="5"/>
      <c r="CK247" s="40"/>
      <c r="CL247" s="5"/>
      <c r="CN247" s="40"/>
      <c r="CO247" s="5"/>
      <c r="CQ247" s="40"/>
      <c r="CR247" s="5"/>
    </row>
    <row r="248">
      <c r="AO248" s="40"/>
      <c r="AP248" s="5"/>
      <c r="AR248" s="40"/>
      <c r="AS248" s="5"/>
      <c r="AU248" s="40"/>
      <c r="AV248" s="5"/>
      <c r="AX248" s="40"/>
      <c r="AY248" s="5"/>
      <c r="BA248" s="40"/>
      <c r="BB248" s="5"/>
      <c r="BD248" s="40"/>
      <c r="BE248" s="5"/>
      <c r="BG248" s="40"/>
      <c r="BH248" s="5"/>
      <c r="BJ248" s="40"/>
      <c r="BK248" s="5"/>
      <c r="BM248" s="40"/>
      <c r="BN248" s="5"/>
      <c r="BP248" s="40"/>
      <c r="BQ248" s="5"/>
      <c r="BS248" s="40"/>
      <c r="BT248" s="5"/>
      <c r="BV248" s="40"/>
      <c r="BW248" s="5"/>
      <c r="BY248" s="40"/>
      <c r="BZ248" s="5"/>
      <c r="CB248" s="40"/>
      <c r="CC248" s="5"/>
      <c r="CE248" s="40"/>
      <c r="CF248" s="5"/>
      <c r="CH248" s="40"/>
      <c r="CI248" s="5"/>
      <c r="CK248" s="40"/>
      <c r="CL248" s="5"/>
      <c r="CN248" s="40"/>
      <c r="CO248" s="5"/>
      <c r="CQ248" s="40"/>
      <c r="CR248" s="5"/>
    </row>
    <row r="249">
      <c r="AO249" s="40"/>
      <c r="AP249" s="5"/>
      <c r="AR249" s="40"/>
      <c r="AS249" s="5"/>
      <c r="AU249" s="40"/>
      <c r="AV249" s="5"/>
      <c r="AX249" s="40"/>
      <c r="AY249" s="5"/>
      <c r="BA249" s="40"/>
      <c r="BB249" s="5"/>
      <c r="BD249" s="40"/>
      <c r="BE249" s="5"/>
      <c r="BG249" s="40"/>
      <c r="BH249" s="5"/>
      <c r="BJ249" s="40"/>
      <c r="BK249" s="5"/>
      <c r="BM249" s="40"/>
      <c r="BN249" s="5"/>
      <c r="BP249" s="40"/>
      <c r="BQ249" s="5"/>
      <c r="BS249" s="40"/>
      <c r="BT249" s="5"/>
      <c r="BV249" s="40"/>
      <c r="BW249" s="5"/>
      <c r="BY249" s="40"/>
      <c r="BZ249" s="5"/>
      <c r="CB249" s="40"/>
      <c r="CC249" s="5"/>
      <c r="CE249" s="40"/>
      <c r="CF249" s="5"/>
      <c r="CH249" s="40"/>
      <c r="CI249" s="5"/>
      <c r="CK249" s="40"/>
      <c r="CL249" s="5"/>
      <c r="CN249" s="40"/>
      <c r="CO249" s="5"/>
      <c r="CQ249" s="40"/>
      <c r="CR249" s="5"/>
    </row>
    <row r="250">
      <c r="AO250" s="40"/>
      <c r="AP250" s="5"/>
      <c r="AR250" s="40"/>
      <c r="AS250" s="5"/>
      <c r="AU250" s="40"/>
      <c r="AV250" s="5"/>
      <c r="AX250" s="40"/>
      <c r="AY250" s="5"/>
      <c r="BA250" s="40"/>
      <c r="BB250" s="5"/>
      <c r="BD250" s="40"/>
      <c r="BE250" s="5"/>
      <c r="BG250" s="40"/>
      <c r="BH250" s="5"/>
      <c r="BJ250" s="40"/>
      <c r="BK250" s="5"/>
      <c r="BM250" s="40"/>
      <c r="BN250" s="5"/>
      <c r="BP250" s="40"/>
      <c r="BQ250" s="5"/>
      <c r="BS250" s="40"/>
      <c r="BT250" s="5"/>
      <c r="BV250" s="40"/>
      <c r="BW250" s="5"/>
      <c r="BY250" s="40"/>
      <c r="BZ250" s="5"/>
      <c r="CB250" s="40"/>
      <c r="CC250" s="5"/>
      <c r="CE250" s="40"/>
      <c r="CF250" s="5"/>
      <c r="CH250" s="40"/>
      <c r="CI250" s="5"/>
      <c r="CK250" s="40"/>
      <c r="CL250" s="5"/>
      <c r="CN250" s="40"/>
      <c r="CO250" s="5"/>
      <c r="CQ250" s="40"/>
      <c r="CR250" s="5"/>
    </row>
    <row r="251">
      <c r="AO251" s="40"/>
      <c r="AP251" s="5"/>
      <c r="AR251" s="40"/>
      <c r="AS251" s="5"/>
      <c r="AU251" s="40"/>
      <c r="AV251" s="5"/>
      <c r="AX251" s="40"/>
      <c r="AY251" s="5"/>
      <c r="BA251" s="40"/>
      <c r="BB251" s="5"/>
      <c r="BD251" s="40"/>
      <c r="BE251" s="5"/>
      <c r="BG251" s="40"/>
      <c r="BH251" s="5"/>
      <c r="BJ251" s="40"/>
      <c r="BK251" s="5"/>
      <c r="BM251" s="40"/>
      <c r="BN251" s="5"/>
      <c r="BP251" s="40"/>
      <c r="BQ251" s="5"/>
      <c r="BS251" s="40"/>
      <c r="BT251" s="5"/>
      <c r="BV251" s="40"/>
      <c r="BW251" s="5"/>
      <c r="BY251" s="40"/>
      <c r="BZ251" s="5"/>
      <c r="CB251" s="40"/>
      <c r="CC251" s="5"/>
      <c r="CE251" s="40"/>
      <c r="CF251" s="5"/>
      <c r="CH251" s="40"/>
      <c r="CI251" s="5"/>
      <c r="CK251" s="40"/>
      <c r="CL251" s="5"/>
      <c r="CN251" s="40"/>
      <c r="CO251" s="5"/>
      <c r="CQ251" s="40"/>
      <c r="CR251" s="5"/>
    </row>
    <row r="252">
      <c r="AO252" s="40"/>
      <c r="AP252" s="5"/>
      <c r="AR252" s="40"/>
      <c r="AS252" s="5"/>
      <c r="AU252" s="40"/>
      <c r="AV252" s="5"/>
      <c r="AX252" s="40"/>
      <c r="AY252" s="5"/>
      <c r="BA252" s="40"/>
      <c r="BB252" s="5"/>
      <c r="BD252" s="40"/>
      <c r="BE252" s="5"/>
      <c r="BG252" s="40"/>
      <c r="BH252" s="5"/>
      <c r="BJ252" s="40"/>
      <c r="BK252" s="5"/>
      <c r="BM252" s="40"/>
      <c r="BN252" s="5"/>
      <c r="BP252" s="40"/>
      <c r="BQ252" s="5"/>
      <c r="BS252" s="40"/>
      <c r="BT252" s="5"/>
      <c r="BV252" s="40"/>
      <c r="BW252" s="5"/>
      <c r="BY252" s="40"/>
      <c r="BZ252" s="5"/>
      <c r="CB252" s="40"/>
      <c r="CC252" s="5"/>
      <c r="CE252" s="40"/>
      <c r="CF252" s="5"/>
      <c r="CH252" s="40"/>
      <c r="CI252" s="5"/>
      <c r="CK252" s="40"/>
      <c r="CL252" s="5"/>
      <c r="CN252" s="40"/>
      <c r="CO252" s="5"/>
      <c r="CQ252" s="40"/>
      <c r="CR252" s="5"/>
    </row>
    <row r="253">
      <c r="AO253" s="40"/>
      <c r="AP253" s="5"/>
      <c r="AR253" s="40"/>
      <c r="AS253" s="5"/>
      <c r="AU253" s="40"/>
      <c r="AV253" s="5"/>
      <c r="AX253" s="40"/>
      <c r="AY253" s="5"/>
      <c r="BA253" s="40"/>
      <c r="BB253" s="5"/>
      <c r="BD253" s="40"/>
      <c r="BE253" s="5"/>
      <c r="BG253" s="40"/>
      <c r="BH253" s="5"/>
      <c r="BJ253" s="40"/>
      <c r="BK253" s="5"/>
      <c r="BM253" s="40"/>
      <c r="BN253" s="5"/>
      <c r="BP253" s="40"/>
      <c r="BQ253" s="5"/>
      <c r="BS253" s="40"/>
      <c r="BT253" s="5"/>
      <c r="BV253" s="40"/>
      <c r="BW253" s="5"/>
      <c r="BY253" s="40"/>
      <c r="BZ253" s="5"/>
      <c r="CB253" s="40"/>
      <c r="CC253" s="5"/>
      <c r="CE253" s="40"/>
      <c r="CF253" s="5"/>
      <c r="CH253" s="40"/>
      <c r="CI253" s="5"/>
      <c r="CK253" s="40"/>
      <c r="CL253" s="5"/>
      <c r="CN253" s="40"/>
      <c r="CO253" s="5"/>
      <c r="CQ253" s="40"/>
      <c r="CR253" s="5"/>
    </row>
    <row r="254">
      <c r="AO254" s="40"/>
      <c r="AP254" s="5"/>
      <c r="AR254" s="40"/>
      <c r="AS254" s="5"/>
      <c r="AU254" s="40"/>
      <c r="AV254" s="5"/>
      <c r="AX254" s="40"/>
      <c r="AY254" s="5"/>
      <c r="BA254" s="40"/>
      <c r="BB254" s="5"/>
      <c r="BD254" s="40"/>
      <c r="BE254" s="5"/>
      <c r="BG254" s="40"/>
      <c r="BH254" s="5"/>
      <c r="BJ254" s="40"/>
      <c r="BK254" s="5"/>
      <c r="BM254" s="40"/>
      <c r="BN254" s="5"/>
      <c r="BP254" s="40"/>
      <c r="BQ254" s="5"/>
      <c r="BS254" s="40"/>
      <c r="BT254" s="5"/>
      <c r="BV254" s="40"/>
      <c r="BW254" s="5"/>
      <c r="BY254" s="40"/>
      <c r="BZ254" s="5"/>
      <c r="CB254" s="40"/>
      <c r="CC254" s="5"/>
      <c r="CE254" s="40"/>
      <c r="CF254" s="5"/>
      <c r="CH254" s="40"/>
      <c r="CI254" s="5"/>
      <c r="CK254" s="40"/>
      <c r="CL254" s="5"/>
      <c r="CN254" s="40"/>
      <c r="CO254" s="5"/>
      <c r="CQ254" s="40"/>
      <c r="CR254" s="5"/>
    </row>
    <row r="255">
      <c r="AO255" s="40"/>
      <c r="AP255" s="5"/>
      <c r="AR255" s="40"/>
      <c r="AS255" s="5"/>
      <c r="AU255" s="40"/>
      <c r="AV255" s="5"/>
      <c r="AX255" s="40"/>
      <c r="AY255" s="5"/>
      <c r="BA255" s="40"/>
      <c r="BB255" s="5"/>
      <c r="BD255" s="40"/>
      <c r="BE255" s="5"/>
      <c r="BG255" s="40"/>
      <c r="BH255" s="5"/>
      <c r="BJ255" s="40"/>
      <c r="BK255" s="5"/>
      <c r="BM255" s="40"/>
      <c r="BN255" s="5"/>
      <c r="BP255" s="40"/>
      <c r="BQ255" s="5"/>
      <c r="BS255" s="40"/>
      <c r="BT255" s="5"/>
      <c r="BV255" s="40"/>
      <c r="BW255" s="5"/>
      <c r="BY255" s="40"/>
      <c r="BZ255" s="5"/>
      <c r="CB255" s="40"/>
      <c r="CC255" s="5"/>
      <c r="CE255" s="40"/>
      <c r="CF255" s="5"/>
      <c r="CH255" s="40"/>
      <c r="CI255" s="5"/>
      <c r="CK255" s="40"/>
      <c r="CL255" s="5"/>
      <c r="CN255" s="40"/>
      <c r="CO255" s="5"/>
      <c r="CQ255" s="40"/>
      <c r="CR255" s="5"/>
    </row>
    <row r="256">
      <c r="AO256" s="40"/>
      <c r="AP256" s="5"/>
      <c r="AR256" s="40"/>
      <c r="AS256" s="5"/>
      <c r="AU256" s="40"/>
      <c r="AV256" s="5"/>
      <c r="AX256" s="40"/>
      <c r="AY256" s="5"/>
      <c r="BA256" s="40"/>
      <c r="BB256" s="5"/>
      <c r="BD256" s="40"/>
      <c r="BE256" s="5"/>
      <c r="BG256" s="40"/>
      <c r="BH256" s="5"/>
      <c r="BJ256" s="40"/>
      <c r="BK256" s="5"/>
      <c r="BM256" s="40"/>
      <c r="BN256" s="5"/>
      <c r="BP256" s="40"/>
      <c r="BQ256" s="5"/>
      <c r="BS256" s="40"/>
      <c r="BT256" s="5"/>
      <c r="BV256" s="40"/>
      <c r="BW256" s="5"/>
      <c r="BY256" s="40"/>
      <c r="BZ256" s="5"/>
      <c r="CB256" s="40"/>
      <c r="CC256" s="5"/>
      <c r="CE256" s="40"/>
      <c r="CF256" s="5"/>
      <c r="CH256" s="40"/>
      <c r="CI256" s="5"/>
      <c r="CK256" s="40"/>
      <c r="CL256" s="5"/>
      <c r="CN256" s="40"/>
      <c r="CO256" s="5"/>
      <c r="CQ256" s="40"/>
      <c r="CR256" s="5"/>
    </row>
    <row r="257">
      <c r="AO257" s="40"/>
      <c r="AP257" s="5"/>
      <c r="AR257" s="40"/>
      <c r="AS257" s="5"/>
      <c r="AU257" s="40"/>
      <c r="AV257" s="5"/>
      <c r="AX257" s="40"/>
      <c r="AY257" s="5"/>
      <c r="BA257" s="40"/>
      <c r="BB257" s="5"/>
      <c r="BD257" s="40"/>
      <c r="BE257" s="5"/>
      <c r="BG257" s="40"/>
      <c r="BH257" s="5"/>
      <c r="BJ257" s="40"/>
      <c r="BK257" s="5"/>
      <c r="BM257" s="40"/>
      <c r="BN257" s="5"/>
      <c r="BP257" s="40"/>
      <c r="BQ257" s="5"/>
      <c r="BS257" s="40"/>
      <c r="BT257" s="5"/>
      <c r="BV257" s="40"/>
      <c r="BW257" s="5"/>
      <c r="BY257" s="40"/>
      <c r="BZ257" s="5"/>
      <c r="CB257" s="40"/>
      <c r="CC257" s="5"/>
      <c r="CE257" s="40"/>
      <c r="CF257" s="5"/>
      <c r="CH257" s="40"/>
      <c r="CI257" s="5"/>
      <c r="CK257" s="40"/>
      <c r="CL257" s="5"/>
      <c r="CN257" s="40"/>
      <c r="CO257" s="5"/>
      <c r="CQ257" s="40"/>
      <c r="CR257" s="5"/>
    </row>
    <row r="258">
      <c r="AO258" s="40"/>
      <c r="AP258" s="5"/>
      <c r="AR258" s="40"/>
      <c r="AS258" s="5"/>
      <c r="AU258" s="40"/>
      <c r="AV258" s="5"/>
      <c r="AX258" s="40"/>
      <c r="AY258" s="5"/>
      <c r="BA258" s="40"/>
      <c r="BB258" s="5"/>
      <c r="BD258" s="40"/>
      <c r="BE258" s="5"/>
      <c r="BG258" s="40"/>
      <c r="BH258" s="5"/>
      <c r="BJ258" s="40"/>
      <c r="BK258" s="5"/>
      <c r="BM258" s="40"/>
      <c r="BN258" s="5"/>
      <c r="BP258" s="40"/>
      <c r="BQ258" s="5"/>
      <c r="BS258" s="40"/>
      <c r="BT258" s="5"/>
      <c r="BV258" s="40"/>
      <c r="BW258" s="5"/>
      <c r="BY258" s="40"/>
      <c r="BZ258" s="5"/>
      <c r="CB258" s="40"/>
      <c r="CC258" s="5"/>
      <c r="CE258" s="40"/>
      <c r="CF258" s="5"/>
      <c r="CH258" s="40"/>
      <c r="CI258" s="5"/>
      <c r="CK258" s="40"/>
      <c r="CL258" s="5"/>
      <c r="CN258" s="40"/>
      <c r="CO258" s="5"/>
      <c r="CQ258" s="40"/>
      <c r="CR258" s="5"/>
    </row>
    <row r="259">
      <c r="AO259" s="40"/>
      <c r="AP259" s="5"/>
      <c r="AR259" s="40"/>
      <c r="AS259" s="5"/>
      <c r="AU259" s="40"/>
      <c r="AV259" s="5"/>
      <c r="AX259" s="40"/>
      <c r="AY259" s="5"/>
      <c r="BA259" s="40"/>
      <c r="BB259" s="5"/>
      <c r="BD259" s="40"/>
      <c r="BE259" s="5"/>
      <c r="BG259" s="40"/>
      <c r="BH259" s="5"/>
      <c r="BJ259" s="40"/>
      <c r="BK259" s="5"/>
      <c r="BM259" s="40"/>
      <c r="BN259" s="5"/>
      <c r="BP259" s="40"/>
      <c r="BQ259" s="5"/>
      <c r="BS259" s="40"/>
      <c r="BT259" s="5"/>
      <c r="BV259" s="40"/>
      <c r="BW259" s="5"/>
      <c r="BY259" s="40"/>
      <c r="BZ259" s="5"/>
      <c r="CB259" s="40"/>
      <c r="CC259" s="5"/>
      <c r="CE259" s="40"/>
      <c r="CF259" s="5"/>
      <c r="CH259" s="40"/>
      <c r="CI259" s="5"/>
      <c r="CK259" s="40"/>
      <c r="CL259" s="5"/>
      <c r="CN259" s="40"/>
      <c r="CO259" s="5"/>
      <c r="CQ259" s="40"/>
      <c r="CR259" s="5"/>
    </row>
    <row r="260">
      <c r="AO260" s="40"/>
      <c r="AP260" s="5"/>
      <c r="AR260" s="40"/>
      <c r="AS260" s="5"/>
      <c r="AU260" s="40"/>
      <c r="AV260" s="5"/>
      <c r="AX260" s="40"/>
      <c r="AY260" s="5"/>
      <c r="BA260" s="40"/>
      <c r="BB260" s="5"/>
      <c r="BD260" s="40"/>
      <c r="BE260" s="5"/>
      <c r="BG260" s="40"/>
      <c r="BH260" s="5"/>
      <c r="BJ260" s="40"/>
      <c r="BK260" s="5"/>
      <c r="BM260" s="40"/>
      <c r="BN260" s="5"/>
      <c r="BP260" s="40"/>
      <c r="BQ260" s="5"/>
      <c r="BS260" s="40"/>
      <c r="BT260" s="5"/>
      <c r="BV260" s="40"/>
      <c r="BW260" s="5"/>
      <c r="BY260" s="40"/>
      <c r="BZ260" s="5"/>
      <c r="CB260" s="40"/>
      <c r="CC260" s="5"/>
      <c r="CE260" s="40"/>
      <c r="CF260" s="5"/>
      <c r="CH260" s="40"/>
      <c r="CI260" s="5"/>
      <c r="CK260" s="40"/>
      <c r="CL260" s="5"/>
      <c r="CN260" s="40"/>
      <c r="CO260" s="5"/>
      <c r="CQ260" s="40"/>
      <c r="CR260" s="5"/>
    </row>
    <row r="261">
      <c r="AO261" s="40"/>
      <c r="AP261" s="5"/>
      <c r="AR261" s="40"/>
      <c r="AS261" s="5"/>
      <c r="AU261" s="40"/>
      <c r="AV261" s="5"/>
      <c r="AX261" s="40"/>
      <c r="AY261" s="5"/>
      <c r="BA261" s="40"/>
      <c r="BB261" s="5"/>
      <c r="BD261" s="40"/>
      <c r="BE261" s="5"/>
      <c r="BG261" s="40"/>
      <c r="BH261" s="5"/>
      <c r="BJ261" s="40"/>
      <c r="BK261" s="5"/>
      <c r="BM261" s="40"/>
      <c r="BN261" s="5"/>
      <c r="BP261" s="40"/>
      <c r="BQ261" s="5"/>
      <c r="BS261" s="40"/>
      <c r="BT261" s="5"/>
      <c r="BV261" s="40"/>
      <c r="BW261" s="5"/>
      <c r="BY261" s="40"/>
      <c r="BZ261" s="5"/>
      <c r="CB261" s="40"/>
      <c r="CC261" s="5"/>
      <c r="CE261" s="40"/>
      <c r="CF261" s="5"/>
      <c r="CH261" s="40"/>
      <c r="CI261" s="5"/>
      <c r="CK261" s="40"/>
      <c r="CL261" s="5"/>
      <c r="CN261" s="40"/>
      <c r="CO261" s="5"/>
      <c r="CQ261" s="40"/>
      <c r="CR261" s="5"/>
    </row>
    <row r="262">
      <c r="AO262" s="40"/>
      <c r="AP262" s="5"/>
      <c r="AR262" s="40"/>
      <c r="AS262" s="5"/>
      <c r="AU262" s="40"/>
      <c r="AV262" s="5"/>
      <c r="AX262" s="40"/>
      <c r="AY262" s="5"/>
      <c r="BA262" s="40"/>
      <c r="BB262" s="5"/>
      <c r="BD262" s="40"/>
      <c r="BE262" s="5"/>
      <c r="BG262" s="40"/>
      <c r="BH262" s="5"/>
      <c r="BJ262" s="40"/>
      <c r="BK262" s="5"/>
      <c r="BM262" s="40"/>
      <c r="BN262" s="5"/>
      <c r="BP262" s="40"/>
      <c r="BQ262" s="5"/>
      <c r="BS262" s="40"/>
      <c r="BT262" s="5"/>
      <c r="BV262" s="40"/>
      <c r="BW262" s="5"/>
      <c r="BY262" s="40"/>
      <c r="BZ262" s="5"/>
      <c r="CB262" s="40"/>
      <c r="CC262" s="5"/>
      <c r="CE262" s="40"/>
      <c r="CF262" s="5"/>
      <c r="CH262" s="40"/>
      <c r="CI262" s="5"/>
      <c r="CK262" s="40"/>
      <c r="CL262" s="5"/>
      <c r="CN262" s="40"/>
      <c r="CO262" s="5"/>
      <c r="CQ262" s="40"/>
      <c r="CR262" s="5"/>
    </row>
    <row r="263">
      <c r="AO263" s="40"/>
      <c r="AP263" s="5"/>
      <c r="AR263" s="40"/>
      <c r="AS263" s="5"/>
      <c r="AU263" s="40"/>
      <c r="AV263" s="5"/>
      <c r="AX263" s="40"/>
      <c r="AY263" s="5"/>
      <c r="BA263" s="40"/>
      <c r="BB263" s="5"/>
      <c r="BD263" s="40"/>
      <c r="BE263" s="5"/>
      <c r="BG263" s="40"/>
      <c r="BH263" s="5"/>
      <c r="BJ263" s="40"/>
      <c r="BK263" s="5"/>
      <c r="BM263" s="40"/>
      <c r="BN263" s="5"/>
      <c r="BP263" s="40"/>
      <c r="BQ263" s="5"/>
      <c r="BS263" s="40"/>
      <c r="BT263" s="5"/>
      <c r="BV263" s="40"/>
      <c r="BW263" s="5"/>
      <c r="BY263" s="40"/>
      <c r="BZ263" s="5"/>
      <c r="CB263" s="40"/>
      <c r="CC263" s="5"/>
      <c r="CE263" s="40"/>
      <c r="CF263" s="5"/>
      <c r="CH263" s="40"/>
      <c r="CI263" s="5"/>
      <c r="CK263" s="40"/>
      <c r="CL263" s="5"/>
      <c r="CN263" s="40"/>
      <c r="CO263" s="5"/>
      <c r="CQ263" s="40"/>
      <c r="CR263" s="5"/>
    </row>
    <row r="264">
      <c r="AO264" s="40"/>
      <c r="AP264" s="5"/>
      <c r="AR264" s="40"/>
      <c r="AS264" s="5"/>
      <c r="AU264" s="40"/>
      <c r="AV264" s="5"/>
      <c r="AX264" s="40"/>
      <c r="AY264" s="5"/>
      <c r="BA264" s="40"/>
      <c r="BB264" s="5"/>
      <c r="BD264" s="40"/>
      <c r="BE264" s="5"/>
      <c r="BG264" s="40"/>
      <c r="BH264" s="5"/>
      <c r="BJ264" s="40"/>
      <c r="BK264" s="5"/>
      <c r="BM264" s="40"/>
      <c r="BN264" s="5"/>
      <c r="BP264" s="40"/>
      <c r="BQ264" s="5"/>
      <c r="BS264" s="40"/>
      <c r="BT264" s="5"/>
      <c r="BV264" s="40"/>
      <c r="BW264" s="5"/>
      <c r="BY264" s="40"/>
      <c r="BZ264" s="5"/>
      <c r="CB264" s="40"/>
      <c r="CC264" s="5"/>
      <c r="CE264" s="40"/>
      <c r="CF264" s="5"/>
      <c r="CH264" s="40"/>
      <c r="CI264" s="5"/>
      <c r="CK264" s="40"/>
      <c r="CL264" s="5"/>
      <c r="CN264" s="40"/>
      <c r="CO264" s="5"/>
      <c r="CQ264" s="40"/>
      <c r="CR264" s="5"/>
    </row>
    <row r="265">
      <c r="AO265" s="40"/>
      <c r="AP265" s="5"/>
      <c r="AR265" s="40"/>
      <c r="AS265" s="5"/>
      <c r="AU265" s="40"/>
      <c r="AV265" s="5"/>
      <c r="AX265" s="40"/>
      <c r="AY265" s="5"/>
      <c r="BA265" s="40"/>
      <c r="BB265" s="5"/>
      <c r="BD265" s="40"/>
      <c r="BE265" s="5"/>
      <c r="BG265" s="40"/>
      <c r="BH265" s="5"/>
      <c r="BJ265" s="40"/>
      <c r="BK265" s="5"/>
      <c r="BM265" s="40"/>
      <c r="BN265" s="5"/>
      <c r="BP265" s="40"/>
      <c r="BQ265" s="5"/>
      <c r="BS265" s="40"/>
      <c r="BT265" s="5"/>
      <c r="BV265" s="40"/>
      <c r="BW265" s="5"/>
      <c r="BY265" s="40"/>
      <c r="BZ265" s="5"/>
      <c r="CB265" s="40"/>
      <c r="CC265" s="5"/>
      <c r="CE265" s="40"/>
      <c r="CF265" s="5"/>
      <c r="CH265" s="40"/>
      <c r="CI265" s="5"/>
      <c r="CK265" s="40"/>
      <c r="CL265" s="5"/>
      <c r="CN265" s="40"/>
      <c r="CO265" s="5"/>
      <c r="CQ265" s="40"/>
      <c r="CR265" s="5"/>
    </row>
    <row r="266">
      <c r="AO266" s="40"/>
      <c r="AP266" s="5"/>
      <c r="AR266" s="40"/>
      <c r="AS266" s="5"/>
      <c r="AU266" s="40"/>
      <c r="AV266" s="5"/>
      <c r="AX266" s="40"/>
      <c r="AY266" s="5"/>
      <c r="BA266" s="40"/>
      <c r="BB266" s="5"/>
      <c r="BD266" s="40"/>
      <c r="BE266" s="5"/>
      <c r="BG266" s="40"/>
      <c r="BH266" s="5"/>
      <c r="BJ266" s="40"/>
      <c r="BK266" s="5"/>
      <c r="BM266" s="40"/>
      <c r="BN266" s="5"/>
      <c r="BP266" s="40"/>
      <c r="BQ266" s="5"/>
      <c r="BS266" s="40"/>
      <c r="BT266" s="5"/>
      <c r="BV266" s="40"/>
      <c r="BW266" s="5"/>
      <c r="BY266" s="40"/>
      <c r="BZ266" s="5"/>
      <c r="CB266" s="40"/>
      <c r="CC266" s="5"/>
      <c r="CE266" s="40"/>
      <c r="CF266" s="5"/>
      <c r="CH266" s="40"/>
      <c r="CI266" s="5"/>
      <c r="CK266" s="40"/>
      <c r="CL266" s="5"/>
      <c r="CN266" s="40"/>
      <c r="CO266" s="5"/>
      <c r="CQ266" s="40"/>
      <c r="CR266" s="5"/>
    </row>
    <row r="267">
      <c r="AO267" s="40"/>
      <c r="AP267" s="5"/>
      <c r="AR267" s="40"/>
      <c r="AS267" s="5"/>
      <c r="AU267" s="40"/>
      <c r="AV267" s="5"/>
      <c r="AX267" s="40"/>
      <c r="AY267" s="5"/>
      <c r="BA267" s="40"/>
      <c r="BB267" s="5"/>
      <c r="BD267" s="40"/>
      <c r="BE267" s="5"/>
      <c r="BG267" s="40"/>
      <c r="BH267" s="5"/>
      <c r="BJ267" s="40"/>
      <c r="BK267" s="5"/>
      <c r="BM267" s="40"/>
      <c r="BN267" s="5"/>
      <c r="BP267" s="40"/>
      <c r="BQ267" s="5"/>
      <c r="BS267" s="40"/>
      <c r="BT267" s="5"/>
      <c r="BV267" s="40"/>
      <c r="BW267" s="5"/>
      <c r="BY267" s="40"/>
      <c r="BZ267" s="5"/>
      <c r="CB267" s="40"/>
      <c r="CC267" s="5"/>
      <c r="CE267" s="40"/>
      <c r="CF267" s="5"/>
      <c r="CH267" s="40"/>
      <c r="CI267" s="5"/>
      <c r="CK267" s="40"/>
      <c r="CL267" s="5"/>
      <c r="CN267" s="40"/>
      <c r="CO267" s="5"/>
      <c r="CQ267" s="40"/>
      <c r="CR267" s="5"/>
    </row>
    <row r="268">
      <c r="AO268" s="40"/>
      <c r="AP268" s="5"/>
      <c r="AR268" s="40"/>
      <c r="AS268" s="5"/>
      <c r="AU268" s="40"/>
      <c r="AV268" s="5"/>
      <c r="AX268" s="40"/>
      <c r="AY268" s="5"/>
      <c r="BA268" s="40"/>
      <c r="BB268" s="5"/>
      <c r="BD268" s="40"/>
      <c r="BE268" s="5"/>
      <c r="BG268" s="40"/>
      <c r="BH268" s="5"/>
      <c r="BJ268" s="40"/>
      <c r="BK268" s="5"/>
      <c r="BM268" s="40"/>
      <c r="BN268" s="5"/>
      <c r="BP268" s="40"/>
      <c r="BQ268" s="5"/>
      <c r="BS268" s="40"/>
      <c r="BT268" s="5"/>
      <c r="BV268" s="40"/>
      <c r="BW268" s="5"/>
      <c r="BY268" s="40"/>
      <c r="BZ268" s="5"/>
      <c r="CB268" s="40"/>
      <c r="CC268" s="5"/>
      <c r="CE268" s="40"/>
      <c r="CF268" s="5"/>
      <c r="CH268" s="40"/>
      <c r="CI268" s="5"/>
      <c r="CK268" s="40"/>
      <c r="CL268" s="5"/>
      <c r="CN268" s="40"/>
      <c r="CO268" s="5"/>
      <c r="CQ268" s="40"/>
      <c r="CR268" s="5"/>
    </row>
    <row r="269">
      <c r="AO269" s="40"/>
      <c r="AP269" s="5"/>
      <c r="AR269" s="40"/>
      <c r="AS269" s="5"/>
      <c r="AU269" s="40"/>
      <c r="AV269" s="5"/>
      <c r="AX269" s="40"/>
      <c r="AY269" s="5"/>
      <c r="BA269" s="40"/>
      <c r="BB269" s="5"/>
      <c r="BD269" s="40"/>
      <c r="BE269" s="5"/>
      <c r="BG269" s="40"/>
      <c r="BH269" s="5"/>
      <c r="BJ269" s="40"/>
      <c r="BK269" s="5"/>
      <c r="BM269" s="40"/>
      <c r="BN269" s="5"/>
      <c r="BP269" s="40"/>
      <c r="BQ269" s="5"/>
      <c r="BS269" s="40"/>
      <c r="BT269" s="5"/>
      <c r="BV269" s="40"/>
      <c r="BW269" s="5"/>
      <c r="BY269" s="40"/>
      <c r="BZ269" s="5"/>
      <c r="CB269" s="40"/>
      <c r="CC269" s="5"/>
      <c r="CE269" s="40"/>
      <c r="CF269" s="5"/>
      <c r="CH269" s="40"/>
      <c r="CI269" s="5"/>
      <c r="CK269" s="40"/>
      <c r="CL269" s="5"/>
      <c r="CN269" s="40"/>
      <c r="CO269" s="5"/>
      <c r="CQ269" s="40"/>
      <c r="CR269" s="5"/>
    </row>
    <row r="270">
      <c r="AO270" s="40"/>
      <c r="AP270" s="5"/>
      <c r="AR270" s="40"/>
      <c r="AS270" s="5"/>
      <c r="AU270" s="40"/>
      <c r="AV270" s="5"/>
      <c r="AX270" s="40"/>
      <c r="AY270" s="5"/>
      <c r="BA270" s="40"/>
      <c r="BB270" s="5"/>
      <c r="BD270" s="40"/>
      <c r="BE270" s="5"/>
      <c r="BG270" s="40"/>
      <c r="BH270" s="5"/>
      <c r="BJ270" s="40"/>
      <c r="BK270" s="5"/>
      <c r="BM270" s="40"/>
      <c r="BN270" s="5"/>
      <c r="BP270" s="40"/>
      <c r="BQ270" s="5"/>
      <c r="BS270" s="40"/>
      <c r="BT270" s="5"/>
      <c r="BV270" s="40"/>
      <c r="BW270" s="5"/>
      <c r="BY270" s="40"/>
      <c r="BZ270" s="5"/>
      <c r="CB270" s="40"/>
      <c r="CC270" s="5"/>
      <c r="CE270" s="40"/>
      <c r="CF270" s="5"/>
      <c r="CH270" s="40"/>
      <c r="CI270" s="5"/>
      <c r="CK270" s="40"/>
      <c r="CL270" s="5"/>
      <c r="CN270" s="40"/>
      <c r="CO270" s="5"/>
      <c r="CQ270" s="40"/>
      <c r="CR270" s="5"/>
    </row>
    <row r="271">
      <c r="AO271" s="40"/>
      <c r="AP271" s="5"/>
      <c r="AR271" s="40"/>
      <c r="AS271" s="5"/>
      <c r="AU271" s="40"/>
      <c r="AV271" s="5"/>
      <c r="AX271" s="40"/>
      <c r="AY271" s="5"/>
      <c r="BA271" s="40"/>
      <c r="BB271" s="5"/>
      <c r="BD271" s="40"/>
      <c r="BE271" s="5"/>
      <c r="BG271" s="40"/>
      <c r="BH271" s="5"/>
      <c r="BJ271" s="40"/>
      <c r="BK271" s="5"/>
      <c r="BM271" s="40"/>
      <c r="BN271" s="5"/>
      <c r="BP271" s="40"/>
      <c r="BQ271" s="5"/>
      <c r="BS271" s="40"/>
      <c r="BT271" s="5"/>
      <c r="BV271" s="40"/>
      <c r="BW271" s="5"/>
      <c r="BY271" s="40"/>
      <c r="BZ271" s="5"/>
      <c r="CB271" s="40"/>
      <c r="CC271" s="5"/>
      <c r="CE271" s="40"/>
      <c r="CF271" s="5"/>
      <c r="CH271" s="40"/>
      <c r="CI271" s="5"/>
      <c r="CK271" s="40"/>
      <c r="CL271" s="5"/>
      <c r="CN271" s="40"/>
      <c r="CO271" s="5"/>
      <c r="CQ271" s="40"/>
      <c r="CR271" s="5"/>
    </row>
    <row r="272">
      <c r="AO272" s="40"/>
      <c r="AP272" s="5"/>
      <c r="AR272" s="40"/>
      <c r="AS272" s="5"/>
      <c r="AU272" s="40"/>
      <c r="AV272" s="5"/>
      <c r="AX272" s="40"/>
      <c r="AY272" s="5"/>
      <c r="BA272" s="40"/>
      <c r="BB272" s="5"/>
      <c r="BD272" s="40"/>
      <c r="BE272" s="5"/>
      <c r="BG272" s="40"/>
      <c r="BH272" s="5"/>
      <c r="BJ272" s="40"/>
      <c r="BK272" s="5"/>
      <c r="BM272" s="40"/>
      <c r="BN272" s="5"/>
      <c r="BP272" s="40"/>
      <c r="BQ272" s="5"/>
      <c r="BS272" s="40"/>
      <c r="BT272" s="5"/>
      <c r="BV272" s="40"/>
      <c r="BW272" s="5"/>
      <c r="BY272" s="40"/>
      <c r="BZ272" s="5"/>
      <c r="CB272" s="40"/>
      <c r="CC272" s="5"/>
      <c r="CE272" s="40"/>
      <c r="CF272" s="5"/>
      <c r="CH272" s="40"/>
      <c r="CI272" s="5"/>
      <c r="CK272" s="40"/>
      <c r="CL272" s="5"/>
      <c r="CN272" s="40"/>
      <c r="CO272" s="5"/>
      <c r="CQ272" s="40"/>
      <c r="CR272" s="5"/>
    </row>
    <row r="273">
      <c r="AO273" s="40"/>
      <c r="AP273" s="5"/>
      <c r="AR273" s="40"/>
      <c r="AS273" s="5"/>
      <c r="AU273" s="40"/>
      <c r="AV273" s="5"/>
      <c r="AX273" s="40"/>
      <c r="AY273" s="5"/>
      <c r="BA273" s="40"/>
      <c r="BB273" s="5"/>
      <c r="BD273" s="40"/>
      <c r="BE273" s="5"/>
      <c r="BG273" s="40"/>
      <c r="BH273" s="5"/>
      <c r="BJ273" s="40"/>
      <c r="BK273" s="5"/>
      <c r="BM273" s="40"/>
      <c r="BN273" s="5"/>
      <c r="BP273" s="40"/>
      <c r="BQ273" s="5"/>
      <c r="BS273" s="40"/>
      <c r="BT273" s="5"/>
      <c r="BV273" s="40"/>
      <c r="BW273" s="5"/>
      <c r="BY273" s="40"/>
      <c r="BZ273" s="5"/>
      <c r="CB273" s="40"/>
      <c r="CC273" s="5"/>
      <c r="CE273" s="40"/>
      <c r="CF273" s="5"/>
      <c r="CH273" s="40"/>
      <c r="CI273" s="5"/>
      <c r="CK273" s="40"/>
      <c r="CL273" s="5"/>
      <c r="CN273" s="40"/>
      <c r="CO273" s="5"/>
      <c r="CQ273" s="40"/>
      <c r="CR273" s="5"/>
    </row>
    <row r="274">
      <c r="AO274" s="40"/>
      <c r="AP274" s="5"/>
      <c r="AR274" s="40"/>
      <c r="AS274" s="5"/>
      <c r="AU274" s="40"/>
      <c r="AV274" s="5"/>
      <c r="AX274" s="40"/>
      <c r="AY274" s="5"/>
      <c r="BA274" s="40"/>
      <c r="BB274" s="5"/>
      <c r="BD274" s="40"/>
      <c r="BE274" s="5"/>
      <c r="BG274" s="40"/>
      <c r="BH274" s="5"/>
      <c r="BJ274" s="40"/>
      <c r="BK274" s="5"/>
      <c r="BM274" s="40"/>
      <c r="BN274" s="5"/>
      <c r="BP274" s="40"/>
      <c r="BQ274" s="5"/>
      <c r="BS274" s="40"/>
      <c r="BT274" s="5"/>
      <c r="BV274" s="40"/>
      <c r="BW274" s="5"/>
      <c r="BY274" s="40"/>
      <c r="BZ274" s="5"/>
      <c r="CB274" s="40"/>
      <c r="CC274" s="5"/>
      <c r="CE274" s="40"/>
      <c r="CF274" s="5"/>
      <c r="CH274" s="40"/>
      <c r="CI274" s="5"/>
      <c r="CK274" s="40"/>
      <c r="CL274" s="5"/>
      <c r="CN274" s="40"/>
      <c r="CO274" s="5"/>
      <c r="CQ274" s="40"/>
      <c r="CR274" s="5"/>
    </row>
    <row r="275">
      <c r="AO275" s="40"/>
      <c r="AP275" s="5"/>
      <c r="AR275" s="40"/>
      <c r="AS275" s="5"/>
      <c r="AU275" s="40"/>
      <c r="AV275" s="5"/>
      <c r="AX275" s="40"/>
      <c r="AY275" s="5"/>
      <c r="BA275" s="40"/>
      <c r="BB275" s="5"/>
      <c r="BD275" s="40"/>
      <c r="BE275" s="5"/>
      <c r="BG275" s="40"/>
      <c r="BH275" s="5"/>
      <c r="BJ275" s="40"/>
      <c r="BK275" s="5"/>
      <c r="BM275" s="40"/>
      <c r="BN275" s="5"/>
      <c r="BP275" s="40"/>
      <c r="BQ275" s="5"/>
      <c r="BS275" s="40"/>
      <c r="BT275" s="5"/>
      <c r="BV275" s="40"/>
      <c r="BW275" s="5"/>
      <c r="BY275" s="40"/>
      <c r="BZ275" s="5"/>
      <c r="CB275" s="40"/>
      <c r="CC275" s="5"/>
      <c r="CE275" s="40"/>
      <c r="CF275" s="5"/>
      <c r="CH275" s="40"/>
      <c r="CI275" s="5"/>
      <c r="CK275" s="40"/>
      <c r="CL275" s="5"/>
      <c r="CN275" s="40"/>
      <c r="CO275" s="5"/>
      <c r="CQ275" s="40"/>
      <c r="CR275" s="5"/>
    </row>
    <row r="276">
      <c r="AO276" s="40"/>
      <c r="AP276" s="5"/>
      <c r="AR276" s="40"/>
      <c r="AS276" s="5"/>
      <c r="AU276" s="40"/>
      <c r="AV276" s="5"/>
      <c r="AX276" s="40"/>
      <c r="AY276" s="5"/>
      <c r="BA276" s="40"/>
      <c r="BB276" s="5"/>
      <c r="BD276" s="40"/>
      <c r="BE276" s="5"/>
      <c r="BG276" s="40"/>
      <c r="BH276" s="5"/>
      <c r="BJ276" s="40"/>
      <c r="BK276" s="5"/>
      <c r="BM276" s="40"/>
      <c r="BN276" s="5"/>
      <c r="BP276" s="40"/>
      <c r="BQ276" s="5"/>
      <c r="BS276" s="40"/>
      <c r="BT276" s="5"/>
      <c r="BV276" s="40"/>
      <c r="BW276" s="5"/>
      <c r="BY276" s="40"/>
      <c r="BZ276" s="5"/>
      <c r="CB276" s="40"/>
      <c r="CC276" s="5"/>
      <c r="CE276" s="40"/>
      <c r="CF276" s="5"/>
      <c r="CH276" s="40"/>
      <c r="CI276" s="5"/>
      <c r="CK276" s="40"/>
      <c r="CL276" s="5"/>
      <c r="CN276" s="40"/>
      <c r="CO276" s="5"/>
      <c r="CQ276" s="40"/>
      <c r="CR276" s="5"/>
    </row>
    <row r="277">
      <c r="AO277" s="40"/>
      <c r="AP277" s="5"/>
      <c r="AR277" s="40"/>
      <c r="AS277" s="5"/>
      <c r="AU277" s="40"/>
      <c r="AV277" s="5"/>
      <c r="AX277" s="40"/>
      <c r="AY277" s="5"/>
      <c r="BA277" s="40"/>
      <c r="BB277" s="5"/>
      <c r="BD277" s="40"/>
      <c r="BE277" s="5"/>
      <c r="BG277" s="40"/>
      <c r="BH277" s="5"/>
      <c r="BJ277" s="40"/>
      <c r="BK277" s="5"/>
      <c r="BM277" s="40"/>
      <c r="BN277" s="5"/>
      <c r="BP277" s="40"/>
      <c r="BQ277" s="5"/>
      <c r="BS277" s="40"/>
      <c r="BT277" s="5"/>
      <c r="BV277" s="40"/>
      <c r="BW277" s="5"/>
      <c r="BY277" s="40"/>
      <c r="BZ277" s="5"/>
      <c r="CB277" s="40"/>
      <c r="CC277" s="5"/>
      <c r="CE277" s="40"/>
      <c r="CF277" s="5"/>
      <c r="CH277" s="40"/>
      <c r="CI277" s="5"/>
      <c r="CK277" s="40"/>
      <c r="CL277" s="5"/>
      <c r="CN277" s="40"/>
      <c r="CO277" s="5"/>
      <c r="CQ277" s="40"/>
      <c r="CR277" s="5"/>
    </row>
    <row r="278">
      <c r="AO278" s="40"/>
      <c r="AP278" s="5"/>
      <c r="AR278" s="40"/>
      <c r="AS278" s="5"/>
      <c r="AU278" s="40"/>
      <c r="AV278" s="5"/>
      <c r="AX278" s="40"/>
      <c r="AY278" s="5"/>
      <c r="BA278" s="40"/>
      <c r="BB278" s="5"/>
      <c r="BD278" s="40"/>
      <c r="BE278" s="5"/>
      <c r="BG278" s="40"/>
      <c r="BH278" s="5"/>
      <c r="BJ278" s="40"/>
      <c r="BK278" s="5"/>
      <c r="BM278" s="40"/>
      <c r="BN278" s="5"/>
      <c r="BP278" s="40"/>
      <c r="BQ278" s="5"/>
      <c r="BS278" s="40"/>
      <c r="BT278" s="5"/>
      <c r="BV278" s="40"/>
      <c r="BW278" s="5"/>
      <c r="BY278" s="40"/>
      <c r="BZ278" s="5"/>
      <c r="CB278" s="40"/>
      <c r="CC278" s="5"/>
      <c r="CE278" s="40"/>
      <c r="CF278" s="5"/>
      <c r="CH278" s="40"/>
      <c r="CI278" s="5"/>
      <c r="CK278" s="40"/>
      <c r="CL278" s="5"/>
      <c r="CN278" s="40"/>
      <c r="CO278" s="5"/>
      <c r="CQ278" s="40"/>
      <c r="CR278" s="5"/>
    </row>
    <row r="279">
      <c r="AO279" s="40"/>
      <c r="AP279" s="5"/>
      <c r="AR279" s="40"/>
      <c r="AS279" s="5"/>
      <c r="AU279" s="40"/>
      <c r="AV279" s="5"/>
      <c r="AX279" s="40"/>
      <c r="AY279" s="5"/>
      <c r="BA279" s="40"/>
      <c r="BB279" s="5"/>
      <c r="BD279" s="40"/>
      <c r="BE279" s="5"/>
      <c r="BG279" s="40"/>
      <c r="BH279" s="5"/>
      <c r="BJ279" s="40"/>
      <c r="BK279" s="5"/>
      <c r="BM279" s="40"/>
      <c r="BN279" s="5"/>
      <c r="BP279" s="40"/>
      <c r="BQ279" s="5"/>
      <c r="BS279" s="40"/>
      <c r="BT279" s="5"/>
      <c r="BV279" s="40"/>
      <c r="BW279" s="5"/>
      <c r="BY279" s="40"/>
      <c r="BZ279" s="5"/>
      <c r="CB279" s="40"/>
      <c r="CC279" s="5"/>
      <c r="CE279" s="40"/>
      <c r="CF279" s="5"/>
      <c r="CH279" s="40"/>
      <c r="CI279" s="5"/>
      <c r="CK279" s="40"/>
      <c r="CL279" s="5"/>
      <c r="CN279" s="40"/>
      <c r="CO279" s="5"/>
      <c r="CQ279" s="40"/>
      <c r="CR279" s="5"/>
    </row>
    <row r="280">
      <c r="AO280" s="40"/>
      <c r="AP280" s="5"/>
      <c r="AR280" s="40"/>
      <c r="AS280" s="5"/>
      <c r="AU280" s="40"/>
      <c r="AV280" s="5"/>
      <c r="AX280" s="40"/>
      <c r="AY280" s="5"/>
      <c r="BA280" s="40"/>
      <c r="BB280" s="5"/>
      <c r="BD280" s="40"/>
      <c r="BE280" s="5"/>
      <c r="BG280" s="40"/>
      <c r="BH280" s="5"/>
      <c r="BJ280" s="40"/>
      <c r="BK280" s="5"/>
      <c r="BM280" s="40"/>
      <c r="BN280" s="5"/>
      <c r="BP280" s="40"/>
      <c r="BQ280" s="5"/>
      <c r="BS280" s="40"/>
      <c r="BT280" s="5"/>
      <c r="BV280" s="40"/>
      <c r="BW280" s="5"/>
      <c r="BY280" s="40"/>
      <c r="BZ280" s="5"/>
      <c r="CB280" s="40"/>
      <c r="CC280" s="5"/>
      <c r="CE280" s="40"/>
      <c r="CF280" s="5"/>
      <c r="CH280" s="40"/>
      <c r="CI280" s="5"/>
      <c r="CK280" s="40"/>
      <c r="CL280" s="5"/>
      <c r="CN280" s="40"/>
      <c r="CO280" s="5"/>
      <c r="CQ280" s="40"/>
      <c r="CR280" s="5"/>
    </row>
    <row r="281">
      <c r="AO281" s="40"/>
      <c r="AP281" s="5"/>
      <c r="AR281" s="40"/>
      <c r="AS281" s="5"/>
      <c r="AU281" s="40"/>
      <c r="AV281" s="5"/>
      <c r="AX281" s="40"/>
      <c r="AY281" s="5"/>
      <c r="BA281" s="40"/>
      <c r="BB281" s="5"/>
      <c r="BD281" s="40"/>
      <c r="BE281" s="5"/>
      <c r="BG281" s="40"/>
      <c r="BH281" s="5"/>
      <c r="BJ281" s="40"/>
      <c r="BK281" s="5"/>
      <c r="BM281" s="40"/>
      <c r="BN281" s="5"/>
      <c r="BP281" s="40"/>
      <c r="BQ281" s="5"/>
      <c r="BS281" s="40"/>
      <c r="BT281" s="5"/>
      <c r="BV281" s="40"/>
      <c r="BW281" s="5"/>
      <c r="BY281" s="40"/>
      <c r="BZ281" s="5"/>
      <c r="CB281" s="40"/>
      <c r="CC281" s="5"/>
      <c r="CE281" s="40"/>
      <c r="CF281" s="5"/>
      <c r="CH281" s="40"/>
      <c r="CI281" s="5"/>
      <c r="CK281" s="40"/>
      <c r="CL281" s="5"/>
      <c r="CN281" s="40"/>
      <c r="CO281" s="5"/>
      <c r="CQ281" s="40"/>
      <c r="CR281" s="5"/>
    </row>
    <row r="282">
      <c r="AO282" s="40"/>
      <c r="AP282" s="5"/>
      <c r="AR282" s="40"/>
      <c r="AS282" s="5"/>
      <c r="AU282" s="40"/>
      <c r="AV282" s="5"/>
      <c r="AX282" s="40"/>
      <c r="AY282" s="5"/>
      <c r="BA282" s="40"/>
      <c r="BB282" s="5"/>
      <c r="BD282" s="40"/>
      <c r="BE282" s="5"/>
      <c r="BG282" s="40"/>
      <c r="BH282" s="5"/>
      <c r="BJ282" s="40"/>
      <c r="BK282" s="5"/>
      <c r="BM282" s="40"/>
      <c r="BN282" s="5"/>
      <c r="BP282" s="40"/>
      <c r="BQ282" s="5"/>
      <c r="BS282" s="40"/>
      <c r="BT282" s="5"/>
      <c r="BV282" s="40"/>
      <c r="BW282" s="5"/>
      <c r="BY282" s="40"/>
      <c r="BZ282" s="5"/>
      <c r="CB282" s="40"/>
      <c r="CC282" s="5"/>
      <c r="CE282" s="40"/>
      <c r="CF282" s="5"/>
      <c r="CH282" s="40"/>
      <c r="CI282" s="5"/>
      <c r="CK282" s="40"/>
      <c r="CL282" s="5"/>
      <c r="CN282" s="40"/>
      <c r="CO282" s="5"/>
      <c r="CQ282" s="40"/>
      <c r="CR282" s="5"/>
    </row>
    <row r="283">
      <c r="AO283" s="40"/>
      <c r="AP283" s="5"/>
      <c r="AR283" s="40"/>
      <c r="AS283" s="5"/>
      <c r="AU283" s="40"/>
      <c r="AV283" s="5"/>
      <c r="AX283" s="40"/>
      <c r="AY283" s="5"/>
      <c r="BA283" s="40"/>
      <c r="BB283" s="5"/>
      <c r="BD283" s="40"/>
      <c r="BE283" s="5"/>
      <c r="BG283" s="40"/>
      <c r="BH283" s="5"/>
      <c r="BJ283" s="40"/>
      <c r="BK283" s="5"/>
      <c r="BM283" s="40"/>
      <c r="BN283" s="5"/>
      <c r="BP283" s="40"/>
      <c r="BQ283" s="5"/>
      <c r="BS283" s="40"/>
      <c r="BT283" s="5"/>
      <c r="BV283" s="40"/>
      <c r="BW283" s="5"/>
      <c r="BY283" s="40"/>
      <c r="BZ283" s="5"/>
      <c r="CB283" s="40"/>
      <c r="CC283" s="5"/>
      <c r="CE283" s="40"/>
      <c r="CF283" s="5"/>
      <c r="CH283" s="40"/>
      <c r="CI283" s="5"/>
      <c r="CK283" s="40"/>
      <c r="CL283" s="5"/>
      <c r="CN283" s="40"/>
      <c r="CO283" s="5"/>
      <c r="CQ283" s="40"/>
      <c r="CR283" s="5"/>
    </row>
    <row r="284">
      <c r="AO284" s="40"/>
      <c r="AP284" s="5"/>
      <c r="AR284" s="40"/>
      <c r="AS284" s="5"/>
      <c r="AU284" s="40"/>
      <c r="AV284" s="5"/>
      <c r="AX284" s="40"/>
      <c r="AY284" s="5"/>
      <c r="BA284" s="40"/>
      <c r="BB284" s="5"/>
      <c r="BD284" s="40"/>
      <c r="BE284" s="5"/>
      <c r="BG284" s="40"/>
      <c r="BH284" s="5"/>
      <c r="BJ284" s="40"/>
      <c r="BK284" s="5"/>
      <c r="BM284" s="40"/>
      <c r="BN284" s="5"/>
      <c r="BP284" s="40"/>
      <c r="BQ284" s="5"/>
      <c r="BS284" s="40"/>
      <c r="BT284" s="5"/>
      <c r="BV284" s="40"/>
      <c r="BW284" s="5"/>
      <c r="BY284" s="40"/>
      <c r="BZ284" s="5"/>
      <c r="CB284" s="40"/>
      <c r="CC284" s="5"/>
      <c r="CE284" s="40"/>
      <c r="CF284" s="5"/>
      <c r="CH284" s="40"/>
      <c r="CI284" s="5"/>
      <c r="CK284" s="40"/>
      <c r="CL284" s="5"/>
      <c r="CN284" s="40"/>
      <c r="CO284" s="5"/>
      <c r="CQ284" s="40"/>
      <c r="CR284" s="5"/>
    </row>
    <row r="285">
      <c r="AO285" s="40"/>
      <c r="AP285" s="5"/>
      <c r="AR285" s="40"/>
      <c r="AS285" s="5"/>
      <c r="AU285" s="40"/>
      <c r="AV285" s="5"/>
      <c r="AX285" s="40"/>
      <c r="AY285" s="5"/>
      <c r="BA285" s="40"/>
      <c r="BB285" s="5"/>
      <c r="BD285" s="40"/>
      <c r="BE285" s="5"/>
      <c r="BG285" s="40"/>
      <c r="BH285" s="5"/>
      <c r="BJ285" s="40"/>
      <c r="BK285" s="5"/>
      <c r="BM285" s="40"/>
      <c r="BN285" s="5"/>
      <c r="BP285" s="40"/>
      <c r="BQ285" s="5"/>
      <c r="BS285" s="40"/>
      <c r="BT285" s="5"/>
      <c r="BV285" s="40"/>
      <c r="BW285" s="5"/>
      <c r="BY285" s="40"/>
      <c r="BZ285" s="5"/>
      <c r="CB285" s="40"/>
      <c r="CC285" s="5"/>
      <c r="CE285" s="40"/>
      <c r="CF285" s="5"/>
      <c r="CH285" s="40"/>
      <c r="CI285" s="5"/>
      <c r="CK285" s="40"/>
      <c r="CL285" s="5"/>
      <c r="CN285" s="40"/>
      <c r="CO285" s="5"/>
      <c r="CQ285" s="40"/>
      <c r="CR285" s="5"/>
    </row>
    <row r="286">
      <c r="AO286" s="40"/>
      <c r="AP286" s="5"/>
      <c r="AR286" s="40"/>
      <c r="AS286" s="5"/>
      <c r="AU286" s="40"/>
      <c r="AV286" s="5"/>
      <c r="AX286" s="40"/>
      <c r="AY286" s="5"/>
      <c r="BA286" s="40"/>
      <c r="BB286" s="5"/>
      <c r="BD286" s="40"/>
      <c r="BE286" s="5"/>
      <c r="BG286" s="40"/>
      <c r="BH286" s="5"/>
      <c r="BJ286" s="40"/>
      <c r="BK286" s="5"/>
      <c r="BM286" s="40"/>
      <c r="BN286" s="5"/>
      <c r="BP286" s="40"/>
      <c r="BQ286" s="5"/>
      <c r="BS286" s="40"/>
      <c r="BT286" s="5"/>
      <c r="BV286" s="40"/>
      <c r="BW286" s="5"/>
      <c r="BY286" s="40"/>
      <c r="BZ286" s="5"/>
      <c r="CB286" s="40"/>
      <c r="CC286" s="5"/>
      <c r="CE286" s="40"/>
      <c r="CF286" s="5"/>
      <c r="CH286" s="40"/>
      <c r="CI286" s="5"/>
      <c r="CK286" s="40"/>
      <c r="CL286" s="5"/>
      <c r="CN286" s="40"/>
      <c r="CO286" s="5"/>
      <c r="CQ286" s="40"/>
      <c r="CR286" s="5"/>
    </row>
    <row r="287">
      <c r="AO287" s="40"/>
      <c r="AP287" s="5"/>
      <c r="AR287" s="40"/>
      <c r="AS287" s="5"/>
      <c r="AU287" s="40"/>
      <c r="AV287" s="5"/>
      <c r="AX287" s="40"/>
      <c r="AY287" s="5"/>
      <c r="BA287" s="40"/>
      <c r="BB287" s="5"/>
      <c r="BD287" s="40"/>
      <c r="BE287" s="5"/>
      <c r="BG287" s="40"/>
      <c r="BH287" s="5"/>
      <c r="BJ287" s="40"/>
      <c r="BK287" s="5"/>
      <c r="BM287" s="40"/>
      <c r="BN287" s="5"/>
      <c r="BP287" s="40"/>
      <c r="BQ287" s="5"/>
      <c r="BS287" s="40"/>
      <c r="BT287" s="5"/>
      <c r="BV287" s="40"/>
      <c r="BW287" s="5"/>
      <c r="BY287" s="40"/>
      <c r="BZ287" s="5"/>
      <c r="CB287" s="40"/>
      <c r="CC287" s="5"/>
      <c r="CE287" s="40"/>
      <c r="CF287" s="5"/>
      <c r="CH287" s="40"/>
      <c r="CI287" s="5"/>
      <c r="CK287" s="40"/>
      <c r="CL287" s="5"/>
      <c r="CN287" s="40"/>
      <c r="CO287" s="5"/>
      <c r="CQ287" s="40"/>
      <c r="CR287" s="5"/>
    </row>
    <row r="288">
      <c r="AO288" s="40"/>
      <c r="AP288" s="5"/>
      <c r="AR288" s="40"/>
      <c r="AS288" s="5"/>
      <c r="AU288" s="40"/>
      <c r="AV288" s="5"/>
      <c r="AX288" s="40"/>
      <c r="AY288" s="5"/>
      <c r="BA288" s="40"/>
      <c r="BB288" s="5"/>
      <c r="BD288" s="40"/>
      <c r="BE288" s="5"/>
      <c r="BG288" s="40"/>
      <c r="BH288" s="5"/>
      <c r="BJ288" s="40"/>
      <c r="BK288" s="5"/>
      <c r="BM288" s="40"/>
      <c r="BN288" s="5"/>
      <c r="BP288" s="40"/>
      <c r="BQ288" s="5"/>
      <c r="BS288" s="40"/>
      <c r="BT288" s="5"/>
      <c r="BV288" s="40"/>
      <c r="BW288" s="5"/>
      <c r="BY288" s="40"/>
      <c r="BZ288" s="5"/>
      <c r="CB288" s="40"/>
      <c r="CC288" s="5"/>
      <c r="CE288" s="40"/>
      <c r="CF288" s="5"/>
      <c r="CH288" s="40"/>
      <c r="CI288" s="5"/>
      <c r="CK288" s="40"/>
      <c r="CL288" s="5"/>
      <c r="CN288" s="40"/>
      <c r="CO288" s="5"/>
      <c r="CQ288" s="40"/>
      <c r="CR288" s="5"/>
    </row>
    <row r="289">
      <c r="AO289" s="40"/>
      <c r="AP289" s="5"/>
      <c r="AR289" s="40"/>
      <c r="AS289" s="5"/>
      <c r="AU289" s="40"/>
      <c r="AV289" s="5"/>
      <c r="AX289" s="40"/>
      <c r="AY289" s="5"/>
      <c r="BA289" s="40"/>
      <c r="BB289" s="5"/>
      <c r="BD289" s="40"/>
      <c r="BE289" s="5"/>
      <c r="BG289" s="40"/>
      <c r="BH289" s="5"/>
      <c r="BJ289" s="40"/>
      <c r="BK289" s="5"/>
      <c r="BM289" s="40"/>
      <c r="BN289" s="5"/>
      <c r="BP289" s="40"/>
      <c r="BQ289" s="5"/>
      <c r="BS289" s="40"/>
      <c r="BT289" s="5"/>
      <c r="BV289" s="40"/>
      <c r="BW289" s="5"/>
      <c r="BY289" s="40"/>
      <c r="BZ289" s="5"/>
      <c r="CB289" s="40"/>
      <c r="CC289" s="5"/>
      <c r="CE289" s="40"/>
      <c r="CF289" s="5"/>
      <c r="CH289" s="40"/>
      <c r="CI289" s="5"/>
      <c r="CK289" s="40"/>
      <c r="CL289" s="5"/>
      <c r="CN289" s="40"/>
      <c r="CO289" s="5"/>
      <c r="CQ289" s="40"/>
      <c r="CR289" s="5"/>
    </row>
    <row r="290">
      <c r="AO290" s="40"/>
      <c r="AP290" s="5"/>
      <c r="AR290" s="40"/>
      <c r="AS290" s="5"/>
      <c r="AU290" s="40"/>
      <c r="AV290" s="5"/>
      <c r="AX290" s="40"/>
      <c r="AY290" s="5"/>
      <c r="BA290" s="40"/>
      <c r="BB290" s="5"/>
      <c r="BD290" s="40"/>
      <c r="BE290" s="5"/>
      <c r="BG290" s="40"/>
      <c r="BH290" s="5"/>
      <c r="BJ290" s="40"/>
      <c r="BK290" s="5"/>
      <c r="BM290" s="40"/>
      <c r="BN290" s="5"/>
      <c r="BP290" s="40"/>
      <c r="BQ290" s="5"/>
      <c r="BS290" s="40"/>
      <c r="BT290" s="5"/>
      <c r="BV290" s="40"/>
      <c r="BW290" s="5"/>
      <c r="BY290" s="40"/>
      <c r="BZ290" s="5"/>
      <c r="CB290" s="40"/>
      <c r="CC290" s="5"/>
      <c r="CE290" s="40"/>
      <c r="CF290" s="5"/>
      <c r="CH290" s="40"/>
      <c r="CI290" s="5"/>
      <c r="CK290" s="40"/>
      <c r="CL290" s="5"/>
      <c r="CN290" s="40"/>
      <c r="CO290" s="5"/>
      <c r="CQ290" s="40"/>
      <c r="CR290" s="5"/>
    </row>
    <row r="291">
      <c r="AO291" s="40"/>
      <c r="AP291" s="5"/>
      <c r="AR291" s="40"/>
      <c r="AS291" s="5"/>
      <c r="AU291" s="40"/>
      <c r="AV291" s="5"/>
      <c r="AX291" s="40"/>
      <c r="AY291" s="5"/>
      <c r="BA291" s="40"/>
      <c r="BB291" s="5"/>
      <c r="BD291" s="40"/>
      <c r="BE291" s="5"/>
      <c r="BG291" s="40"/>
      <c r="BH291" s="5"/>
      <c r="BJ291" s="40"/>
      <c r="BK291" s="5"/>
      <c r="BM291" s="40"/>
      <c r="BN291" s="5"/>
      <c r="BP291" s="40"/>
      <c r="BQ291" s="5"/>
      <c r="BS291" s="40"/>
      <c r="BT291" s="5"/>
      <c r="BV291" s="40"/>
      <c r="BW291" s="5"/>
      <c r="BY291" s="40"/>
      <c r="BZ291" s="5"/>
      <c r="CB291" s="40"/>
      <c r="CC291" s="5"/>
      <c r="CE291" s="40"/>
      <c r="CF291" s="5"/>
      <c r="CH291" s="40"/>
      <c r="CI291" s="5"/>
      <c r="CK291" s="40"/>
      <c r="CL291" s="5"/>
      <c r="CN291" s="40"/>
      <c r="CO291" s="5"/>
      <c r="CQ291" s="40"/>
      <c r="CR291" s="5"/>
    </row>
    <row r="292">
      <c r="AO292" s="40"/>
      <c r="AP292" s="5"/>
      <c r="AR292" s="40"/>
      <c r="AS292" s="5"/>
      <c r="AU292" s="40"/>
      <c r="AV292" s="5"/>
      <c r="AX292" s="40"/>
      <c r="AY292" s="5"/>
      <c r="BA292" s="40"/>
      <c r="BB292" s="5"/>
      <c r="BD292" s="40"/>
      <c r="BE292" s="5"/>
      <c r="BG292" s="40"/>
      <c r="BH292" s="5"/>
      <c r="BJ292" s="40"/>
      <c r="BK292" s="5"/>
      <c r="BM292" s="40"/>
      <c r="BN292" s="5"/>
      <c r="BP292" s="40"/>
      <c r="BQ292" s="5"/>
      <c r="BS292" s="40"/>
      <c r="BT292" s="5"/>
      <c r="BV292" s="40"/>
      <c r="BW292" s="5"/>
      <c r="BY292" s="40"/>
      <c r="BZ292" s="5"/>
      <c r="CB292" s="40"/>
      <c r="CC292" s="5"/>
      <c r="CE292" s="40"/>
      <c r="CF292" s="5"/>
      <c r="CH292" s="40"/>
      <c r="CI292" s="5"/>
      <c r="CK292" s="40"/>
      <c r="CL292" s="5"/>
      <c r="CN292" s="40"/>
      <c r="CO292" s="5"/>
      <c r="CQ292" s="40"/>
      <c r="CR292" s="5"/>
    </row>
    <row r="293">
      <c r="AO293" s="40"/>
      <c r="AP293" s="5"/>
      <c r="AR293" s="40"/>
      <c r="AS293" s="5"/>
      <c r="AU293" s="40"/>
      <c r="AV293" s="5"/>
      <c r="AX293" s="40"/>
      <c r="AY293" s="5"/>
      <c r="BA293" s="40"/>
      <c r="BB293" s="5"/>
      <c r="BD293" s="40"/>
      <c r="BE293" s="5"/>
      <c r="BG293" s="40"/>
      <c r="BH293" s="5"/>
      <c r="BJ293" s="40"/>
      <c r="BK293" s="5"/>
      <c r="BM293" s="40"/>
      <c r="BN293" s="5"/>
      <c r="BP293" s="40"/>
      <c r="BQ293" s="5"/>
      <c r="BS293" s="40"/>
      <c r="BT293" s="5"/>
      <c r="BV293" s="40"/>
      <c r="BW293" s="5"/>
      <c r="BY293" s="40"/>
      <c r="BZ293" s="5"/>
      <c r="CB293" s="40"/>
      <c r="CC293" s="5"/>
      <c r="CE293" s="40"/>
      <c r="CF293" s="5"/>
      <c r="CH293" s="40"/>
      <c r="CI293" s="5"/>
      <c r="CK293" s="40"/>
      <c r="CL293" s="5"/>
      <c r="CN293" s="40"/>
      <c r="CO293" s="5"/>
      <c r="CQ293" s="40"/>
      <c r="CR293" s="5"/>
    </row>
    <row r="294">
      <c r="AO294" s="40"/>
      <c r="AP294" s="5"/>
      <c r="AR294" s="40"/>
      <c r="AS294" s="5"/>
      <c r="AU294" s="40"/>
      <c r="AV294" s="5"/>
      <c r="AX294" s="40"/>
      <c r="AY294" s="5"/>
      <c r="BA294" s="40"/>
      <c r="BB294" s="5"/>
      <c r="BD294" s="40"/>
      <c r="BE294" s="5"/>
      <c r="BG294" s="40"/>
      <c r="BH294" s="5"/>
      <c r="BJ294" s="40"/>
      <c r="BK294" s="5"/>
      <c r="BM294" s="40"/>
      <c r="BN294" s="5"/>
      <c r="BP294" s="40"/>
      <c r="BQ294" s="5"/>
      <c r="BS294" s="40"/>
      <c r="BT294" s="5"/>
      <c r="BV294" s="40"/>
      <c r="BW294" s="5"/>
      <c r="BY294" s="40"/>
      <c r="BZ294" s="5"/>
      <c r="CB294" s="40"/>
      <c r="CC294" s="5"/>
      <c r="CE294" s="40"/>
      <c r="CF294" s="5"/>
      <c r="CH294" s="40"/>
      <c r="CI294" s="5"/>
      <c r="CK294" s="40"/>
      <c r="CL294" s="5"/>
      <c r="CN294" s="40"/>
      <c r="CO294" s="5"/>
      <c r="CQ294" s="40"/>
      <c r="CR294" s="5"/>
    </row>
    <row r="295">
      <c r="AO295" s="40"/>
      <c r="AP295" s="5"/>
      <c r="AR295" s="40"/>
      <c r="AS295" s="5"/>
      <c r="AU295" s="40"/>
      <c r="AV295" s="5"/>
      <c r="AX295" s="40"/>
      <c r="AY295" s="5"/>
      <c r="BA295" s="40"/>
      <c r="BB295" s="5"/>
      <c r="BD295" s="40"/>
      <c r="BE295" s="5"/>
      <c r="BG295" s="40"/>
      <c r="BH295" s="5"/>
      <c r="BJ295" s="40"/>
      <c r="BK295" s="5"/>
      <c r="BM295" s="40"/>
      <c r="BN295" s="5"/>
      <c r="BP295" s="40"/>
      <c r="BQ295" s="5"/>
      <c r="BS295" s="40"/>
      <c r="BT295" s="5"/>
      <c r="BV295" s="40"/>
      <c r="BW295" s="5"/>
      <c r="BY295" s="40"/>
      <c r="BZ295" s="5"/>
      <c r="CB295" s="40"/>
      <c r="CC295" s="5"/>
      <c r="CE295" s="40"/>
      <c r="CF295" s="5"/>
      <c r="CH295" s="40"/>
      <c r="CI295" s="5"/>
      <c r="CK295" s="40"/>
      <c r="CL295" s="5"/>
      <c r="CN295" s="40"/>
      <c r="CO295" s="5"/>
      <c r="CQ295" s="40"/>
      <c r="CR295" s="5"/>
    </row>
    <row r="296">
      <c r="AO296" s="40"/>
      <c r="AP296" s="5"/>
      <c r="AR296" s="40"/>
      <c r="AS296" s="5"/>
      <c r="AU296" s="40"/>
      <c r="AV296" s="5"/>
      <c r="AX296" s="40"/>
      <c r="AY296" s="5"/>
      <c r="BA296" s="40"/>
      <c r="BB296" s="5"/>
      <c r="BD296" s="40"/>
      <c r="BE296" s="5"/>
      <c r="BG296" s="40"/>
      <c r="BH296" s="5"/>
      <c r="BJ296" s="40"/>
      <c r="BK296" s="5"/>
      <c r="BM296" s="40"/>
      <c r="BN296" s="5"/>
      <c r="BP296" s="40"/>
      <c r="BQ296" s="5"/>
      <c r="BS296" s="40"/>
      <c r="BT296" s="5"/>
      <c r="BV296" s="40"/>
      <c r="BW296" s="5"/>
      <c r="BY296" s="40"/>
      <c r="BZ296" s="5"/>
      <c r="CB296" s="40"/>
      <c r="CC296" s="5"/>
      <c r="CE296" s="40"/>
      <c r="CF296" s="5"/>
      <c r="CH296" s="40"/>
      <c r="CI296" s="5"/>
      <c r="CK296" s="40"/>
      <c r="CL296" s="5"/>
      <c r="CN296" s="40"/>
      <c r="CO296" s="5"/>
      <c r="CQ296" s="40"/>
      <c r="CR296" s="5"/>
    </row>
    <row r="297">
      <c r="AO297" s="40"/>
      <c r="AP297" s="5"/>
      <c r="AR297" s="40"/>
      <c r="AS297" s="5"/>
      <c r="AU297" s="40"/>
      <c r="AV297" s="5"/>
      <c r="AX297" s="40"/>
      <c r="AY297" s="5"/>
      <c r="BA297" s="40"/>
      <c r="BB297" s="5"/>
      <c r="BD297" s="40"/>
      <c r="BE297" s="5"/>
      <c r="BG297" s="40"/>
      <c r="BH297" s="5"/>
      <c r="BJ297" s="40"/>
      <c r="BK297" s="5"/>
      <c r="BM297" s="40"/>
      <c r="BN297" s="5"/>
      <c r="BP297" s="40"/>
      <c r="BQ297" s="5"/>
      <c r="BS297" s="40"/>
      <c r="BT297" s="5"/>
      <c r="BV297" s="40"/>
      <c r="BW297" s="5"/>
      <c r="BY297" s="40"/>
      <c r="BZ297" s="5"/>
      <c r="CB297" s="40"/>
      <c r="CC297" s="5"/>
      <c r="CE297" s="40"/>
      <c r="CF297" s="5"/>
      <c r="CH297" s="40"/>
      <c r="CI297" s="5"/>
      <c r="CK297" s="40"/>
      <c r="CL297" s="5"/>
      <c r="CN297" s="40"/>
      <c r="CO297" s="5"/>
      <c r="CQ297" s="40"/>
      <c r="CR297" s="5"/>
    </row>
    <row r="298">
      <c r="AO298" s="40"/>
      <c r="AP298" s="5"/>
      <c r="AR298" s="40"/>
      <c r="AS298" s="5"/>
      <c r="AU298" s="40"/>
      <c r="AV298" s="5"/>
      <c r="AX298" s="40"/>
      <c r="AY298" s="5"/>
      <c r="BA298" s="40"/>
      <c r="BB298" s="5"/>
      <c r="BD298" s="40"/>
      <c r="BE298" s="5"/>
      <c r="BG298" s="40"/>
      <c r="BH298" s="5"/>
      <c r="BJ298" s="40"/>
      <c r="BK298" s="5"/>
      <c r="BM298" s="40"/>
      <c r="BN298" s="5"/>
      <c r="BP298" s="40"/>
      <c r="BQ298" s="5"/>
      <c r="BS298" s="40"/>
      <c r="BT298" s="5"/>
      <c r="BV298" s="40"/>
      <c r="BW298" s="5"/>
      <c r="BY298" s="40"/>
      <c r="BZ298" s="5"/>
      <c r="CB298" s="40"/>
      <c r="CC298" s="5"/>
      <c r="CE298" s="40"/>
      <c r="CF298" s="5"/>
      <c r="CH298" s="40"/>
      <c r="CI298" s="5"/>
      <c r="CK298" s="40"/>
      <c r="CL298" s="5"/>
      <c r="CN298" s="40"/>
      <c r="CO298" s="5"/>
      <c r="CQ298" s="40"/>
      <c r="CR298" s="5"/>
    </row>
    <row r="299">
      <c r="AO299" s="40"/>
      <c r="AP299" s="5"/>
      <c r="AR299" s="40"/>
      <c r="AS299" s="5"/>
      <c r="AU299" s="40"/>
      <c r="AV299" s="5"/>
      <c r="AX299" s="40"/>
      <c r="AY299" s="5"/>
      <c r="BA299" s="40"/>
      <c r="BB299" s="5"/>
      <c r="BD299" s="40"/>
      <c r="BE299" s="5"/>
      <c r="BG299" s="40"/>
      <c r="BH299" s="5"/>
      <c r="BJ299" s="40"/>
      <c r="BK299" s="5"/>
      <c r="BM299" s="40"/>
      <c r="BN299" s="5"/>
      <c r="BP299" s="40"/>
      <c r="BQ299" s="5"/>
      <c r="BS299" s="40"/>
      <c r="BT299" s="5"/>
      <c r="BV299" s="40"/>
      <c r="BW299" s="5"/>
      <c r="BY299" s="40"/>
      <c r="BZ299" s="5"/>
      <c r="CB299" s="40"/>
      <c r="CC299" s="5"/>
      <c r="CE299" s="40"/>
      <c r="CF299" s="5"/>
      <c r="CH299" s="40"/>
      <c r="CI299" s="5"/>
      <c r="CK299" s="40"/>
      <c r="CL299" s="5"/>
      <c r="CN299" s="40"/>
      <c r="CO299" s="5"/>
      <c r="CQ299" s="40"/>
      <c r="CR299" s="5"/>
    </row>
    <row r="300">
      <c r="AO300" s="40"/>
      <c r="AP300" s="5"/>
      <c r="AR300" s="40"/>
      <c r="AS300" s="5"/>
      <c r="AU300" s="40"/>
      <c r="AV300" s="5"/>
      <c r="AX300" s="40"/>
      <c r="AY300" s="5"/>
      <c r="BA300" s="40"/>
      <c r="BB300" s="5"/>
      <c r="BD300" s="40"/>
      <c r="BE300" s="5"/>
      <c r="BG300" s="40"/>
      <c r="BH300" s="5"/>
      <c r="BJ300" s="40"/>
      <c r="BK300" s="5"/>
      <c r="BM300" s="40"/>
      <c r="BN300" s="5"/>
      <c r="BP300" s="40"/>
      <c r="BQ300" s="5"/>
      <c r="BS300" s="40"/>
      <c r="BT300" s="5"/>
      <c r="BV300" s="40"/>
      <c r="BW300" s="5"/>
      <c r="BY300" s="40"/>
      <c r="BZ300" s="5"/>
      <c r="CB300" s="40"/>
      <c r="CC300" s="5"/>
      <c r="CE300" s="40"/>
      <c r="CF300" s="5"/>
      <c r="CH300" s="40"/>
      <c r="CI300" s="5"/>
      <c r="CK300" s="40"/>
      <c r="CL300" s="5"/>
      <c r="CN300" s="40"/>
      <c r="CO300" s="5"/>
      <c r="CQ300" s="40"/>
      <c r="CR300" s="5"/>
    </row>
    <row r="301">
      <c r="AO301" s="40"/>
      <c r="AP301" s="5"/>
      <c r="AR301" s="40"/>
      <c r="AS301" s="5"/>
      <c r="AU301" s="40"/>
      <c r="AV301" s="5"/>
      <c r="AX301" s="40"/>
      <c r="AY301" s="5"/>
      <c r="BA301" s="40"/>
      <c r="BB301" s="5"/>
      <c r="BD301" s="40"/>
      <c r="BE301" s="5"/>
      <c r="BG301" s="40"/>
      <c r="BH301" s="5"/>
      <c r="BJ301" s="40"/>
      <c r="BK301" s="5"/>
      <c r="BM301" s="40"/>
      <c r="BN301" s="5"/>
      <c r="BP301" s="40"/>
      <c r="BQ301" s="5"/>
      <c r="BS301" s="40"/>
      <c r="BT301" s="5"/>
      <c r="BV301" s="40"/>
      <c r="BW301" s="5"/>
      <c r="BY301" s="40"/>
      <c r="BZ301" s="5"/>
      <c r="CB301" s="40"/>
      <c r="CC301" s="5"/>
      <c r="CE301" s="40"/>
      <c r="CF301" s="5"/>
      <c r="CH301" s="40"/>
      <c r="CI301" s="5"/>
      <c r="CK301" s="40"/>
      <c r="CL301" s="5"/>
      <c r="CN301" s="40"/>
      <c r="CO301" s="5"/>
      <c r="CQ301" s="40"/>
      <c r="CR301" s="5"/>
    </row>
    <row r="302">
      <c r="AO302" s="40"/>
      <c r="AP302" s="5"/>
      <c r="AR302" s="40"/>
      <c r="AS302" s="5"/>
      <c r="AU302" s="40"/>
      <c r="AV302" s="5"/>
      <c r="AX302" s="40"/>
      <c r="AY302" s="5"/>
      <c r="BA302" s="40"/>
      <c r="BB302" s="5"/>
      <c r="BD302" s="40"/>
      <c r="BE302" s="5"/>
      <c r="BG302" s="40"/>
      <c r="BH302" s="5"/>
      <c r="BJ302" s="40"/>
      <c r="BK302" s="5"/>
      <c r="BM302" s="40"/>
      <c r="BN302" s="5"/>
      <c r="BP302" s="40"/>
      <c r="BQ302" s="5"/>
      <c r="BS302" s="40"/>
      <c r="BT302" s="5"/>
      <c r="BV302" s="40"/>
      <c r="BW302" s="5"/>
      <c r="BY302" s="40"/>
      <c r="BZ302" s="5"/>
      <c r="CB302" s="40"/>
      <c r="CC302" s="5"/>
      <c r="CE302" s="40"/>
      <c r="CF302" s="5"/>
      <c r="CH302" s="40"/>
      <c r="CI302" s="5"/>
      <c r="CK302" s="40"/>
      <c r="CL302" s="5"/>
      <c r="CN302" s="40"/>
      <c r="CO302" s="5"/>
      <c r="CQ302" s="40"/>
      <c r="CR302" s="5"/>
    </row>
    <row r="303">
      <c r="AO303" s="40"/>
      <c r="AP303" s="5"/>
      <c r="AR303" s="40"/>
      <c r="AS303" s="5"/>
      <c r="AU303" s="40"/>
      <c r="AV303" s="5"/>
      <c r="AX303" s="40"/>
      <c r="AY303" s="5"/>
      <c r="BA303" s="40"/>
      <c r="BB303" s="5"/>
      <c r="BD303" s="40"/>
      <c r="BE303" s="5"/>
      <c r="BG303" s="40"/>
      <c r="BH303" s="5"/>
      <c r="BJ303" s="40"/>
      <c r="BK303" s="5"/>
      <c r="BM303" s="40"/>
      <c r="BN303" s="5"/>
      <c r="BP303" s="40"/>
      <c r="BQ303" s="5"/>
      <c r="BS303" s="40"/>
      <c r="BT303" s="5"/>
      <c r="BV303" s="40"/>
      <c r="BW303" s="5"/>
      <c r="BY303" s="40"/>
      <c r="BZ303" s="5"/>
      <c r="CB303" s="40"/>
      <c r="CC303" s="5"/>
      <c r="CE303" s="40"/>
      <c r="CF303" s="5"/>
      <c r="CH303" s="40"/>
      <c r="CI303" s="5"/>
      <c r="CK303" s="40"/>
      <c r="CL303" s="5"/>
      <c r="CN303" s="40"/>
      <c r="CO303" s="5"/>
      <c r="CQ303" s="40"/>
      <c r="CR303" s="5"/>
    </row>
    <row r="304">
      <c r="AO304" s="40"/>
      <c r="AP304" s="5"/>
      <c r="AR304" s="40"/>
      <c r="AS304" s="5"/>
      <c r="AU304" s="40"/>
      <c r="AV304" s="5"/>
      <c r="AX304" s="40"/>
      <c r="AY304" s="5"/>
      <c r="BA304" s="40"/>
      <c r="BB304" s="5"/>
      <c r="BD304" s="40"/>
      <c r="BE304" s="5"/>
      <c r="BG304" s="40"/>
      <c r="BH304" s="5"/>
      <c r="BJ304" s="40"/>
      <c r="BK304" s="5"/>
      <c r="BM304" s="40"/>
      <c r="BN304" s="5"/>
      <c r="BP304" s="40"/>
      <c r="BQ304" s="5"/>
      <c r="BS304" s="40"/>
      <c r="BT304" s="5"/>
      <c r="BV304" s="40"/>
      <c r="BW304" s="5"/>
      <c r="BY304" s="40"/>
      <c r="BZ304" s="5"/>
      <c r="CB304" s="40"/>
      <c r="CC304" s="5"/>
      <c r="CE304" s="40"/>
      <c r="CF304" s="5"/>
      <c r="CH304" s="40"/>
      <c r="CI304" s="5"/>
      <c r="CK304" s="40"/>
      <c r="CL304" s="5"/>
      <c r="CN304" s="40"/>
      <c r="CO304" s="5"/>
      <c r="CQ304" s="40"/>
      <c r="CR304" s="5"/>
    </row>
    <row r="305">
      <c r="AO305" s="40"/>
      <c r="AP305" s="5"/>
      <c r="AR305" s="40"/>
      <c r="AS305" s="5"/>
      <c r="AU305" s="40"/>
      <c r="AV305" s="5"/>
      <c r="AX305" s="40"/>
      <c r="AY305" s="5"/>
      <c r="BA305" s="40"/>
      <c r="BB305" s="5"/>
      <c r="BD305" s="40"/>
      <c r="BE305" s="5"/>
      <c r="BG305" s="40"/>
      <c r="BH305" s="5"/>
      <c r="BJ305" s="40"/>
      <c r="BK305" s="5"/>
      <c r="BM305" s="40"/>
      <c r="BN305" s="5"/>
      <c r="BP305" s="40"/>
      <c r="BQ305" s="5"/>
      <c r="BS305" s="40"/>
      <c r="BT305" s="5"/>
      <c r="BV305" s="40"/>
      <c r="BW305" s="5"/>
      <c r="BY305" s="40"/>
      <c r="BZ305" s="5"/>
      <c r="CB305" s="40"/>
      <c r="CC305" s="5"/>
      <c r="CE305" s="40"/>
      <c r="CF305" s="5"/>
      <c r="CH305" s="40"/>
      <c r="CI305" s="5"/>
      <c r="CK305" s="40"/>
      <c r="CL305" s="5"/>
      <c r="CN305" s="40"/>
      <c r="CO305" s="5"/>
      <c r="CQ305" s="40"/>
      <c r="CR305" s="5"/>
    </row>
    <row r="306">
      <c r="AO306" s="40"/>
      <c r="AP306" s="5"/>
      <c r="AR306" s="40"/>
      <c r="AS306" s="5"/>
      <c r="AU306" s="40"/>
      <c r="AV306" s="5"/>
      <c r="AX306" s="40"/>
      <c r="AY306" s="5"/>
      <c r="BA306" s="40"/>
      <c r="BB306" s="5"/>
      <c r="BD306" s="40"/>
      <c r="BE306" s="5"/>
      <c r="BG306" s="40"/>
      <c r="BH306" s="5"/>
      <c r="BJ306" s="40"/>
      <c r="BK306" s="5"/>
      <c r="BM306" s="40"/>
      <c r="BN306" s="5"/>
      <c r="BP306" s="40"/>
      <c r="BQ306" s="5"/>
      <c r="BS306" s="40"/>
      <c r="BT306" s="5"/>
      <c r="BV306" s="40"/>
      <c r="BW306" s="5"/>
      <c r="BY306" s="40"/>
      <c r="BZ306" s="5"/>
      <c r="CB306" s="40"/>
      <c r="CC306" s="5"/>
      <c r="CE306" s="40"/>
      <c r="CF306" s="5"/>
      <c r="CH306" s="40"/>
      <c r="CI306" s="5"/>
      <c r="CK306" s="40"/>
      <c r="CL306" s="5"/>
      <c r="CN306" s="40"/>
      <c r="CO306" s="5"/>
      <c r="CQ306" s="40"/>
      <c r="CR306" s="5"/>
    </row>
    <row r="307">
      <c r="AO307" s="40"/>
      <c r="AP307" s="5"/>
      <c r="AR307" s="40"/>
      <c r="AS307" s="5"/>
      <c r="AU307" s="40"/>
      <c r="AV307" s="5"/>
      <c r="AX307" s="40"/>
      <c r="AY307" s="5"/>
      <c r="BA307" s="40"/>
      <c r="BB307" s="5"/>
      <c r="BD307" s="40"/>
      <c r="BE307" s="5"/>
      <c r="BG307" s="40"/>
      <c r="BH307" s="5"/>
      <c r="BJ307" s="40"/>
      <c r="BK307" s="5"/>
      <c r="BM307" s="40"/>
      <c r="BN307" s="5"/>
      <c r="BP307" s="40"/>
      <c r="BQ307" s="5"/>
      <c r="BS307" s="40"/>
      <c r="BT307" s="5"/>
      <c r="BV307" s="40"/>
      <c r="BW307" s="5"/>
      <c r="BY307" s="40"/>
      <c r="BZ307" s="5"/>
      <c r="CB307" s="40"/>
      <c r="CC307" s="5"/>
      <c r="CE307" s="40"/>
      <c r="CF307" s="5"/>
      <c r="CH307" s="40"/>
      <c r="CI307" s="5"/>
      <c r="CK307" s="40"/>
      <c r="CL307" s="5"/>
      <c r="CN307" s="40"/>
      <c r="CO307" s="5"/>
      <c r="CQ307" s="40"/>
      <c r="CR307" s="5"/>
    </row>
    <row r="308">
      <c r="AO308" s="40"/>
      <c r="AP308" s="5"/>
      <c r="AR308" s="40"/>
      <c r="AS308" s="5"/>
      <c r="AU308" s="40"/>
      <c r="AV308" s="5"/>
      <c r="AX308" s="40"/>
      <c r="AY308" s="5"/>
      <c r="BA308" s="40"/>
      <c r="BB308" s="5"/>
      <c r="BD308" s="40"/>
      <c r="BE308" s="5"/>
      <c r="BG308" s="40"/>
      <c r="BH308" s="5"/>
      <c r="BJ308" s="40"/>
      <c r="BK308" s="5"/>
      <c r="BM308" s="40"/>
      <c r="BN308" s="5"/>
      <c r="BP308" s="40"/>
      <c r="BQ308" s="5"/>
      <c r="BS308" s="40"/>
      <c r="BT308" s="5"/>
      <c r="BV308" s="40"/>
      <c r="BW308" s="5"/>
      <c r="BY308" s="40"/>
      <c r="BZ308" s="5"/>
      <c r="CB308" s="40"/>
      <c r="CC308" s="5"/>
      <c r="CE308" s="40"/>
      <c r="CF308" s="5"/>
      <c r="CH308" s="40"/>
      <c r="CI308" s="5"/>
      <c r="CK308" s="40"/>
      <c r="CL308" s="5"/>
      <c r="CN308" s="40"/>
      <c r="CO308" s="5"/>
      <c r="CQ308" s="40"/>
      <c r="CR308" s="5"/>
    </row>
    <row r="309">
      <c r="AO309" s="40"/>
      <c r="AP309" s="5"/>
      <c r="AR309" s="40"/>
      <c r="AS309" s="5"/>
      <c r="AU309" s="40"/>
      <c r="AV309" s="5"/>
      <c r="AX309" s="40"/>
      <c r="AY309" s="5"/>
      <c r="BA309" s="40"/>
      <c r="BB309" s="5"/>
      <c r="BD309" s="40"/>
      <c r="BE309" s="5"/>
      <c r="BG309" s="40"/>
      <c r="BH309" s="5"/>
      <c r="BJ309" s="40"/>
      <c r="BK309" s="5"/>
      <c r="BM309" s="40"/>
      <c r="BN309" s="5"/>
      <c r="BP309" s="40"/>
      <c r="BQ309" s="5"/>
      <c r="BS309" s="40"/>
      <c r="BT309" s="5"/>
      <c r="BV309" s="40"/>
      <c r="BW309" s="5"/>
      <c r="BY309" s="40"/>
      <c r="BZ309" s="5"/>
      <c r="CB309" s="40"/>
      <c r="CC309" s="5"/>
      <c r="CE309" s="40"/>
      <c r="CF309" s="5"/>
      <c r="CH309" s="40"/>
      <c r="CI309" s="5"/>
      <c r="CK309" s="40"/>
      <c r="CL309" s="5"/>
      <c r="CN309" s="40"/>
      <c r="CO309" s="5"/>
      <c r="CQ309" s="40"/>
      <c r="CR309" s="5"/>
    </row>
    <row r="310">
      <c r="AO310" s="40"/>
      <c r="AP310" s="5"/>
      <c r="AR310" s="40"/>
      <c r="AS310" s="5"/>
      <c r="AU310" s="40"/>
      <c r="AV310" s="5"/>
      <c r="AX310" s="40"/>
      <c r="AY310" s="5"/>
      <c r="BA310" s="40"/>
      <c r="BB310" s="5"/>
      <c r="BD310" s="40"/>
      <c r="BE310" s="5"/>
      <c r="BG310" s="40"/>
      <c r="BH310" s="5"/>
      <c r="BJ310" s="40"/>
      <c r="BK310" s="5"/>
      <c r="BM310" s="40"/>
      <c r="BN310" s="5"/>
      <c r="BP310" s="40"/>
      <c r="BQ310" s="5"/>
      <c r="BS310" s="40"/>
      <c r="BT310" s="5"/>
      <c r="BV310" s="40"/>
      <c r="BW310" s="5"/>
      <c r="BY310" s="40"/>
      <c r="BZ310" s="5"/>
      <c r="CB310" s="40"/>
      <c r="CC310" s="5"/>
      <c r="CE310" s="40"/>
      <c r="CF310" s="5"/>
      <c r="CH310" s="40"/>
      <c r="CI310" s="5"/>
      <c r="CK310" s="40"/>
      <c r="CL310" s="5"/>
      <c r="CN310" s="40"/>
      <c r="CO310" s="5"/>
      <c r="CQ310" s="40"/>
      <c r="CR310" s="5"/>
    </row>
    <row r="311">
      <c r="AO311" s="40"/>
      <c r="AP311" s="5"/>
      <c r="AR311" s="40"/>
      <c r="AS311" s="5"/>
      <c r="AU311" s="40"/>
      <c r="AV311" s="5"/>
      <c r="AX311" s="40"/>
      <c r="AY311" s="5"/>
      <c r="BA311" s="40"/>
      <c r="BB311" s="5"/>
      <c r="BD311" s="40"/>
      <c r="BE311" s="5"/>
      <c r="BG311" s="40"/>
      <c r="BH311" s="5"/>
      <c r="BJ311" s="40"/>
      <c r="BK311" s="5"/>
      <c r="BM311" s="40"/>
      <c r="BN311" s="5"/>
      <c r="BP311" s="40"/>
      <c r="BQ311" s="5"/>
      <c r="BS311" s="40"/>
      <c r="BT311" s="5"/>
      <c r="BV311" s="40"/>
      <c r="BW311" s="5"/>
      <c r="BY311" s="40"/>
      <c r="BZ311" s="5"/>
      <c r="CB311" s="40"/>
      <c r="CC311" s="5"/>
      <c r="CE311" s="40"/>
      <c r="CF311" s="5"/>
      <c r="CH311" s="40"/>
      <c r="CI311" s="5"/>
      <c r="CK311" s="40"/>
      <c r="CL311" s="5"/>
      <c r="CN311" s="40"/>
      <c r="CO311" s="5"/>
      <c r="CQ311" s="40"/>
      <c r="CR311" s="5"/>
    </row>
    <row r="312">
      <c r="AO312" s="40"/>
      <c r="AP312" s="5"/>
      <c r="AR312" s="40"/>
      <c r="AS312" s="5"/>
      <c r="AU312" s="40"/>
      <c r="AV312" s="5"/>
      <c r="AX312" s="40"/>
      <c r="AY312" s="5"/>
      <c r="BA312" s="40"/>
      <c r="BB312" s="5"/>
      <c r="BD312" s="40"/>
      <c r="BE312" s="5"/>
      <c r="BG312" s="40"/>
      <c r="BH312" s="5"/>
      <c r="BJ312" s="40"/>
      <c r="BK312" s="5"/>
      <c r="BM312" s="40"/>
      <c r="BN312" s="5"/>
      <c r="BP312" s="40"/>
      <c r="BQ312" s="5"/>
      <c r="BS312" s="40"/>
      <c r="BT312" s="5"/>
      <c r="BV312" s="40"/>
      <c r="BW312" s="5"/>
      <c r="BY312" s="40"/>
      <c r="BZ312" s="5"/>
      <c r="CB312" s="40"/>
      <c r="CC312" s="5"/>
      <c r="CE312" s="40"/>
      <c r="CF312" s="5"/>
      <c r="CH312" s="40"/>
      <c r="CI312" s="5"/>
      <c r="CK312" s="40"/>
      <c r="CL312" s="5"/>
      <c r="CN312" s="40"/>
      <c r="CO312" s="5"/>
      <c r="CQ312" s="40"/>
      <c r="CR312" s="5"/>
    </row>
    <row r="313">
      <c r="AO313" s="40"/>
      <c r="AP313" s="5"/>
      <c r="AR313" s="40"/>
      <c r="AS313" s="5"/>
      <c r="AU313" s="40"/>
      <c r="AV313" s="5"/>
      <c r="AX313" s="40"/>
      <c r="AY313" s="5"/>
      <c r="BA313" s="40"/>
      <c r="BB313" s="5"/>
      <c r="BD313" s="40"/>
      <c r="BE313" s="5"/>
      <c r="BG313" s="40"/>
      <c r="BH313" s="5"/>
      <c r="BJ313" s="40"/>
      <c r="BK313" s="5"/>
      <c r="BM313" s="40"/>
      <c r="BN313" s="5"/>
      <c r="BP313" s="40"/>
      <c r="BQ313" s="5"/>
      <c r="BS313" s="40"/>
      <c r="BT313" s="5"/>
      <c r="BV313" s="40"/>
      <c r="BW313" s="5"/>
      <c r="BY313" s="40"/>
      <c r="BZ313" s="5"/>
      <c r="CB313" s="40"/>
      <c r="CC313" s="5"/>
      <c r="CE313" s="40"/>
      <c r="CF313" s="5"/>
      <c r="CH313" s="40"/>
      <c r="CI313" s="5"/>
      <c r="CK313" s="40"/>
      <c r="CL313" s="5"/>
      <c r="CN313" s="40"/>
      <c r="CO313" s="5"/>
      <c r="CQ313" s="40"/>
      <c r="CR313" s="5"/>
    </row>
    <row r="314">
      <c r="AO314" s="40"/>
      <c r="AP314" s="5"/>
      <c r="AR314" s="40"/>
      <c r="AS314" s="5"/>
      <c r="AU314" s="40"/>
      <c r="AV314" s="5"/>
      <c r="AX314" s="40"/>
      <c r="AY314" s="5"/>
      <c r="BA314" s="40"/>
      <c r="BB314" s="5"/>
      <c r="BD314" s="40"/>
      <c r="BE314" s="5"/>
      <c r="BG314" s="40"/>
      <c r="BH314" s="5"/>
      <c r="BJ314" s="40"/>
      <c r="BK314" s="5"/>
      <c r="BM314" s="40"/>
      <c r="BN314" s="5"/>
      <c r="BP314" s="40"/>
      <c r="BQ314" s="5"/>
      <c r="BS314" s="40"/>
      <c r="BT314" s="5"/>
      <c r="BV314" s="40"/>
      <c r="BW314" s="5"/>
      <c r="BY314" s="40"/>
      <c r="BZ314" s="5"/>
      <c r="CB314" s="40"/>
      <c r="CC314" s="5"/>
      <c r="CE314" s="40"/>
      <c r="CF314" s="5"/>
      <c r="CH314" s="40"/>
      <c r="CI314" s="5"/>
      <c r="CK314" s="40"/>
      <c r="CL314" s="5"/>
      <c r="CN314" s="40"/>
      <c r="CO314" s="5"/>
      <c r="CQ314" s="40"/>
      <c r="CR314" s="5"/>
    </row>
    <row r="315">
      <c r="AO315" s="40"/>
      <c r="AP315" s="5"/>
      <c r="AR315" s="40"/>
      <c r="AS315" s="5"/>
      <c r="AU315" s="40"/>
      <c r="AV315" s="5"/>
      <c r="AX315" s="40"/>
      <c r="AY315" s="5"/>
      <c r="BA315" s="40"/>
      <c r="BB315" s="5"/>
      <c r="BD315" s="40"/>
      <c r="BE315" s="5"/>
      <c r="BG315" s="40"/>
      <c r="BH315" s="5"/>
      <c r="BJ315" s="40"/>
      <c r="BK315" s="5"/>
      <c r="BM315" s="40"/>
      <c r="BN315" s="5"/>
      <c r="BP315" s="40"/>
      <c r="BQ315" s="5"/>
      <c r="BS315" s="40"/>
      <c r="BT315" s="5"/>
      <c r="BV315" s="40"/>
      <c r="BW315" s="5"/>
      <c r="BY315" s="40"/>
      <c r="BZ315" s="5"/>
      <c r="CB315" s="40"/>
      <c r="CC315" s="5"/>
      <c r="CE315" s="40"/>
      <c r="CF315" s="5"/>
      <c r="CH315" s="40"/>
      <c r="CI315" s="5"/>
      <c r="CK315" s="40"/>
      <c r="CL315" s="5"/>
      <c r="CN315" s="40"/>
      <c r="CO315" s="5"/>
      <c r="CQ315" s="40"/>
      <c r="CR315" s="5"/>
    </row>
    <row r="316">
      <c r="AO316" s="40"/>
      <c r="AP316" s="5"/>
      <c r="AR316" s="40"/>
      <c r="AS316" s="5"/>
      <c r="AU316" s="40"/>
      <c r="AV316" s="5"/>
      <c r="AX316" s="40"/>
      <c r="AY316" s="5"/>
      <c r="BA316" s="40"/>
      <c r="BB316" s="5"/>
      <c r="BD316" s="40"/>
      <c r="BE316" s="5"/>
      <c r="BG316" s="40"/>
      <c r="BH316" s="5"/>
      <c r="BJ316" s="40"/>
      <c r="BK316" s="5"/>
      <c r="BM316" s="40"/>
      <c r="BN316" s="5"/>
      <c r="BP316" s="40"/>
      <c r="BQ316" s="5"/>
      <c r="BS316" s="40"/>
      <c r="BT316" s="5"/>
      <c r="BV316" s="40"/>
      <c r="BW316" s="5"/>
      <c r="BY316" s="40"/>
      <c r="BZ316" s="5"/>
      <c r="CB316" s="40"/>
      <c r="CC316" s="5"/>
      <c r="CE316" s="40"/>
      <c r="CF316" s="5"/>
      <c r="CH316" s="40"/>
      <c r="CI316" s="5"/>
      <c r="CK316" s="40"/>
      <c r="CL316" s="5"/>
      <c r="CN316" s="40"/>
      <c r="CO316" s="5"/>
      <c r="CQ316" s="40"/>
      <c r="CR316" s="5"/>
    </row>
    <row r="317">
      <c r="AO317" s="40"/>
      <c r="AP317" s="5"/>
      <c r="AR317" s="40"/>
      <c r="AS317" s="5"/>
      <c r="AU317" s="40"/>
      <c r="AV317" s="5"/>
      <c r="AX317" s="40"/>
      <c r="AY317" s="5"/>
      <c r="BA317" s="40"/>
      <c r="BB317" s="5"/>
      <c r="BD317" s="40"/>
      <c r="BE317" s="5"/>
      <c r="BG317" s="40"/>
      <c r="BH317" s="5"/>
      <c r="BJ317" s="40"/>
      <c r="BK317" s="5"/>
      <c r="BM317" s="40"/>
      <c r="BN317" s="5"/>
      <c r="BP317" s="40"/>
      <c r="BQ317" s="5"/>
      <c r="BS317" s="40"/>
      <c r="BT317" s="5"/>
      <c r="BV317" s="40"/>
      <c r="BW317" s="5"/>
      <c r="BY317" s="40"/>
      <c r="BZ317" s="5"/>
      <c r="CB317" s="40"/>
      <c r="CC317" s="5"/>
      <c r="CE317" s="40"/>
      <c r="CF317" s="5"/>
      <c r="CH317" s="40"/>
      <c r="CI317" s="5"/>
      <c r="CK317" s="40"/>
      <c r="CL317" s="5"/>
      <c r="CN317" s="40"/>
      <c r="CO317" s="5"/>
      <c r="CQ317" s="40"/>
      <c r="CR317" s="5"/>
    </row>
    <row r="318">
      <c r="AO318" s="40"/>
      <c r="AP318" s="5"/>
      <c r="AR318" s="40"/>
      <c r="AS318" s="5"/>
      <c r="AU318" s="40"/>
      <c r="AV318" s="5"/>
      <c r="AX318" s="40"/>
      <c r="AY318" s="5"/>
      <c r="BA318" s="40"/>
      <c r="BB318" s="5"/>
      <c r="BD318" s="40"/>
      <c r="BE318" s="5"/>
      <c r="BG318" s="40"/>
      <c r="BH318" s="5"/>
      <c r="BJ318" s="40"/>
      <c r="BK318" s="5"/>
      <c r="BM318" s="40"/>
      <c r="BN318" s="5"/>
      <c r="BP318" s="40"/>
      <c r="BQ318" s="5"/>
      <c r="BS318" s="40"/>
      <c r="BT318" s="5"/>
      <c r="BV318" s="40"/>
      <c r="BW318" s="5"/>
      <c r="BY318" s="40"/>
      <c r="BZ318" s="5"/>
      <c r="CB318" s="40"/>
      <c r="CC318" s="5"/>
      <c r="CE318" s="40"/>
      <c r="CF318" s="5"/>
      <c r="CH318" s="40"/>
      <c r="CI318" s="5"/>
      <c r="CK318" s="40"/>
      <c r="CL318" s="5"/>
      <c r="CN318" s="40"/>
      <c r="CO318" s="5"/>
      <c r="CQ318" s="40"/>
      <c r="CR318" s="5"/>
    </row>
    <row r="319">
      <c r="AO319" s="40"/>
      <c r="AP319" s="5"/>
      <c r="AR319" s="40"/>
      <c r="AS319" s="5"/>
      <c r="AU319" s="40"/>
      <c r="AV319" s="5"/>
      <c r="AX319" s="40"/>
      <c r="AY319" s="5"/>
      <c r="BA319" s="40"/>
      <c r="BB319" s="5"/>
      <c r="BD319" s="40"/>
      <c r="BE319" s="5"/>
      <c r="BG319" s="40"/>
      <c r="BH319" s="5"/>
      <c r="BJ319" s="40"/>
      <c r="BK319" s="5"/>
      <c r="BM319" s="40"/>
      <c r="BN319" s="5"/>
      <c r="BP319" s="40"/>
      <c r="BQ319" s="5"/>
      <c r="BS319" s="40"/>
      <c r="BT319" s="5"/>
      <c r="BV319" s="40"/>
      <c r="BW319" s="5"/>
      <c r="BY319" s="40"/>
      <c r="BZ319" s="5"/>
      <c r="CB319" s="40"/>
      <c r="CC319" s="5"/>
      <c r="CE319" s="40"/>
      <c r="CF319" s="5"/>
      <c r="CH319" s="40"/>
      <c r="CI319" s="5"/>
      <c r="CK319" s="40"/>
      <c r="CL319" s="5"/>
      <c r="CN319" s="40"/>
      <c r="CO319" s="5"/>
      <c r="CQ319" s="40"/>
      <c r="CR319" s="5"/>
    </row>
    <row r="320">
      <c r="AO320" s="40"/>
      <c r="AP320" s="5"/>
      <c r="AR320" s="40"/>
      <c r="AS320" s="5"/>
      <c r="AU320" s="40"/>
      <c r="AV320" s="5"/>
      <c r="AX320" s="40"/>
      <c r="AY320" s="5"/>
      <c r="BA320" s="40"/>
      <c r="BB320" s="5"/>
      <c r="BD320" s="40"/>
      <c r="BE320" s="5"/>
      <c r="BG320" s="40"/>
      <c r="BH320" s="5"/>
      <c r="BJ320" s="40"/>
      <c r="BK320" s="5"/>
      <c r="BM320" s="40"/>
      <c r="BN320" s="5"/>
      <c r="BP320" s="40"/>
      <c r="BQ320" s="5"/>
      <c r="BS320" s="40"/>
      <c r="BT320" s="5"/>
      <c r="BV320" s="40"/>
      <c r="BW320" s="5"/>
      <c r="BY320" s="40"/>
      <c r="BZ320" s="5"/>
      <c r="CB320" s="40"/>
      <c r="CC320" s="5"/>
      <c r="CE320" s="40"/>
      <c r="CF320" s="5"/>
      <c r="CH320" s="40"/>
      <c r="CI320" s="5"/>
      <c r="CK320" s="40"/>
      <c r="CL320" s="5"/>
      <c r="CN320" s="40"/>
      <c r="CO320" s="5"/>
      <c r="CQ320" s="40"/>
      <c r="CR320" s="5"/>
    </row>
    <row r="321">
      <c r="AO321" s="40"/>
      <c r="AP321" s="5"/>
      <c r="AR321" s="40"/>
      <c r="AS321" s="5"/>
      <c r="AU321" s="40"/>
      <c r="AV321" s="5"/>
      <c r="AX321" s="40"/>
      <c r="AY321" s="5"/>
      <c r="BA321" s="40"/>
      <c r="BB321" s="5"/>
      <c r="BD321" s="40"/>
      <c r="BE321" s="5"/>
      <c r="BG321" s="40"/>
      <c r="BH321" s="5"/>
      <c r="BJ321" s="40"/>
      <c r="BK321" s="5"/>
      <c r="BM321" s="40"/>
      <c r="BN321" s="5"/>
      <c r="BP321" s="40"/>
      <c r="BQ321" s="5"/>
      <c r="BS321" s="40"/>
      <c r="BT321" s="5"/>
      <c r="BV321" s="40"/>
      <c r="BW321" s="5"/>
      <c r="BY321" s="40"/>
      <c r="BZ321" s="5"/>
      <c r="CB321" s="40"/>
      <c r="CC321" s="5"/>
      <c r="CE321" s="40"/>
      <c r="CF321" s="5"/>
      <c r="CH321" s="40"/>
      <c r="CI321" s="5"/>
      <c r="CK321" s="40"/>
      <c r="CL321" s="5"/>
      <c r="CN321" s="40"/>
      <c r="CO321" s="5"/>
      <c r="CQ321" s="40"/>
      <c r="CR321" s="5"/>
    </row>
    <row r="322">
      <c r="AO322" s="40"/>
      <c r="AP322" s="5"/>
      <c r="AR322" s="40"/>
      <c r="AS322" s="5"/>
      <c r="AU322" s="40"/>
      <c r="AV322" s="5"/>
      <c r="AX322" s="40"/>
      <c r="AY322" s="5"/>
      <c r="BA322" s="40"/>
      <c r="BB322" s="5"/>
      <c r="BD322" s="40"/>
      <c r="BE322" s="5"/>
      <c r="BG322" s="40"/>
      <c r="BH322" s="5"/>
      <c r="BJ322" s="40"/>
      <c r="BK322" s="5"/>
      <c r="BM322" s="40"/>
      <c r="BN322" s="5"/>
      <c r="BP322" s="40"/>
      <c r="BQ322" s="5"/>
      <c r="BS322" s="40"/>
      <c r="BT322" s="5"/>
      <c r="BV322" s="40"/>
      <c r="BW322" s="5"/>
      <c r="BY322" s="40"/>
      <c r="BZ322" s="5"/>
      <c r="CB322" s="40"/>
      <c r="CC322" s="5"/>
      <c r="CE322" s="40"/>
      <c r="CF322" s="5"/>
      <c r="CH322" s="40"/>
      <c r="CI322" s="5"/>
      <c r="CK322" s="40"/>
      <c r="CL322" s="5"/>
      <c r="CN322" s="40"/>
      <c r="CO322" s="5"/>
      <c r="CQ322" s="40"/>
      <c r="CR322" s="5"/>
    </row>
    <row r="323">
      <c r="AO323" s="40"/>
      <c r="AP323" s="5"/>
      <c r="AR323" s="40"/>
      <c r="AS323" s="5"/>
      <c r="AU323" s="40"/>
      <c r="AV323" s="5"/>
      <c r="AX323" s="40"/>
      <c r="AY323" s="5"/>
      <c r="BA323" s="40"/>
      <c r="BB323" s="5"/>
      <c r="BD323" s="40"/>
      <c r="BE323" s="5"/>
      <c r="BG323" s="40"/>
      <c r="BH323" s="5"/>
      <c r="BJ323" s="40"/>
      <c r="BK323" s="5"/>
      <c r="BM323" s="40"/>
      <c r="BN323" s="5"/>
      <c r="BP323" s="40"/>
      <c r="BQ323" s="5"/>
      <c r="BS323" s="40"/>
      <c r="BT323" s="5"/>
      <c r="BV323" s="40"/>
      <c r="BW323" s="5"/>
      <c r="BY323" s="40"/>
      <c r="BZ323" s="5"/>
      <c r="CB323" s="40"/>
      <c r="CC323" s="5"/>
      <c r="CE323" s="40"/>
      <c r="CF323" s="5"/>
      <c r="CH323" s="40"/>
      <c r="CI323" s="5"/>
      <c r="CK323" s="40"/>
      <c r="CL323" s="5"/>
      <c r="CN323" s="40"/>
      <c r="CO323" s="5"/>
      <c r="CQ323" s="40"/>
      <c r="CR323" s="5"/>
    </row>
    <row r="324">
      <c r="AO324" s="40"/>
      <c r="AP324" s="5"/>
      <c r="AR324" s="40"/>
      <c r="AS324" s="5"/>
      <c r="AU324" s="40"/>
      <c r="AV324" s="5"/>
      <c r="AX324" s="40"/>
      <c r="AY324" s="5"/>
      <c r="BA324" s="40"/>
      <c r="BB324" s="5"/>
      <c r="BD324" s="40"/>
      <c r="BE324" s="5"/>
      <c r="BG324" s="40"/>
      <c r="BH324" s="5"/>
      <c r="BJ324" s="40"/>
      <c r="BK324" s="5"/>
      <c r="BM324" s="40"/>
      <c r="BN324" s="5"/>
      <c r="BP324" s="40"/>
      <c r="BQ324" s="5"/>
      <c r="BS324" s="40"/>
      <c r="BT324" s="5"/>
      <c r="BV324" s="40"/>
      <c r="BW324" s="5"/>
      <c r="BY324" s="40"/>
      <c r="BZ324" s="5"/>
      <c r="CB324" s="40"/>
      <c r="CC324" s="5"/>
      <c r="CE324" s="40"/>
      <c r="CF324" s="5"/>
      <c r="CH324" s="40"/>
      <c r="CI324" s="5"/>
      <c r="CK324" s="40"/>
      <c r="CL324" s="5"/>
      <c r="CN324" s="40"/>
      <c r="CO324" s="5"/>
      <c r="CQ324" s="40"/>
      <c r="CR324" s="5"/>
    </row>
    <row r="325">
      <c r="AO325" s="40"/>
      <c r="AP325" s="5"/>
      <c r="AR325" s="40"/>
      <c r="AS325" s="5"/>
      <c r="AU325" s="40"/>
      <c r="AV325" s="5"/>
      <c r="AX325" s="40"/>
      <c r="AY325" s="5"/>
      <c r="BA325" s="40"/>
      <c r="BB325" s="5"/>
      <c r="BD325" s="40"/>
      <c r="BE325" s="5"/>
      <c r="BG325" s="40"/>
      <c r="BH325" s="5"/>
      <c r="BJ325" s="40"/>
      <c r="BK325" s="5"/>
      <c r="BM325" s="40"/>
      <c r="BN325" s="5"/>
      <c r="BP325" s="40"/>
      <c r="BQ325" s="5"/>
      <c r="BS325" s="40"/>
      <c r="BT325" s="5"/>
      <c r="BV325" s="40"/>
      <c r="BW325" s="5"/>
      <c r="BY325" s="40"/>
      <c r="BZ325" s="5"/>
      <c r="CB325" s="40"/>
      <c r="CC325" s="5"/>
      <c r="CE325" s="40"/>
      <c r="CF325" s="5"/>
      <c r="CH325" s="40"/>
      <c r="CI325" s="5"/>
      <c r="CK325" s="40"/>
      <c r="CL325" s="5"/>
      <c r="CN325" s="40"/>
      <c r="CO325" s="5"/>
      <c r="CQ325" s="40"/>
      <c r="CR325" s="5"/>
    </row>
    <row r="326">
      <c r="AO326" s="40"/>
      <c r="AP326" s="5"/>
      <c r="AR326" s="40"/>
      <c r="AS326" s="5"/>
      <c r="AU326" s="40"/>
      <c r="AV326" s="5"/>
      <c r="AX326" s="40"/>
      <c r="AY326" s="5"/>
      <c r="BA326" s="40"/>
      <c r="BB326" s="5"/>
      <c r="BD326" s="40"/>
      <c r="BE326" s="5"/>
      <c r="BG326" s="40"/>
      <c r="BH326" s="5"/>
      <c r="BJ326" s="40"/>
      <c r="BK326" s="5"/>
      <c r="BM326" s="40"/>
      <c r="BN326" s="5"/>
      <c r="BP326" s="40"/>
      <c r="BQ326" s="5"/>
      <c r="BS326" s="40"/>
      <c r="BT326" s="5"/>
      <c r="BV326" s="40"/>
      <c r="BW326" s="5"/>
      <c r="BY326" s="40"/>
      <c r="BZ326" s="5"/>
      <c r="CB326" s="40"/>
      <c r="CC326" s="5"/>
      <c r="CE326" s="40"/>
      <c r="CF326" s="5"/>
      <c r="CH326" s="40"/>
      <c r="CI326" s="5"/>
      <c r="CK326" s="40"/>
      <c r="CL326" s="5"/>
      <c r="CN326" s="40"/>
      <c r="CO326" s="5"/>
      <c r="CQ326" s="40"/>
      <c r="CR326" s="5"/>
    </row>
    <row r="327">
      <c r="AO327" s="40"/>
      <c r="AP327" s="5"/>
      <c r="AR327" s="40"/>
      <c r="AS327" s="5"/>
      <c r="AU327" s="40"/>
      <c r="AV327" s="5"/>
      <c r="AX327" s="40"/>
      <c r="AY327" s="5"/>
      <c r="BA327" s="40"/>
      <c r="BB327" s="5"/>
      <c r="BD327" s="40"/>
      <c r="BE327" s="5"/>
      <c r="BG327" s="40"/>
      <c r="BH327" s="5"/>
      <c r="BJ327" s="40"/>
      <c r="BK327" s="5"/>
      <c r="BM327" s="40"/>
      <c r="BN327" s="5"/>
      <c r="BP327" s="40"/>
      <c r="BQ327" s="5"/>
      <c r="BS327" s="40"/>
      <c r="BT327" s="5"/>
      <c r="BV327" s="40"/>
      <c r="BW327" s="5"/>
      <c r="BY327" s="40"/>
      <c r="BZ327" s="5"/>
      <c r="CB327" s="40"/>
      <c r="CC327" s="5"/>
      <c r="CE327" s="40"/>
      <c r="CF327" s="5"/>
      <c r="CH327" s="40"/>
      <c r="CI327" s="5"/>
      <c r="CK327" s="40"/>
      <c r="CL327" s="5"/>
      <c r="CN327" s="40"/>
      <c r="CO327" s="5"/>
      <c r="CQ327" s="40"/>
      <c r="CR327" s="5"/>
    </row>
    <row r="328">
      <c r="AO328" s="40"/>
      <c r="AP328" s="5"/>
      <c r="AR328" s="40"/>
      <c r="AS328" s="5"/>
      <c r="AU328" s="40"/>
      <c r="AV328" s="5"/>
      <c r="AX328" s="40"/>
      <c r="AY328" s="5"/>
      <c r="BA328" s="40"/>
      <c r="BB328" s="5"/>
      <c r="BD328" s="40"/>
      <c r="BE328" s="5"/>
      <c r="BG328" s="40"/>
      <c r="BH328" s="5"/>
      <c r="BJ328" s="40"/>
      <c r="BK328" s="5"/>
      <c r="BM328" s="40"/>
      <c r="BN328" s="5"/>
      <c r="BP328" s="40"/>
      <c r="BQ328" s="5"/>
      <c r="BS328" s="40"/>
      <c r="BT328" s="5"/>
      <c r="BV328" s="40"/>
      <c r="BW328" s="5"/>
      <c r="BY328" s="40"/>
      <c r="BZ328" s="5"/>
      <c r="CB328" s="40"/>
      <c r="CC328" s="5"/>
      <c r="CE328" s="40"/>
      <c r="CF328" s="5"/>
      <c r="CH328" s="40"/>
      <c r="CI328" s="5"/>
      <c r="CK328" s="40"/>
      <c r="CL328" s="5"/>
      <c r="CN328" s="40"/>
      <c r="CO328" s="5"/>
      <c r="CQ328" s="40"/>
      <c r="CR328" s="5"/>
    </row>
    <row r="329">
      <c r="AO329" s="40"/>
      <c r="AP329" s="5"/>
      <c r="AR329" s="40"/>
      <c r="AS329" s="5"/>
      <c r="AU329" s="40"/>
      <c r="AV329" s="5"/>
      <c r="AX329" s="40"/>
      <c r="AY329" s="5"/>
      <c r="BA329" s="40"/>
      <c r="BB329" s="5"/>
      <c r="BD329" s="40"/>
      <c r="BE329" s="5"/>
      <c r="BG329" s="40"/>
      <c r="BH329" s="5"/>
      <c r="BJ329" s="40"/>
      <c r="BK329" s="5"/>
      <c r="BM329" s="40"/>
      <c r="BN329" s="5"/>
      <c r="BP329" s="40"/>
      <c r="BQ329" s="5"/>
      <c r="BS329" s="40"/>
      <c r="BT329" s="5"/>
      <c r="BV329" s="40"/>
      <c r="BW329" s="5"/>
      <c r="BY329" s="40"/>
      <c r="BZ329" s="5"/>
      <c r="CB329" s="40"/>
      <c r="CC329" s="5"/>
      <c r="CE329" s="40"/>
      <c r="CF329" s="5"/>
      <c r="CH329" s="40"/>
      <c r="CI329" s="5"/>
      <c r="CK329" s="40"/>
      <c r="CL329" s="5"/>
      <c r="CN329" s="40"/>
      <c r="CO329" s="5"/>
      <c r="CQ329" s="40"/>
      <c r="CR329" s="5"/>
    </row>
    <row r="330">
      <c r="AO330" s="40"/>
      <c r="AP330" s="5"/>
      <c r="AR330" s="40"/>
      <c r="AS330" s="5"/>
      <c r="AU330" s="40"/>
      <c r="AV330" s="5"/>
      <c r="AX330" s="40"/>
      <c r="AY330" s="5"/>
      <c r="BA330" s="40"/>
      <c r="BB330" s="5"/>
      <c r="BD330" s="40"/>
      <c r="BE330" s="5"/>
      <c r="BG330" s="40"/>
      <c r="BH330" s="5"/>
      <c r="BJ330" s="40"/>
      <c r="BK330" s="5"/>
      <c r="BM330" s="40"/>
      <c r="BN330" s="5"/>
      <c r="BP330" s="40"/>
      <c r="BQ330" s="5"/>
      <c r="BS330" s="40"/>
      <c r="BT330" s="5"/>
      <c r="BV330" s="40"/>
      <c r="BW330" s="5"/>
      <c r="BY330" s="40"/>
      <c r="BZ330" s="5"/>
      <c r="CB330" s="40"/>
      <c r="CC330" s="5"/>
      <c r="CE330" s="40"/>
      <c r="CF330" s="5"/>
      <c r="CH330" s="40"/>
      <c r="CI330" s="5"/>
      <c r="CK330" s="40"/>
      <c r="CL330" s="5"/>
      <c r="CN330" s="40"/>
      <c r="CO330" s="5"/>
      <c r="CQ330" s="40"/>
      <c r="CR330" s="5"/>
    </row>
    <row r="331">
      <c r="AO331" s="40"/>
      <c r="AP331" s="5"/>
      <c r="AR331" s="40"/>
      <c r="AS331" s="5"/>
      <c r="AU331" s="40"/>
      <c r="AV331" s="5"/>
      <c r="AX331" s="40"/>
      <c r="AY331" s="5"/>
      <c r="BA331" s="40"/>
      <c r="BB331" s="5"/>
      <c r="BD331" s="40"/>
      <c r="BE331" s="5"/>
      <c r="BG331" s="40"/>
      <c r="BH331" s="5"/>
      <c r="BJ331" s="40"/>
      <c r="BK331" s="5"/>
      <c r="BM331" s="40"/>
      <c r="BN331" s="5"/>
      <c r="BP331" s="40"/>
      <c r="BQ331" s="5"/>
      <c r="BS331" s="40"/>
      <c r="BT331" s="5"/>
      <c r="BV331" s="40"/>
      <c r="BW331" s="5"/>
      <c r="BY331" s="40"/>
      <c r="BZ331" s="5"/>
      <c r="CB331" s="40"/>
      <c r="CC331" s="5"/>
      <c r="CE331" s="40"/>
      <c r="CF331" s="5"/>
      <c r="CH331" s="40"/>
      <c r="CI331" s="5"/>
      <c r="CK331" s="40"/>
      <c r="CL331" s="5"/>
      <c r="CN331" s="40"/>
      <c r="CO331" s="5"/>
      <c r="CQ331" s="40"/>
      <c r="CR331" s="5"/>
    </row>
    <row r="332">
      <c r="AO332" s="40"/>
      <c r="AP332" s="5"/>
      <c r="AR332" s="40"/>
      <c r="AS332" s="5"/>
      <c r="AU332" s="40"/>
      <c r="AV332" s="5"/>
      <c r="AX332" s="40"/>
      <c r="AY332" s="5"/>
      <c r="BA332" s="40"/>
      <c r="BB332" s="5"/>
      <c r="BD332" s="40"/>
      <c r="BE332" s="5"/>
      <c r="BG332" s="40"/>
      <c r="BH332" s="5"/>
      <c r="BJ332" s="40"/>
      <c r="BK332" s="5"/>
      <c r="BM332" s="40"/>
      <c r="BN332" s="5"/>
      <c r="BP332" s="40"/>
      <c r="BQ332" s="5"/>
      <c r="BS332" s="40"/>
      <c r="BT332" s="5"/>
      <c r="BV332" s="40"/>
      <c r="BW332" s="5"/>
      <c r="BY332" s="40"/>
      <c r="BZ332" s="5"/>
      <c r="CB332" s="40"/>
      <c r="CC332" s="5"/>
      <c r="CE332" s="40"/>
      <c r="CF332" s="5"/>
      <c r="CH332" s="40"/>
      <c r="CI332" s="5"/>
      <c r="CK332" s="40"/>
      <c r="CL332" s="5"/>
      <c r="CN332" s="40"/>
      <c r="CO332" s="5"/>
      <c r="CQ332" s="40"/>
      <c r="CR332" s="5"/>
    </row>
    <row r="333">
      <c r="AO333" s="40"/>
      <c r="AP333" s="5"/>
      <c r="AR333" s="40"/>
      <c r="AS333" s="5"/>
      <c r="AU333" s="40"/>
      <c r="AV333" s="5"/>
      <c r="AX333" s="40"/>
      <c r="AY333" s="5"/>
      <c r="BA333" s="40"/>
      <c r="BB333" s="5"/>
      <c r="BD333" s="40"/>
      <c r="BE333" s="5"/>
      <c r="BG333" s="40"/>
      <c r="BH333" s="5"/>
      <c r="BJ333" s="40"/>
      <c r="BK333" s="5"/>
      <c r="BM333" s="40"/>
      <c r="BN333" s="5"/>
      <c r="BP333" s="40"/>
      <c r="BQ333" s="5"/>
      <c r="BS333" s="40"/>
      <c r="BT333" s="5"/>
      <c r="BV333" s="40"/>
      <c r="BW333" s="5"/>
      <c r="BY333" s="40"/>
      <c r="BZ333" s="5"/>
      <c r="CB333" s="40"/>
      <c r="CC333" s="5"/>
      <c r="CE333" s="40"/>
      <c r="CF333" s="5"/>
      <c r="CH333" s="40"/>
      <c r="CI333" s="5"/>
      <c r="CK333" s="40"/>
      <c r="CL333" s="5"/>
      <c r="CN333" s="40"/>
      <c r="CO333" s="5"/>
      <c r="CQ333" s="40"/>
      <c r="CR333" s="5"/>
    </row>
    <row r="334">
      <c r="AO334" s="40"/>
      <c r="AP334" s="5"/>
      <c r="AR334" s="40"/>
      <c r="AS334" s="5"/>
      <c r="AU334" s="40"/>
      <c r="AV334" s="5"/>
      <c r="AX334" s="40"/>
      <c r="AY334" s="5"/>
      <c r="BA334" s="40"/>
      <c r="BB334" s="5"/>
      <c r="BD334" s="40"/>
      <c r="BE334" s="5"/>
      <c r="BG334" s="40"/>
      <c r="BH334" s="5"/>
      <c r="BJ334" s="40"/>
      <c r="BK334" s="5"/>
      <c r="BM334" s="40"/>
      <c r="BN334" s="5"/>
      <c r="BP334" s="40"/>
      <c r="BQ334" s="5"/>
      <c r="BS334" s="40"/>
      <c r="BT334" s="5"/>
      <c r="BV334" s="40"/>
      <c r="BW334" s="5"/>
      <c r="BY334" s="40"/>
      <c r="BZ334" s="5"/>
      <c r="CB334" s="40"/>
      <c r="CC334" s="5"/>
      <c r="CE334" s="40"/>
      <c r="CF334" s="5"/>
      <c r="CH334" s="40"/>
      <c r="CI334" s="5"/>
      <c r="CK334" s="40"/>
      <c r="CL334" s="5"/>
      <c r="CN334" s="40"/>
      <c r="CO334" s="5"/>
      <c r="CQ334" s="40"/>
      <c r="CR334" s="5"/>
    </row>
    <row r="335">
      <c r="AO335" s="40"/>
      <c r="AP335" s="5"/>
      <c r="AR335" s="40"/>
      <c r="AS335" s="5"/>
      <c r="AU335" s="40"/>
      <c r="AV335" s="5"/>
      <c r="AX335" s="40"/>
      <c r="AY335" s="5"/>
      <c r="BA335" s="40"/>
      <c r="BB335" s="5"/>
      <c r="BD335" s="40"/>
      <c r="BE335" s="5"/>
      <c r="BG335" s="40"/>
      <c r="BH335" s="5"/>
      <c r="BJ335" s="40"/>
      <c r="BK335" s="5"/>
      <c r="BM335" s="40"/>
      <c r="BN335" s="5"/>
      <c r="BP335" s="40"/>
      <c r="BQ335" s="5"/>
      <c r="BS335" s="40"/>
      <c r="BT335" s="5"/>
      <c r="BV335" s="40"/>
      <c r="BW335" s="5"/>
      <c r="BY335" s="40"/>
      <c r="BZ335" s="5"/>
      <c r="CB335" s="40"/>
      <c r="CC335" s="5"/>
      <c r="CE335" s="40"/>
      <c r="CF335" s="5"/>
      <c r="CH335" s="40"/>
      <c r="CI335" s="5"/>
      <c r="CK335" s="40"/>
      <c r="CL335" s="5"/>
      <c r="CN335" s="40"/>
      <c r="CO335" s="5"/>
      <c r="CQ335" s="40"/>
      <c r="CR335" s="5"/>
    </row>
    <row r="336">
      <c r="AO336" s="40"/>
      <c r="AP336" s="5"/>
      <c r="AR336" s="40"/>
      <c r="AS336" s="5"/>
      <c r="AU336" s="40"/>
      <c r="AV336" s="5"/>
      <c r="AX336" s="40"/>
      <c r="AY336" s="5"/>
      <c r="BA336" s="40"/>
      <c r="BB336" s="5"/>
      <c r="BD336" s="40"/>
      <c r="BE336" s="5"/>
      <c r="BG336" s="40"/>
      <c r="BH336" s="5"/>
      <c r="BJ336" s="40"/>
      <c r="BK336" s="5"/>
      <c r="BM336" s="40"/>
      <c r="BN336" s="5"/>
      <c r="BP336" s="40"/>
      <c r="BQ336" s="5"/>
      <c r="BS336" s="40"/>
      <c r="BT336" s="5"/>
      <c r="BV336" s="40"/>
      <c r="BW336" s="5"/>
      <c r="BY336" s="40"/>
      <c r="BZ336" s="5"/>
      <c r="CB336" s="40"/>
      <c r="CC336" s="5"/>
      <c r="CE336" s="40"/>
      <c r="CF336" s="5"/>
      <c r="CH336" s="40"/>
      <c r="CI336" s="5"/>
      <c r="CK336" s="40"/>
      <c r="CL336" s="5"/>
      <c r="CN336" s="40"/>
      <c r="CO336" s="5"/>
      <c r="CQ336" s="40"/>
      <c r="CR336" s="5"/>
    </row>
    <row r="337">
      <c r="AO337" s="40"/>
      <c r="AP337" s="5"/>
      <c r="AR337" s="40"/>
      <c r="AS337" s="5"/>
      <c r="AU337" s="40"/>
      <c r="AV337" s="5"/>
      <c r="AX337" s="40"/>
      <c r="AY337" s="5"/>
      <c r="BA337" s="40"/>
      <c r="BB337" s="5"/>
      <c r="BD337" s="40"/>
      <c r="BE337" s="5"/>
      <c r="BG337" s="40"/>
      <c r="BH337" s="5"/>
      <c r="BJ337" s="40"/>
      <c r="BK337" s="5"/>
      <c r="BM337" s="40"/>
      <c r="BN337" s="5"/>
      <c r="BP337" s="40"/>
      <c r="BQ337" s="5"/>
      <c r="BS337" s="40"/>
      <c r="BT337" s="5"/>
      <c r="BV337" s="40"/>
      <c r="BW337" s="5"/>
      <c r="BY337" s="40"/>
      <c r="BZ337" s="5"/>
      <c r="CB337" s="40"/>
      <c r="CC337" s="5"/>
      <c r="CE337" s="40"/>
      <c r="CF337" s="5"/>
      <c r="CH337" s="40"/>
      <c r="CI337" s="5"/>
      <c r="CK337" s="40"/>
      <c r="CL337" s="5"/>
      <c r="CN337" s="40"/>
      <c r="CO337" s="5"/>
      <c r="CQ337" s="40"/>
      <c r="CR337" s="5"/>
    </row>
    <row r="338">
      <c r="AO338" s="40"/>
      <c r="AP338" s="5"/>
      <c r="AR338" s="40"/>
      <c r="AS338" s="5"/>
      <c r="AU338" s="40"/>
      <c r="AV338" s="5"/>
      <c r="AX338" s="40"/>
      <c r="AY338" s="5"/>
      <c r="BA338" s="40"/>
      <c r="BB338" s="5"/>
      <c r="BD338" s="40"/>
      <c r="BE338" s="5"/>
      <c r="BG338" s="40"/>
      <c r="BH338" s="5"/>
      <c r="BJ338" s="40"/>
      <c r="BK338" s="5"/>
      <c r="BM338" s="40"/>
      <c r="BN338" s="5"/>
      <c r="BP338" s="40"/>
      <c r="BQ338" s="5"/>
      <c r="BS338" s="40"/>
      <c r="BT338" s="5"/>
      <c r="BV338" s="40"/>
      <c r="BW338" s="5"/>
      <c r="BY338" s="40"/>
      <c r="BZ338" s="5"/>
      <c r="CB338" s="40"/>
      <c r="CC338" s="5"/>
      <c r="CE338" s="40"/>
      <c r="CF338" s="5"/>
      <c r="CH338" s="40"/>
      <c r="CI338" s="5"/>
      <c r="CK338" s="40"/>
      <c r="CL338" s="5"/>
      <c r="CN338" s="40"/>
      <c r="CO338" s="5"/>
      <c r="CQ338" s="40"/>
      <c r="CR338" s="5"/>
    </row>
    <row r="339">
      <c r="AO339" s="40"/>
      <c r="AP339" s="5"/>
      <c r="AR339" s="40"/>
      <c r="AS339" s="5"/>
      <c r="AU339" s="40"/>
      <c r="AV339" s="5"/>
      <c r="AX339" s="40"/>
      <c r="AY339" s="5"/>
      <c r="BA339" s="40"/>
      <c r="BB339" s="5"/>
      <c r="BD339" s="40"/>
      <c r="BE339" s="5"/>
      <c r="BG339" s="40"/>
      <c r="BH339" s="5"/>
      <c r="BJ339" s="40"/>
      <c r="BK339" s="5"/>
      <c r="BM339" s="40"/>
      <c r="BN339" s="5"/>
      <c r="BP339" s="40"/>
      <c r="BQ339" s="5"/>
      <c r="BS339" s="40"/>
      <c r="BT339" s="5"/>
      <c r="BV339" s="40"/>
      <c r="BW339" s="5"/>
      <c r="BY339" s="40"/>
      <c r="BZ339" s="5"/>
      <c r="CB339" s="40"/>
      <c r="CC339" s="5"/>
      <c r="CE339" s="40"/>
      <c r="CF339" s="5"/>
      <c r="CH339" s="40"/>
      <c r="CI339" s="5"/>
      <c r="CK339" s="40"/>
      <c r="CL339" s="5"/>
      <c r="CN339" s="40"/>
      <c r="CO339" s="5"/>
      <c r="CQ339" s="40"/>
      <c r="CR339" s="5"/>
    </row>
    <row r="340">
      <c r="AO340" s="40"/>
      <c r="AP340" s="5"/>
      <c r="AR340" s="40"/>
      <c r="AS340" s="5"/>
      <c r="AU340" s="40"/>
      <c r="AV340" s="5"/>
      <c r="AX340" s="40"/>
      <c r="AY340" s="5"/>
      <c r="BA340" s="40"/>
      <c r="BB340" s="5"/>
      <c r="BD340" s="40"/>
      <c r="BE340" s="5"/>
      <c r="BG340" s="40"/>
      <c r="BH340" s="5"/>
      <c r="BJ340" s="40"/>
      <c r="BK340" s="5"/>
      <c r="BM340" s="40"/>
      <c r="BN340" s="5"/>
      <c r="BP340" s="40"/>
      <c r="BQ340" s="5"/>
      <c r="BS340" s="40"/>
      <c r="BT340" s="5"/>
      <c r="BV340" s="40"/>
      <c r="BW340" s="5"/>
      <c r="BY340" s="40"/>
      <c r="BZ340" s="5"/>
      <c r="CB340" s="40"/>
      <c r="CC340" s="5"/>
      <c r="CE340" s="40"/>
      <c r="CF340" s="5"/>
      <c r="CH340" s="40"/>
      <c r="CI340" s="5"/>
      <c r="CK340" s="40"/>
      <c r="CL340" s="5"/>
      <c r="CN340" s="40"/>
      <c r="CO340" s="5"/>
      <c r="CQ340" s="40"/>
      <c r="CR340" s="5"/>
    </row>
    <row r="341">
      <c r="AO341" s="40"/>
      <c r="AP341" s="5"/>
      <c r="AR341" s="40"/>
      <c r="AS341" s="5"/>
      <c r="AU341" s="40"/>
      <c r="AV341" s="5"/>
      <c r="AX341" s="40"/>
      <c r="AY341" s="5"/>
      <c r="BA341" s="40"/>
      <c r="BB341" s="5"/>
      <c r="BD341" s="40"/>
      <c r="BE341" s="5"/>
      <c r="BG341" s="40"/>
      <c r="BH341" s="5"/>
      <c r="BJ341" s="40"/>
      <c r="BK341" s="5"/>
      <c r="BM341" s="40"/>
      <c r="BN341" s="5"/>
      <c r="BP341" s="40"/>
      <c r="BQ341" s="5"/>
      <c r="BS341" s="40"/>
      <c r="BT341" s="5"/>
      <c r="BV341" s="40"/>
      <c r="BW341" s="5"/>
      <c r="BY341" s="40"/>
      <c r="BZ341" s="5"/>
      <c r="CB341" s="40"/>
      <c r="CC341" s="5"/>
      <c r="CE341" s="40"/>
      <c r="CF341" s="5"/>
      <c r="CH341" s="40"/>
      <c r="CI341" s="5"/>
      <c r="CK341" s="40"/>
      <c r="CL341" s="5"/>
      <c r="CN341" s="40"/>
      <c r="CO341" s="5"/>
      <c r="CQ341" s="40"/>
      <c r="CR341" s="5"/>
    </row>
    <row r="342">
      <c r="AO342" s="40"/>
      <c r="AP342" s="5"/>
      <c r="AR342" s="40"/>
      <c r="AS342" s="5"/>
      <c r="AU342" s="40"/>
      <c r="AV342" s="5"/>
      <c r="AX342" s="40"/>
      <c r="AY342" s="5"/>
      <c r="BA342" s="40"/>
      <c r="BB342" s="5"/>
      <c r="BD342" s="40"/>
      <c r="BE342" s="5"/>
      <c r="BG342" s="40"/>
      <c r="BH342" s="5"/>
      <c r="BJ342" s="40"/>
      <c r="BK342" s="5"/>
      <c r="BM342" s="40"/>
      <c r="BN342" s="5"/>
      <c r="BP342" s="40"/>
      <c r="BQ342" s="5"/>
      <c r="BS342" s="40"/>
      <c r="BT342" s="5"/>
      <c r="BV342" s="40"/>
      <c r="BW342" s="5"/>
      <c r="BY342" s="40"/>
      <c r="BZ342" s="5"/>
      <c r="CB342" s="40"/>
      <c r="CC342" s="5"/>
      <c r="CE342" s="40"/>
      <c r="CF342" s="5"/>
      <c r="CH342" s="40"/>
      <c r="CI342" s="5"/>
      <c r="CK342" s="40"/>
      <c r="CL342" s="5"/>
      <c r="CN342" s="40"/>
      <c r="CO342" s="5"/>
      <c r="CQ342" s="40"/>
      <c r="CR342" s="5"/>
    </row>
    <row r="343">
      <c r="AO343" s="40"/>
      <c r="AP343" s="5"/>
      <c r="AR343" s="40"/>
      <c r="AS343" s="5"/>
      <c r="AU343" s="40"/>
      <c r="AV343" s="5"/>
      <c r="AX343" s="40"/>
      <c r="AY343" s="5"/>
      <c r="BA343" s="40"/>
      <c r="BB343" s="5"/>
      <c r="BD343" s="40"/>
      <c r="BE343" s="5"/>
      <c r="BG343" s="40"/>
      <c r="BH343" s="5"/>
      <c r="BJ343" s="40"/>
      <c r="BK343" s="5"/>
      <c r="BM343" s="40"/>
      <c r="BN343" s="5"/>
      <c r="BP343" s="40"/>
      <c r="BQ343" s="5"/>
      <c r="BS343" s="40"/>
      <c r="BT343" s="5"/>
      <c r="BV343" s="40"/>
      <c r="BW343" s="5"/>
      <c r="BY343" s="40"/>
      <c r="BZ343" s="5"/>
      <c r="CB343" s="40"/>
      <c r="CC343" s="5"/>
      <c r="CE343" s="40"/>
      <c r="CF343" s="5"/>
      <c r="CH343" s="40"/>
      <c r="CI343" s="5"/>
      <c r="CK343" s="40"/>
      <c r="CL343" s="5"/>
      <c r="CN343" s="40"/>
      <c r="CO343" s="5"/>
      <c r="CQ343" s="40"/>
      <c r="CR343" s="5"/>
    </row>
    <row r="344">
      <c r="AO344" s="40"/>
      <c r="AP344" s="5"/>
      <c r="AR344" s="40"/>
      <c r="AS344" s="5"/>
      <c r="AU344" s="40"/>
      <c r="AV344" s="5"/>
      <c r="AX344" s="40"/>
      <c r="AY344" s="5"/>
      <c r="BA344" s="40"/>
      <c r="BB344" s="5"/>
      <c r="BD344" s="40"/>
      <c r="BE344" s="5"/>
      <c r="BG344" s="40"/>
      <c r="BH344" s="5"/>
      <c r="BJ344" s="40"/>
      <c r="BK344" s="5"/>
      <c r="BM344" s="40"/>
      <c r="BN344" s="5"/>
      <c r="BP344" s="40"/>
      <c r="BQ344" s="5"/>
      <c r="BS344" s="40"/>
      <c r="BT344" s="5"/>
      <c r="BV344" s="40"/>
      <c r="BW344" s="5"/>
      <c r="BY344" s="40"/>
      <c r="BZ344" s="5"/>
      <c r="CB344" s="40"/>
      <c r="CC344" s="5"/>
      <c r="CE344" s="40"/>
      <c r="CF344" s="5"/>
      <c r="CH344" s="40"/>
      <c r="CI344" s="5"/>
      <c r="CK344" s="40"/>
      <c r="CL344" s="5"/>
      <c r="CN344" s="40"/>
      <c r="CO344" s="5"/>
      <c r="CQ344" s="40"/>
      <c r="CR344" s="5"/>
    </row>
    <row r="345">
      <c r="AO345" s="40"/>
      <c r="AP345" s="5"/>
      <c r="AR345" s="40"/>
      <c r="AS345" s="5"/>
      <c r="AU345" s="40"/>
      <c r="AV345" s="5"/>
      <c r="AX345" s="40"/>
      <c r="AY345" s="5"/>
      <c r="BA345" s="40"/>
      <c r="BB345" s="5"/>
      <c r="BD345" s="40"/>
      <c r="BE345" s="5"/>
      <c r="BG345" s="40"/>
      <c r="BH345" s="5"/>
      <c r="BJ345" s="40"/>
      <c r="BK345" s="5"/>
      <c r="BM345" s="40"/>
      <c r="BN345" s="5"/>
      <c r="BP345" s="40"/>
      <c r="BQ345" s="5"/>
      <c r="BS345" s="40"/>
      <c r="BT345" s="5"/>
      <c r="BV345" s="40"/>
      <c r="BW345" s="5"/>
      <c r="BY345" s="40"/>
      <c r="BZ345" s="5"/>
      <c r="CB345" s="40"/>
      <c r="CC345" s="5"/>
      <c r="CE345" s="40"/>
      <c r="CF345" s="5"/>
      <c r="CH345" s="40"/>
      <c r="CI345" s="5"/>
      <c r="CK345" s="40"/>
      <c r="CL345" s="5"/>
      <c r="CN345" s="40"/>
      <c r="CO345" s="5"/>
      <c r="CQ345" s="40"/>
      <c r="CR345" s="5"/>
    </row>
    <row r="346">
      <c r="AO346" s="40"/>
      <c r="AP346" s="5"/>
      <c r="AR346" s="40"/>
      <c r="AS346" s="5"/>
      <c r="AU346" s="40"/>
      <c r="AV346" s="5"/>
      <c r="AX346" s="40"/>
      <c r="AY346" s="5"/>
      <c r="BA346" s="40"/>
      <c r="BB346" s="5"/>
      <c r="BD346" s="40"/>
      <c r="BE346" s="5"/>
      <c r="BG346" s="40"/>
      <c r="BH346" s="5"/>
      <c r="BJ346" s="40"/>
      <c r="BK346" s="5"/>
      <c r="BM346" s="40"/>
      <c r="BN346" s="5"/>
      <c r="BP346" s="40"/>
      <c r="BQ346" s="5"/>
      <c r="BS346" s="40"/>
      <c r="BT346" s="5"/>
      <c r="BV346" s="40"/>
      <c r="BW346" s="5"/>
      <c r="BY346" s="40"/>
      <c r="BZ346" s="5"/>
      <c r="CB346" s="40"/>
      <c r="CC346" s="5"/>
      <c r="CE346" s="40"/>
      <c r="CF346" s="5"/>
      <c r="CH346" s="40"/>
      <c r="CI346" s="5"/>
      <c r="CK346" s="40"/>
      <c r="CL346" s="5"/>
      <c r="CN346" s="40"/>
      <c r="CO346" s="5"/>
      <c r="CQ346" s="40"/>
      <c r="CR346" s="5"/>
    </row>
    <row r="347">
      <c r="AO347" s="40"/>
      <c r="AP347" s="5"/>
      <c r="AR347" s="40"/>
      <c r="AS347" s="5"/>
      <c r="AU347" s="40"/>
      <c r="AV347" s="5"/>
      <c r="AX347" s="40"/>
      <c r="AY347" s="5"/>
      <c r="BA347" s="40"/>
      <c r="BB347" s="5"/>
      <c r="BD347" s="40"/>
      <c r="BE347" s="5"/>
      <c r="BG347" s="40"/>
      <c r="BH347" s="5"/>
      <c r="BJ347" s="40"/>
      <c r="BK347" s="5"/>
      <c r="BM347" s="40"/>
      <c r="BN347" s="5"/>
      <c r="BP347" s="40"/>
      <c r="BQ347" s="5"/>
      <c r="BS347" s="40"/>
      <c r="BT347" s="5"/>
      <c r="BV347" s="40"/>
      <c r="BW347" s="5"/>
      <c r="BY347" s="40"/>
      <c r="BZ347" s="5"/>
      <c r="CB347" s="40"/>
      <c r="CC347" s="5"/>
      <c r="CE347" s="40"/>
      <c r="CF347" s="5"/>
      <c r="CH347" s="40"/>
      <c r="CI347" s="5"/>
      <c r="CK347" s="40"/>
      <c r="CL347" s="5"/>
      <c r="CN347" s="40"/>
      <c r="CO347" s="5"/>
      <c r="CQ347" s="40"/>
      <c r="CR347" s="5"/>
    </row>
    <row r="348">
      <c r="AO348" s="40"/>
      <c r="AP348" s="5"/>
      <c r="AR348" s="40"/>
      <c r="AS348" s="5"/>
      <c r="AU348" s="40"/>
      <c r="AV348" s="5"/>
      <c r="AX348" s="40"/>
      <c r="AY348" s="5"/>
      <c r="BA348" s="40"/>
      <c r="BB348" s="5"/>
      <c r="BD348" s="40"/>
      <c r="BE348" s="5"/>
      <c r="BG348" s="40"/>
      <c r="BH348" s="5"/>
      <c r="BJ348" s="40"/>
      <c r="BK348" s="5"/>
      <c r="BM348" s="40"/>
      <c r="BN348" s="5"/>
      <c r="BP348" s="40"/>
      <c r="BQ348" s="5"/>
      <c r="BS348" s="40"/>
      <c r="BT348" s="5"/>
      <c r="BV348" s="40"/>
      <c r="BW348" s="5"/>
      <c r="BY348" s="40"/>
      <c r="BZ348" s="5"/>
      <c r="CB348" s="40"/>
      <c r="CC348" s="5"/>
      <c r="CE348" s="40"/>
      <c r="CF348" s="5"/>
      <c r="CH348" s="40"/>
      <c r="CI348" s="5"/>
      <c r="CK348" s="40"/>
      <c r="CL348" s="5"/>
      <c r="CN348" s="40"/>
      <c r="CO348" s="5"/>
      <c r="CQ348" s="40"/>
      <c r="CR348" s="5"/>
    </row>
    <row r="349">
      <c r="AO349" s="40"/>
      <c r="AP349" s="5"/>
      <c r="AR349" s="40"/>
      <c r="AS349" s="5"/>
      <c r="AU349" s="40"/>
      <c r="AV349" s="5"/>
      <c r="AX349" s="40"/>
      <c r="AY349" s="5"/>
      <c r="BA349" s="40"/>
      <c r="BB349" s="5"/>
      <c r="BD349" s="40"/>
      <c r="BE349" s="5"/>
      <c r="BG349" s="40"/>
      <c r="BH349" s="5"/>
      <c r="BJ349" s="40"/>
      <c r="BK349" s="5"/>
      <c r="BM349" s="40"/>
      <c r="BN349" s="5"/>
      <c r="BP349" s="40"/>
      <c r="BQ349" s="5"/>
      <c r="BS349" s="40"/>
      <c r="BT349" s="5"/>
      <c r="BV349" s="40"/>
      <c r="BW349" s="5"/>
      <c r="BY349" s="40"/>
      <c r="BZ349" s="5"/>
      <c r="CB349" s="40"/>
      <c r="CC349" s="5"/>
      <c r="CE349" s="40"/>
      <c r="CF349" s="5"/>
      <c r="CH349" s="40"/>
      <c r="CI349" s="5"/>
      <c r="CK349" s="40"/>
      <c r="CL349" s="5"/>
      <c r="CN349" s="40"/>
      <c r="CO349" s="5"/>
      <c r="CQ349" s="40"/>
      <c r="CR349" s="5"/>
    </row>
    <row r="350">
      <c r="AO350" s="40"/>
      <c r="AP350" s="5"/>
      <c r="AR350" s="40"/>
      <c r="AS350" s="5"/>
      <c r="AU350" s="40"/>
      <c r="AV350" s="5"/>
      <c r="AX350" s="40"/>
      <c r="AY350" s="5"/>
      <c r="BA350" s="40"/>
      <c r="BB350" s="5"/>
      <c r="BD350" s="40"/>
      <c r="BE350" s="5"/>
      <c r="BG350" s="40"/>
      <c r="BH350" s="5"/>
      <c r="BJ350" s="40"/>
      <c r="BK350" s="5"/>
      <c r="BM350" s="40"/>
      <c r="BN350" s="5"/>
      <c r="BP350" s="40"/>
      <c r="BQ350" s="5"/>
      <c r="BS350" s="40"/>
      <c r="BT350" s="5"/>
      <c r="BV350" s="40"/>
      <c r="BW350" s="5"/>
      <c r="BY350" s="40"/>
      <c r="BZ350" s="5"/>
      <c r="CB350" s="40"/>
      <c r="CC350" s="5"/>
      <c r="CE350" s="40"/>
      <c r="CF350" s="5"/>
      <c r="CH350" s="40"/>
      <c r="CI350" s="5"/>
      <c r="CK350" s="40"/>
      <c r="CL350" s="5"/>
      <c r="CN350" s="40"/>
      <c r="CO350" s="5"/>
      <c r="CQ350" s="40"/>
      <c r="CR350" s="5"/>
    </row>
    <row r="351">
      <c r="AO351" s="40"/>
      <c r="AP351" s="5"/>
      <c r="AR351" s="40"/>
      <c r="AS351" s="5"/>
      <c r="AU351" s="40"/>
      <c r="AV351" s="5"/>
      <c r="AX351" s="40"/>
      <c r="AY351" s="5"/>
      <c r="BA351" s="40"/>
      <c r="BB351" s="5"/>
      <c r="BD351" s="40"/>
      <c r="BE351" s="5"/>
      <c r="BG351" s="40"/>
      <c r="BH351" s="5"/>
      <c r="BJ351" s="40"/>
      <c r="BK351" s="5"/>
      <c r="BM351" s="40"/>
      <c r="BN351" s="5"/>
      <c r="BP351" s="40"/>
      <c r="BQ351" s="5"/>
      <c r="BS351" s="40"/>
      <c r="BT351" s="5"/>
      <c r="BV351" s="40"/>
      <c r="BW351" s="5"/>
      <c r="BY351" s="40"/>
      <c r="BZ351" s="5"/>
      <c r="CB351" s="40"/>
      <c r="CC351" s="5"/>
      <c r="CE351" s="40"/>
      <c r="CF351" s="5"/>
      <c r="CH351" s="40"/>
      <c r="CI351" s="5"/>
      <c r="CK351" s="40"/>
      <c r="CL351" s="5"/>
      <c r="CN351" s="40"/>
      <c r="CO351" s="5"/>
      <c r="CQ351" s="40"/>
      <c r="CR351" s="5"/>
    </row>
    <row r="352">
      <c r="AO352" s="40"/>
      <c r="AP352" s="5"/>
      <c r="AR352" s="40"/>
      <c r="AS352" s="5"/>
      <c r="AU352" s="40"/>
      <c r="AV352" s="5"/>
      <c r="AX352" s="40"/>
      <c r="AY352" s="5"/>
      <c r="BA352" s="40"/>
      <c r="BB352" s="5"/>
      <c r="BD352" s="40"/>
      <c r="BE352" s="5"/>
      <c r="BG352" s="40"/>
      <c r="BH352" s="5"/>
      <c r="BJ352" s="40"/>
      <c r="BK352" s="5"/>
      <c r="BM352" s="40"/>
      <c r="BN352" s="5"/>
      <c r="BP352" s="40"/>
      <c r="BQ352" s="5"/>
      <c r="BS352" s="40"/>
      <c r="BT352" s="5"/>
      <c r="BV352" s="40"/>
      <c r="BW352" s="5"/>
      <c r="BY352" s="40"/>
      <c r="BZ352" s="5"/>
      <c r="CB352" s="40"/>
      <c r="CC352" s="5"/>
      <c r="CE352" s="40"/>
      <c r="CF352" s="5"/>
      <c r="CH352" s="40"/>
      <c r="CI352" s="5"/>
      <c r="CK352" s="40"/>
      <c r="CL352" s="5"/>
      <c r="CN352" s="40"/>
      <c r="CO352" s="5"/>
      <c r="CQ352" s="40"/>
      <c r="CR352" s="5"/>
    </row>
    <row r="353">
      <c r="AO353" s="40"/>
      <c r="AP353" s="5"/>
      <c r="AR353" s="40"/>
      <c r="AS353" s="5"/>
      <c r="AU353" s="40"/>
      <c r="AV353" s="5"/>
      <c r="AX353" s="40"/>
      <c r="AY353" s="5"/>
      <c r="BA353" s="40"/>
      <c r="BB353" s="5"/>
      <c r="BD353" s="40"/>
      <c r="BE353" s="5"/>
      <c r="BG353" s="40"/>
      <c r="BH353" s="5"/>
      <c r="BJ353" s="40"/>
      <c r="BK353" s="5"/>
      <c r="BM353" s="40"/>
      <c r="BN353" s="5"/>
      <c r="BP353" s="40"/>
      <c r="BQ353" s="5"/>
      <c r="BS353" s="40"/>
      <c r="BT353" s="5"/>
      <c r="BV353" s="40"/>
      <c r="BW353" s="5"/>
      <c r="BY353" s="40"/>
      <c r="BZ353" s="5"/>
      <c r="CB353" s="40"/>
      <c r="CC353" s="5"/>
      <c r="CE353" s="40"/>
      <c r="CF353" s="5"/>
      <c r="CH353" s="40"/>
      <c r="CI353" s="5"/>
      <c r="CK353" s="40"/>
      <c r="CL353" s="5"/>
      <c r="CN353" s="40"/>
      <c r="CO353" s="5"/>
      <c r="CQ353" s="40"/>
      <c r="CR353" s="5"/>
    </row>
    <row r="354">
      <c r="AO354" s="40"/>
      <c r="AP354" s="5"/>
      <c r="AR354" s="40"/>
      <c r="AS354" s="5"/>
      <c r="AU354" s="40"/>
      <c r="AV354" s="5"/>
      <c r="AX354" s="40"/>
      <c r="AY354" s="5"/>
      <c r="BA354" s="40"/>
      <c r="BB354" s="5"/>
      <c r="BD354" s="40"/>
      <c r="BE354" s="5"/>
      <c r="BG354" s="40"/>
      <c r="BH354" s="5"/>
      <c r="BJ354" s="40"/>
      <c r="BK354" s="5"/>
      <c r="BM354" s="40"/>
      <c r="BN354" s="5"/>
      <c r="BP354" s="40"/>
      <c r="BQ354" s="5"/>
      <c r="BS354" s="40"/>
      <c r="BT354" s="5"/>
      <c r="BV354" s="40"/>
      <c r="BW354" s="5"/>
      <c r="BY354" s="40"/>
      <c r="BZ354" s="5"/>
      <c r="CB354" s="40"/>
      <c r="CC354" s="5"/>
      <c r="CE354" s="40"/>
      <c r="CF354" s="5"/>
      <c r="CH354" s="40"/>
      <c r="CI354" s="5"/>
      <c r="CK354" s="40"/>
      <c r="CL354" s="5"/>
      <c r="CN354" s="40"/>
      <c r="CO354" s="5"/>
      <c r="CQ354" s="40"/>
      <c r="CR354" s="5"/>
    </row>
    <row r="355">
      <c r="AO355" s="40"/>
      <c r="AP355" s="5"/>
      <c r="AR355" s="40"/>
      <c r="AS355" s="5"/>
      <c r="AU355" s="40"/>
      <c r="AV355" s="5"/>
      <c r="AX355" s="40"/>
      <c r="AY355" s="5"/>
      <c r="BA355" s="40"/>
      <c r="BB355" s="5"/>
      <c r="BD355" s="40"/>
      <c r="BE355" s="5"/>
      <c r="BG355" s="40"/>
      <c r="BH355" s="5"/>
      <c r="BJ355" s="40"/>
      <c r="BK355" s="5"/>
      <c r="BM355" s="40"/>
      <c r="BN355" s="5"/>
      <c r="BP355" s="40"/>
      <c r="BQ355" s="5"/>
      <c r="BS355" s="40"/>
      <c r="BT355" s="5"/>
      <c r="BV355" s="40"/>
      <c r="BW355" s="5"/>
      <c r="BY355" s="40"/>
      <c r="BZ355" s="5"/>
      <c r="CB355" s="40"/>
      <c r="CC355" s="5"/>
      <c r="CE355" s="40"/>
      <c r="CF355" s="5"/>
      <c r="CH355" s="40"/>
      <c r="CI355" s="5"/>
      <c r="CK355" s="40"/>
      <c r="CL355" s="5"/>
      <c r="CN355" s="40"/>
      <c r="CO355" s="5"/>
      <c r="CQ355" s="40"/>
      <c r="CR355" s="5"/>
    </row>
    <row r="356">
      <c r="AO356" s="40"/>
      <c r="AP356" s="5"/>
      <c r="AR356" s="40"/>
      <c r="AS356" s="5"/>
      <c r="AU356" s="40"/>
      <c r="AV356" s="5"/>
      <c r="AX356" s="40"/>
      <c r="AY356" s="5"/>
      <c r="BA356" s="40"/>
      <c r="BB356" s="5"/>
      <c r="BD356" s="40"/>
      <c r="BE356" s="5"/>
      <c r="BG356" s="40"/>
      <c r="BH356" s="5"/>
      <c r="BJ356" s="40"/>
      <c r="BK356" s="5"/>
      <c r="BM356" s="40"/>
      <c r="BN356" s="5"/>
      <c r="BP356" s="40"/>
      <c r="BQ356" s="5"/>
      <c r="BS356" s="40"/>
      <c r="BT356" s="5"/>
      <c r="BV356" s="40"/>
      <c r="BW356" s="5"/>
      <c r="BY356" s="40"/>
      <c r="BZ356" s="5"/>
      <c r="CB356" s="40"/>
      <c r="CC356" s="5"/>
      <c r="CE356" s="40"/>
      <c r="CF356" s="5"/>
      <c r="CH356" s="40"/>
      <c r="CI356" s="5"/>
      <c r="CK356" s="40"/>
      <c r="CL356" s="5"/>
      <c r="CN356" s="40"/>
      <c r="CO356" s="5"/>
      <c r="CQ356" s="40"/>
      <c r="CR356" s="5"/>
    </row>
    <row r="357">
      <c r="AO357" s="40"/>
      <c r="AP357" s="5"/>
      <c r="AR357" s="40"/>
      <c r="AS357" s="5"/>
      <c r="AU357" s="40"/>
      <c r="AV357" s="5"/>
      <c r="AX357" s="40"/>
      <c r="AY357" s="5"/>
      <c r="BA357" s="40"/>
      <c r="BB357" s="5"/>
      <c r="BD357" s="40"/>
      <c r="BE357" s="5"/>
      <c r="BG357" s="40"/>
      <c r="BH357" s="5"/>
      <c r="BJ357" s="40"/>
      <c r="BK357" s="5"/>
      <c r="BM357" s="40"/>
      <c r="BN357" s="5"/>
      <c r="BP357" s="40"/>
      <c r="BQ357" s="5"/>
      <c r="BS357" s="40"/>
      <c r="BT357" s="5"/>
      <c r="BV357" s="40"/>
      <c r="BW357" s="5"/>
      <c r="BY357" s="40"/>
      <c r="BZ357" s="5"/>
      <c r="CB357" s="40"/>
      <c r="CC357" s="5"/>
      <c r="CE357" s="40"/>
      <c r="CF357" s="5"/>
      <c r="CH357" s="40"/>
      <c r="CI357" s="5"/>
      <c r="CK357" s="40"/>
      <c r="CL357" s="5"/>
      <c r="CN357" s="40"/>
      <c r="CO357" s="5"/>
      <c r="CQ357" s="40"/>
      <c r="CR357" s="5"/>
    </row>
    <row r="358">
      <c r="AO358" s="40"/>
      <c r="AP358" s="5"/>
      <c r="AR358" s="40"/>
      <c r="AS358" s="5"/>
      <c r="AU358" s="40"/>
      <c r="AV358" s="5"/>
      <c r="AX358" s="40"/>
      <c r="AY358" s="5"/>
      <c r="BA358" s="40"/>
      <c r="BB358" s="5"/>
      <c r="BD358" s="40"/>
      <c r="BE358" s="5"/>
      <c r="BG358" s="40"/>
      <c r="BH358" s="5"/>
      <c r="BJ358" s="40"/>
      <c r="BK358" s="5"/>
      <c r="BM358" s="40"/>
      <c r="BN358" s="5"/>
      <c r="BP358" s="40"/>
      <c r="BQ358" s="5"/>
      <c r="BS358" s="40"/>
      <c r="BT358" s="5"/>
      <c r="BV358" s="40"/>
      <c r="BW358" s="5"/>
      <c r="BY358" s="40"/>
      <c r="BZ358" s="5"/>
      <c r="CB358" s="40"/>
      <c r="CC358" s="5"/>
      <c r="CE358" s="40"/>
      <c r="CF358" s="5"/>
      <c r="CH358" s="40"/>
      <c r="CI358" s="5"/>
      <c r="CK358" s="40"/>
      <c r="CL358" s="5"/>
      <c r="CN358" s="40"/>
      <c r="CO358" s="5"/>
      <c r="CQ358" s="40"/>
      <c r="CR358" s="5"/>
    </row>
    <row r="359">
      <c r="AO359" s="40"/>
      <c r="AP359" s="5"/>
      <c r="AR359" s="40"/>
      <c r="AS359" s="5"/>
      <c r="AU359" s="40"/>
      <c r="AV359" s="5"/>
      <c r="AX359" s="40"/>
      <c r="AY359" s="5"/>
      <c r="BA359" s="40"/>
      <c r="BB359" s="5"/>
      <c r="BD359" s="40"/>
      <c r="BE359" s="5"/>
      <c r="BG359" s="40"/>
      <c r="BH359" s="5"/>
      <c r="BJ359" s="40"/>
      <c r="BK359" s="5"/>
      <c r="BM359" s="40"/>
      <c r="BN359" s="5"/>
      <c r="BP359" s="40"/>
      <c r="BQ359" s="5"/>
      <c r="BS359" s="40"/>
      <c r="BT359" s="5"/>
      <c r="BV359" s="40"/>
      <c r="BW359" s="5"/>
      <c r="BY359" s="40"/>
      <c r="BZ359" s="5"/>
      <c r="CB359" s="40"/>
      <c r="CC359" s="5"/>
      <c r="CE359" s="40"/>
      <c r="CF359" s="5"/>
      <c r="CH359" s="40"/>
      <c r="CI359" s="5"/>
      <c r="CK359" s="40"/>
      <c r="CL359" s="5"/>
      <c r="CN359" s="40"/>
      <c r="CO359" s="5"/>
      <c r="CQ359" s="40"/>
      <c r="CR359" s="5"/>
    </row>
    <row r="360">
      <c r="AO360" s="40"/>
      <c r="AP360" s="5"/>
      <c r="AR360" s="40"/>
      <c r="AS360" s="5"/>
      <c r="AU360" s="40"/>
      <c r="AV360" s="5"/>
      <c r="AX360" s="40"/>
      <c r="AY360" s="5"/>
      <c r="BA360" s="40"/>
      <c r="BB360" s="5"/>
      <c r="BD360" s="40"/>
      <c r="BE360" s="5"/>
      <c r="BG360" s="40"/>
      <c r="BH360" s="5"/>
      <c r="BJ360" s="40"/>
      <c r="BK360" s="5"/>
      <c r="BM360" s="40"/>
      <c r="BN360" s="5"/>
      <c r="BP360" s="40"/>
      <c r="BQ360" s="5"/>
      <c r="BS360" s="40"/>
      <c r="BT360" s="5"/>
      <c r="BV360" s="40"/>
      <c r="BW360" s="5"/>
      <c r="BY360" s="40"/>
      <c r="BZ360" s="5"/>
      <c r="CB360" s="40"/>
      <c r="CC360" s="5"/>
      <c r="CE360" s="40"/>
      <c r="CF360" s="5"/>
      <c r="CH360" s="40"/>
      <c r="CI360" s="5"/>
      <c r="CK360" s="40"/>
      <c r="CL360" s="5"/>
      <c r="CN360" s="40"/>
      <c r="CO360" s="5"/>
      <c r="CQ360" s="40"/>
      <c r="CR360" s="5"/>
    </row>
    <row r="361">
      <c r="AO361" s="40"/>
      <c r="AP361" s="5"/>
      <c r="AR361" s="40"/>
      <c r="AS361" s="5"/>
      <c r="AU361" s="40"/>
      <c r="AV361" s="5"/>
      <c r="AX361" s="40"/>
      <c r="AY361" s="5"/>
      <c r="BA361" s="40"/>
      <c r="BB361" s="5"/>
      <c r="BD361" s="40"/>
      <c r="BE361" s="5"/>
      <c r="BG361" s="40"/>
      <c r="BH361" s="5"/>
      <c r="BJ361" s="40"/>
      <c r="BK361" s="5"/>
      <c r="BM361" s="40"/>
      <c r="BN361" s="5"/>
      <c r="BP361" s="40"/>
      <c r="BQ361" s="5"/>
      <c r="BS361" s="40"/>
      <c r="BT361" s="5"/>
      <c r="BV361" s="40"/>
      <c r="BW361" s="5"/>
      <c r="BY361" s="40"/>
      <c r="BZ361" s="5"/>
      <c r="CB361" s="40"/>
      <c r="CC361" s="5"/>
      <c r="CE361" s="40"/>
      <c r="CF361" s="5"/>
      <c r="CH361" s="40"/>
      <c r="CI361" s="5"/>
      <c r="CK361" s="40"/>
      <c r="CL361" s="5"/>
      <c r="CN361" s="40"/>
      <c r="CO361" s="5"/>
      <c r="CQ361" s="40"/>
      <c r="CR361" s="5"/>
    </row>
    <row r="362">
      <c r="AO362" s="40"/>
      <c r="AP362" s="5"/>
      <c r="AR362" s="40"/>
      <c r="AS362" s="5"/>
      <c r="AU362" s="40"/>
      <c r="AV362" s="5"/>
      <c r="AX362" s="40"/>
      <c r="AY362" s="5"/>
      <c r="BA362" s="40"/>
      <c r="BB362" s="5"/>
      <c r="BD362" s="40"/>
      <c r="BE362" s="5"/>
      <c r="BG362" s="40"/>
      <c r="BH362" s="5"/>
      <c r="BJ362" s="40"/>
      <c r="BK362" s="5"/>
      <c r="BM362" s="40"/>
      <c r="BN362" s="5"/>
      <c r="BP362" s="40"/>
      <c r="BQ362" s="5"/>
      <c r="BS362" s="40"/>
      <c r="BT362" s="5"/>
      <c r="BV362" s="40"/>
      <c r="BW362" s="5"/>
      <c r="BY362" s="40"/>
      <c r="BZ362" s="5"/>
      <c r="CB362" s="40"/>
      <c r="CC362" s="5"/>
      <c r="CE362" s="40"/>
      <c r="CF362" s="5"/>
      <c r="CH362" s="40"/>
      <c r="CI362" s="5"/>
      <c r="CK362" s="40"/>
      <c r="CL362" s="5"/>
      <c r="CN362" s="40"/>
      <c r="CO362" s="5"/>
      <c r="CQ362" s="40"/>
      <c r="CR362" s="5"/>
    </row>
    <row r="363">
      <c r="AO363" s="40"/>
      <c r="AP363" s="5"/>
      <c r="AR363" s="40"/>
      <c r="AS363" s="5"/>
      <c r="AU363" s="40"/>
      <c r="AV363" s="5"/>
      <c r="AX363" s="40"/>
      <c r="AY363" s="5"/>
      <c r="BA363" s="40"/>
      <c r="BB363" s="5"/>
      <c r="BD363" s="40"/>
      <c r="BE363" s="5"/>
      <c r="BG363" s="40"/>
      <c r="BH363" s="5"/>
      <c r="BJ363" s="40"/>
      <c r="BK363" s="5"/>
      <c r="BM363" s="40"/>
      <c r="BN363" s="5"/>
      <c r="BP363" s="40"/>
      <c r="BQ363" s="5"/>
      <c r="BS363" s="40"/>
      <c r="BT363" s="5"/>
      <c r="BV363" s="40"/>
      <c r="BW363" s="5"/>
      <c r="BY363" s="40"/>
      <c r="BZ363" s="5"/>
      <c r="CB363" s="40"/>
      <c r="CC363" s="5"/>
      <c r="CE363" s="40"/>
      <c r="CF363" s="5"/>
      <c r="CH363" s="40"/>
      <c r="CI363" s="5"/>
      <c r="CK363" s="40"/>
      <c r="CL363" s="5"/>
      <c r="CN363" s="40"/>
      <c r="CO363" s="5"/>
      <c r="CQ363" s="40"/>
      <c r="CR363" s="5"/>
    </row>
    <row r="364">
      <c r="AO364" s="40"/>
      <c r="AP364" s="5"/>
      <c r="AR364" s="40"/>
      <c r="AS364" s="5"/>
      <c r="AU364" s="40"/>
      <c r="AV364" s="5"/>
      <c r="AX364" s="40"/>
      <c r="AY364" s="5"/>
      <c r="BA364" s="40"/>
      <c r="BB364" s="5"/>
      <c r="BD364" s="40"/>
      <c r="BE364" s="5"/>
      <c r="BG364" s="40"/>
      <c r="BH364" s="5"/>
      <c r="BJ364" s="40"/>
      <c r="BK364" s="5"/>
      <c r="BM364" s="40"/>
      <c r="BN364" s="5"/>
      <c r="BP364" s="40"/>
      <c r="BQ364" s="5"/>
      <c r="BS364" s="40"/>
      <c r="BT364" s="5"/>
      <c r="BV364" s="40"/>
      <c r="BW364" s="5"/>
      <c r="BY364" s="40"/>
      <c r="BZ364" s="5"/>
      <c r="CB364" s="40"/>
      <c r="CC364" s="5"/>
      <c r="CE364" s="40"/>
      <c r="CF364" s="5"/>
      <c r="CH364" s="40"/>
      <c r="CI364" s="5"/>
      <c r="CK364" s="40"/>
      <c r="CL364" s="5"/>
      <c r="CN364" s="40"/>
      <c r="CO364" s="5"/>
      <c r="CQ364" s="40"/>
      <c r="CR364" s="5"/>
    </row>
    <row r="365">
      <c r="AO365" s="40"/>
      <c r="AP365" s="5"/>
      <c r="AR365" s="40"/>
      <c r="AS365" s="5"/>
      <c r="AU365" s="40"/>
      <c r="AV365" s="5"/>
      <c r="AX365" s="40"/>
      <c r="AY365" s="5"/>
      <c r="BA365" s="40"/>
      <c r="BB365" s="5"/>
      <c r="BD365" s="40"/>
      <c r="BE365" s="5"/>
      <c r="BG365" s="40"/>
      <c r="BH365" s="5"/>
      <c r="BJ365" s="40"/>
      <c r="BK365" s="5"/>
      <c r="BM365" s="40"/>
      <c r="BN365" s="5"/>
      <c r="BP365" s="40"/>
      <c r="BQ365" s="5"/>
      <c r="BS365" s="40"/>
      <c r="BT365" s="5"/>
      <c r="BV365" s="40"/>
      <c r="BW365" s="5"/>
      <c r="BY365" s="40"/>
      <c r="BZ365" s="5"/>
      <c r="CB365" s="40"/>
      <c r="CC365" s="5"/>
      <c r="CE365" s="40"/>
      <c r="CF365" s="5"/>
      <c r="CH365" s="40"/>
      <c r="CI365" s="5"/>
      <c r="CK365" s="40"/>
      <c r="CL365" s="5"/>
      <c r="CN365" s="40"/>
      <c r="CO365" s="5"/>
      <c r="CQ365" s="40"/>
      <c r="CR365" s="5"/>
    </row>
    <row r="366">
      <c r="AO366" s="40"/>
      <c r="AP366" s="5"/>
      <c r="AR366" s="40"/>
      <c r="AS366" s="5"/>
      <c r="AU366" s="40"/>
      <c r="AV366" s="5"/>
      <c r="AX366" s="40"/>
      <c r="AY366" s="5"/>
      <c r="BA366" s="40"/>
      <c r="BB366" s="5"/>
      <c r="BD366" s="40"/>
      <c r="BE366" s="5"/>
      <c r="BG366" s="40"/>
      <c r="BH366" s="5"/>
      <c r="BJ366" s="40"/>
      <c r="BK366" s="5"/>
      <c r="BM366" s="40"/>
      <c r="BN366" s="5"/>
      <c r="BP366" s="40"/>
      <c r="BQ366" s="5"/>
      <c r="BS366" s="40"/>
      <c r="BT366" s="5"/>
      <c r="BV366" s="40"/>
      <c r="BW366" s="5"/>
      <c r="BY366" s="40"/>
      <c r="BZ366" s="5"/>
      <c r="CB366" s="40"/>
      <c r="CC366" s="5"/>
      <c r="CE366" s="40"/>
      <c r="CF366" s="5"/>
      <c r="CH366" s="40"/>
      <c r="CI366" s="5"/>
      <c r="CK366" s="40"/>
      <c r="CL366" s="5"/>
      <c r="CN366" s="40"/>
      <c r="CO366" s="5"/>
      <c r="CQ366" s="40"/>
      <c r="CR366" s="5"/>
    </row>
    <row r="367">
      <c r="AO367" s="40"/>
      <c r="AP367" s="5"/>
      <c r="AR367" s="40"/>
      <c r="AS367" s="5"/>
      <c r="AU367" s="40"/>
      <c r="AV367" s="5"/>
      <c r="AX367" s="40"/>
      <c r="AY367" s="5"/>
      <c r="BA367" s="40"/>
      <c r="BB367" s="5"/>
      <c r="BD367" s="40"/>
      <c r="BE367" s="5"/>
      <c r="BG367" s="40"/>
      <c r="BH367" s="5"/>
      <c r="BJ367" s="40"/>
      <c r="BK367" s="5"/>
      <c r="BM367" s="40"/>
      <c r="BN367" s="5"/>
      <c r="BP367" s="40"/>
      <c r="BQ367" s="5"/>
      <c r="BS367" s="40"/>
      <c r="BT367" s="5"/>
      <c r="BV367" s="40"/>
      <c r="BW367" s="5"/>
      <c r="BY367" s="40"/>
      <c r="BZ367" s="5"/>
      <c r="CB367" s="40"/>
      <c r="CC367" s="5"/>
      <c r="CE367" s="40"/>
      <c r="CF367" s="5"/>
      <c r="CH367" s="40"/>
      <c r="CI367" s="5"/>
      <c r="CK367" s="40"/>
      <c r="CL367" s="5"/>
      <c r="CN367" s="40"/>
      <c r="CO367" s="5"/>
      <c r="CQ367" s="40"/>
      <c r="CR367" s="5"/>
    </row>
    <row r="368">
      <c r="AO368" s="40"/>
      <c r="AP368" s="5"/>
      <c r="AR368" s="40"/>
      <c r="AS368" s="5"/>
      <c r="AU368" s="40"/>
      <c r="AV368" s="5"/>
      <c r="AX368" s="40"/>
      <c r="AY368" s="5"/>
      <c r="BA368" s="40"/>
      <c r="BB368" s="5"/>
      <c r="BD368" s="40"/>
      <c r="BE368" s="5"/>
      <c r="BG368" s="40"/>
      <c r="BH368" s="5"/>
      <c r="BJ368" s="40"/>
      <c r="BK368" s="5"/>
      <c r="BM368" s="40"/>
      <c r="BN368" s="5"/>
      <c r="BP368" s="40"/>
      <c r="BQ368" s="5"/>
      <c r="BS368" s="40"/>
      <c r="BT368" s="5"/>
      <c r="BV368" s="40"/>
      <c r="BW368" s="5"/>
      <c r="BY368" s="40"/>
      <c r="BZ368" s="5"/>
      <c r="CB368" s="40"/>
      <c r="CC368" s="5"/>
      <c r="CE368" s="40"/>
      <c r="CF368" s="5"/>
      <c r="CH368" s="40"/>
      <c r="CI368" s="5"/>
      <c r="CK368" s="40"/>
      <c r="CL368" s="5"/>
      <c r="CN368" s="40"/>
      <c r="CO368" s="5"/>
      <c r="CQ368" s="40"/>
      <c r="CR368" s="5"/>
    </row>
    <row r="369">
      <c r="AO369" s="40"/>
      <c r="AP369" s="5"/>
      <c r="AR369" s="40"/>
      <c r="AS369" s="5"/>
      <c r="AU369" s="40"/>
      <c r="AV369" s="5"/>
      <c r="AX369" s="40"/>
      <c r="AY369" s="5"/>
      <c r="BA369" s="40"/>
      <c r="BB369" s="5"/>
      <c r="BD369" s="40"/>
      <c r="BE369" s="5"/>
      <c r="BG369" s="40"/>
      <c r="BH369" s="5"/>
      <c r="BJ369" s="40"/>
      <c r="BK369" s="5"/>
      <c r="BM369" s="40"/>
      <c r="BN369" s="5"/>
      <c r="BP369" s="40"/>
      <c r="BQ369" s="5"/>
      <c r="BS369" s="40"/>
      <c r="BT369" s="5"/>
      <c r="BV369" s="40"/>
      <c r="BW369" s="5"/>
      <c r="BY369" s="40"/>
      <c r="BZ369" s="5"/>
      <c r="CB369" s="40"/>
      <c r="CC369" s="5"/>
      <c r="CE369" s="40"/>
      <c r="CF369" s="5"/>
      <c r="CH369" s="40"/>
      <c r="CI369" s="5"/>
      <c r="CK369" s="40"/>
      <c r="CL369" s="5"/>
      <c r="CN369" s="40"/>
      <c r="CO369" s="5"/>
      <c r="CQ369" s="40"/>
      <c r="CR369" s="5"/>
    </row>
    <row r="370">
      <c r="AO370" s="40"/>
      <c r="AP370" s="5"/>
      <c r="AR370" s="40"/>
      <c r="AS370" s="5"/>
      <c r="AU370" s="40"/>
      <c r="AV370" s="5"/>
      <c r="AX370" s="40"/>
      <c r="AY370" s="5"/>
      <c r="BA370" s="40"/>
      <c r="BB370" s="5"/>
      <c r="BD370" s="40"/>
      <c r="BE370" s="5"/>
      <c r="BG370" s="40"/>
      <c r="BH370" s="5"/>
      <c r="BJ370" s="40"/>
      <c r="BK370" s="5"/>
      <c r="BM370" s="40"/>
      <c r="BN370" s="5"/>
      <c r="BP370" s="40"/>
      <c r="BQ370" s="5"/>
      <c r="BS370" s="40"/>
      <c r="BT370" s="5"/>
      <c r="BV370" s="40"/>
      <c r="BW370" s="5"/>
      <c r="BY370" s="40"/>
      <c r="BZ370" s="5"/>
      <c r="CB370" s="40"/>
      <c r="CC370" s="5"/>
      <c r="CE370" s="40"/>
      <c r="CF370" s="5"/>
      <c r="CH370" s="40"/>
      <c r="CI370" s="5"/>
      <c r="CK370" s="40"/>
      <c r="CL370" s="5"/>
      <c r="CN370" s="40"/>
      <c r="CO370" s="5"/>
      <c r="CQ370" s="40"/>
      <c r="CR370" s="5"/>
    </row>
    <row r="371">
      <c r="AO371" s="40"/>
      <c r="AP371" s="5"/>
      <c r="AR371" s="40"/>
      <c r="AS371" s="5"/>
      <c r="AU371" s="40"/>
      <c r="AV371" s="5"/>
      <c r="AX371" s="40"/>
      <c r="AY371" s="5"/>
      <c r="BA371" s="40"/>
      <c r="BB371" s="5"/>
      <c r="BD371" s="40"/>
      <c r="BE371" s="5"/>
      <c r="BG371" s="40"/>
      <c r="BH371" s="5"/>
      <c r="BJ371" s="40"/>
      <c r="BK371" s="5"/>
      <c r="BM371" s="40"/>
      <c r="BN371" s="5"/>
      <c r="BP371" s="40"/>
      <c r="BQ371" s="5"/>
      <c r="BS371" s="40"/>
      <c r="BT371" s="5"/>
      <c r="BV371" s="40"/>
      <c r="BW371" s="5"/>
      <c r="BY371" s="40"/>
      <c r="BZ371" s="5"/>
      <c r="CB371" s="40"/>
      <c r="CC371" s="5"/>
      <c r="CE371" s="40"/>
      <c r="CF371" s="5"/>
      <c r="CH371" s="40"/>
      <c r="CI371" s="5"/>
      <c r="CK371" s="40"/>
      <c r="CL371" s="5"/>
      <c r="CN371" s="40"/>
      <c r="CO371" s="5"/>
      <c r="CQ371" s="40"/>
      <c r="CR371" s="5"/>
    </row>
    <row r="372">
      <c r="AO372" s="40"/>
      <c r="AP372" s="5"/>
      <c r="AR372" s="40"/>
      <c r="AS372" s="5"/>
      <c r="AU372" s="40"/>
      <c r="AV372" s="5"/>
      <c r="AX372" s="40"/>
      <c r="AY372" s="5"/>
      <c r="BA372" s="40"/>
      <c r="BB372" s="5"/>
      <c r="BD372" s="40"/>
      <c r="BE372" s="5"/>
      <c r="BG372" s="40"/>
      <c r="BH372" s="5"/>
      <c r="BJ372" s="40"/>
      <c r="BK372" s="5"/>
      <c r="BM372" s="40"/>
      <c r="BN372" s="5"/>
      <c r="BP372" s="40"/>
      <c r="BQ372" s="5"/>
      <c r="BS372" s="40"/>
      <c r="BT372" s="5"/>
      <c r="BV372" s="40"/>
      <c r="BW372" s="5"/>
      <c r="BY372" s="40"/>
      <c r="BZ372" s="5"/>
      <c r="CB372" s="40"/>
      <c r="CC372" s="5"/>
      <c r="CE372" s="40"/>
      <c r="CF372" s="5"/>
      <c r="CH372" s="40"/>
      <c r="CI372" s="5"/>
      <c r="CK372" s="40"/>
      <c r="CL372" s="5"/>
      <c r="CN372" s="40"/>
      <c r="CO372" s="5"/>
      <c r="CQ372" s="40"/>
      <c r="CR372" s="5"/>
    </row>
    <row r="373">
      <c r="AO373" s="40"/>
      <c r="AP373" s="5"/>
      <c r="AR373" s="40"/>
      <c r="AS373" s="5"/>
      <c r="AU373" s="40"/>
      <c r="AV373" s="5"/>
      <c r="AX373" s="40"/>
      <c r="AY373" s="5"/>
      <c r="BA373" s="40"/>
      <c r="BB373" s="5"/>
      <c r="BD373" s="40"/>
      <c r="BE373" s="5"/>
      <c r="BG373" s="40"/>
      <c r="BH373" s="5"/>
      <c r="BJ373" s="40"/>
      <c r="BK373" s="5"/>
      <c r="BM373" s="40"/>
      <c r="BN373" s="5"/>
      <c r="BP373" s="40"/>
      <c r="BQ373" s="5"/>
      <c r="BS373" s="40"/>
      <c r="BT373" s="5"/>
      <c r="BV373" s="40"/>
      <c r="BW373" s="5"/>
      <c r="BY373" s="40"/>
      <c r="BZ373" s="5"/>
      <c r="CB373" s="40"/>
      <c r="CC373" s="5"/>
      <c r="CE373" s="40"/>
      <c r="CF373" s="5"/>
      <c r="CH373" s="40"/>
      <c r="CI373" s="5"/>
      <c r="CK373" s="40"/>
      <c r="CL373" s="5"/>
      <c r="CN373" s="40"/>
      <c r="CO373" s="5"/>
      <c r="CQ373" s="40"/>
      <c r="CR373" s="5"/>
    </row>
    <row r="374">
      <c r="AO374" s="40"/>
      <c r="AP374" s="5"/>
      <c r="AR374" s="40"/>
      <c r="AS374" s="5"/>
      <c r="AU374" s="40"/>
      <c r="AV374" s="5"/>
      <c r="AX374" s="40"/>
      <c r="AY374" s="5"/>
      <c r="BA374" s="40"/>
      <c r="BB374" s="5"/>
      <c r="BD374" s="40"/>
      <c r="BE374" s="5"/>
      <c r="BG374" s="40"/>
      <c r="BH374" s="5"/>
      <c r="BJ374" s="40"/>
      <c r="BK374" s="5"/>
      <c r="BM374" s="40"/>
      <c r="BN374" s="5"/>
      <c r="BP374" s="40"/>
      <c r="BQ374" s="5"/>
      <c r="BS374" s="40"/>
      <c r="BT374" s="5"/>
      <c r="BV374" s="40"/>
      <c r="BW374" s="5"/>
      <c r="BY374" s="40"/>
      <c r="BZ374" s="5"/>
      <c r="CB374" s="40"/>
      <c r="CC374" s="5"/>
      <c r="CE374" s="40"/>
      <c r="CF374" s="5"/>
      <c r="CH374" s="40"/>
      <c r="CI374" s="5"/>
      <c r="CK374" s="40"/>
      <c r="CL374" s="5"/>
      <c r="CN374" s="40"/>
      <c r="CO374" s="5"/>
      <c r="CQ374" s="40"/>
      <c r="CR374" s="5"/>
    </row>
    <row r="375">
      <c r="AO375" s="40"/>
      <c r="AP375" s="5"/>
      <c r="AR375" s="40"/>
      <c r="AS375" s="5"/>
      <c r="AU375" s="40"/>
      <c r="AV375" s="5"/>
      <c r="AX375" s="40"/>
      <c r="AY375" s="5"/>
      <c r="BA375" s="40"/>
      <c r="BB375" s="5"/>
      <c r="BD375" s="40"/>
      <c r="BE375" s="5"/>
      <c r="BG375" s="40"/>
      <c r="BH375" s="5"/>
      <c r="BJ375" s="40"/>
      <c r="BK375" s="5"/>
      <c r="BM375" s="40"/>
      <c r="BN375" s="5"/>
      <c r="BP375" s="40"/>
      <c r="BQ375" s="5"/>
      <c r="BS375" s="40"/>
      <c r="BT375" s="5"/>
      <c r="BV375" s="40"/>
      <c r="BW375" s="5"/>
      <c r="BY375" s="40"/>
      <c r="BZ375" s="5"/>
      <c r="CB375" s="40"/>
      <c r="CC375" s="5"/>
      <c r="CE375" s="40"/>
      <c r="CF375" s="5"/>
      <c r="CH375" s="40"/>
      <c r="CI375" s="5"/>
      <c r="CK375" s="40"/>
      <c r="CL375" s="5"/>
      <c r="CN375" s="40"/>
      <c r="CO375" s="5"/>
      <c r="CQ375" s="40"/>
      <c r="CR375" s="5"/>
    </row>
    <row r="376">
      <c r="AO376" s="40"/>
      <c r="AP376" s="5"/>
      <c r="AR376" s="40"/>
      <c r="AS376" s="5"/>
      <c r="AU376" s="40"/>
      <c r="AV376" s="5"/>
      <c r="AX376" s="40"/>
      <c r="AY376" s="5"/>
      <c r="BA376" s="40"/>
      <c r="BB376" s="5"/>
      <c r="BD376" s="40"/>
      <c r="BE376" s="5"/>
      <c r="BG376" s="40"/>
      <c r="BH376" s="5"/>
      <c r="BJ376" s="40"/>
      <c r="BK376" s="5"/>
      <c r="BM376" s="40"/>
      <c r="BN376" s="5"/>
      <c r="BP376" s="40"/>
      <c r="BQ376" s="5"/>
      <c r="BS376" s="40"/>
      <c r="BT376" s="5"/>
      <c r="BV376" s="40"/>
      <c r="BW376" s="5"/>
      <c r="BY376" s="40"/>
      <c r="BZ376" s="5"/>
      <c r="CB376" s="40"/>
      <c r="CC376" s="5"/>
      <c r="CE376" s="40"/>
      <c r="CF376" s="5"/>
      <c r="CH376" s="40"/>
      <c r="CI376" s="5"/>
      <c r="CK376" s="40"/>
      <c r="CL376" s="5"/>
      <c r="CN376" s="40"/>
      <c r="CO376" s="5"/>
      <c r="CQ376" s="40"/>
      <c r="CR376" s="5"/>
    </row>
    <row r="377">
      <c r="AO377" s="40"/>
      <c r="AP377" s="5"/>
      <c r="AR377" s="40"/>
      <c r="AS377" s="5"/>
      <c r="AU377" s="40"/>
      <c r="AV377" s="5"/>
      <c r="AX377" s="40"/>
      <c r="AY377" s="5"/>
      <c r="BA377" s="40"/>
      <c r="BB377" s="5"/>
      <c r="BD377" s="40"/>
      <c r="BE377" s="5"/>
      <c r="BG377" s="40"/>
      <c r="BH377" s="5"/>
      <c r="BJ377" s="40"/>
      <c r="BK377" s="5"/>
      <c r="BM377" s="40"/>
      <c r="BN377" s="5"/>
      <c r="BP377" s="40"/>
      <c r="BQ377" s="5"/>
      <c r="BS377" s="40"/>
      <c r="BT377" s="5"/>
      <c r="BV377" s="40"/>
      <c r="BW377" s="5"/>
      <c r="BY377" s="40"/>
      <c r="BZ377" s="5"/>
      <c r="CB377" s="40"/>
      <c r="CC377" s="5"/>
      <c r="CE377" s="40"/>
      <c r="CF377" s="5"/>
      <c r="CH377" s="40"/>
      <c r="CI377" s="5"/>
      <c r="CK377" s="40"/>
      <c r="CL377" s="5"/>
      <c r="CN377" s="40"/>
      <c r="CO377" s="5"/>
      <c r="CQ377" s="40"/>
      <c r="CR377" s="5"/>
    </row>
    <row r="378">
      <c r="AO378" s="40"/>
      <c r="AP378" s="5"/>
      <c r="AR378" s="40"/>
      <c r="AS378" s="5"/>
      <c r="AU378" s="40"/>
      <c r="AV378" s="5"/>
      <c r="AX378" s="40"/>
      <c r="AY378" s="5"/>
      <c r="BA378" s="40"/>
      <c r="BB378" s="5"/>
      <c r="BD378" s="40"/>
      <c r="BE378" s="5"/>
      <c r="BG378" s="40"/>
      <c r="BH378" s="5"/>
      <c r="BJ378" s="40"/>
      <c r="BK378" s="5"/>
      <c r="BM378" s="40"/>
      <c r="BN378" s="5"/>
      <c r="BP378" s="40"/>
      <c r="BQ378" s="5"/>
      <c r="BS378" s="40"/>
      <c r="BT378" s="5"/>
      <c r="BV378" s="40"/>
      <c r="BW378" s="5"/>
      <c r="BY378" s="40"/>
      <c r="BZ378" s="5"/>
      <c r="CB378" s="40"/>
      <c r="CC378" s="5"/>
      <c r="CE378" s="40"/>
      <c r="CF378" s="5"/>
      <c r="CH378" s="40"/>
      <c r="CI378" s="5"/>
      <c r="CK378" s="40"/>
      <c r="CL378" s="5"/>
      <c r="CN378" s="40"/>
      <c r="CO378" s="5"/>
      <c r="CQ378" s="40"/>
      <c r="CR378" s="5"/>
    </row>
    <row r="379">
      <c r="AO379" s="40"/>
      <c r="AP379" s="5"/>
      <c r="AR379" s="40"/>
      <c r="AS379" s="5"/>
      <c r="AU379" s="40"/>
      <c r="AV379" s="5"/>
      <c r="AX379" s="40"/>
      <c r="AY379" s="5"/>
      <c r="BA379" s="40"/>
      <c r="BB379" s="5"/>
      <c r="BD379" s="40"/>
      <c r="BE379" s="5"/>
      <c r="BG379" s="40"/>
      <c r="BH379" s="5"/>
      <c r="BJ379" s="40"/>
      <c r="BK379" s="5"/>
      <c r="BM379" s="40"/>
      <c r="BN379" s="5"/>
      <c r="BP379" s="40"/>
      <c r="BQ379" s="5"/>
      <c r="BS379" s="40"/>
      <c r="BT379" s="5"/>
      <c r="BV379" s="40"/>
      <c r="BW379" s="5"/>
      <c r="BY379" s="40"/>
      <c r="BZ379" s="5"/>
      <c r="CB379" s="40"/>
      <c r="CC379" s="5"/>
      <c r="CE379" s="40"/>
      <c r="CF379" s="5"/>
      <c r="CH379" s="40"/>
      <c r="CI379" s="5"/>
      <c r="CK379" s="40"/>
      <c r="CL379" s="5"/>
      <c r="CN379" s="40"/>
      <c r="CO379" s="5"/>
      <c r="CQ379" s="40"/>
      <c r="CR379" s="5"/>
    </row>
    <row r="380">
      <c r="AO380" s="40"/>
      <c r="AP380" s="5"/>
      <c r="AR380" s="40"/>
      <c r="AS380" s="5"/>
      <c r="AU380" s="40"/>
      <c r="AV380" s="5"/>
      <c r="AX380" s="40"/>
      <c r="AY380" s="5"/>
      <c r="BA380" s="40"/>
      <c r="BB380" s="5"/>
      <c r="BD380" s="40"/>
      <c r="BE380" s="5"/>
      <c r="BG380" s="40"/>
      <c r="BH380" s="5"/>
      <c r="BJ380" s="40"/>
      <c r="BK380" s="5"/>
      <c r="BM380" s="40"/>
      <c r="BN380" s="5"/>
      <c r="BP380" s="40"/>
      <c r="BQ380" s="5"/>
      <c r="BS380" s="40"/>
      <c r="BT380" s="5"/>
      <c r="BV380" s="40"/>
      <c r="BW380" s="5"/>
      <c r="BY380" s="40"/>
      <c r="BZ380" s="5"/>
      <c r="CB380" s="40"/>
      <c r="CC380" s="5"/>
      <c r="CE380" s="40"/>
      <c r="CF380" s="5"/>
      <c r="CH380" s="40"/>
      <c r="CI380" s="5"/>
      <c r="CK380" s="40"/>
      <c r="CL380" s="5"/>
      <c r="CN380" s="40"/>
      <c r="CO380" s="5"/>
      <c r="CQ380" s="40"/>
      <c r="CR380" s="5"/>
    </row>
    <row r="381">
      <c r="AO381" s="40"/>
      <c r="AP381" s="5"/>
      <c r="AR381" s="40"/>
      <c r="AS381" s="5"/>
      <c r="AU381" s="40"/>
      <c r="AV381" s="5"/>
      <c r="AX381" s="40"/>
      <c r="AY381" s="5"/>
      <c r="BA381" s="40"/>
      <c r="BB381" s="5"/>
      <c r="BD381" s="40"/>
      <c r="BE381" s="5"/>
      <c r="BG381" s="40"/>
      <c r="BH381" s="5"/>
      <c r="BJ381" s="40"/>
      <c r="BK381" s="5"/>
      <c r="BM381" s="40"/>
      <c r="BN381" s="5"/>
      <c r="BP381" s="40"/>
      <c r="BQ381" s="5"/>
      <c r="BS381" s="40"/>
      <c r="BT381" s="5"/>
      <c r="BV381" s="40"/>
      <c r="BW381" s="5"/>
      <c r="BY381" s="40"/>
      <c r="BZ381" s="5"/>
      <c r="CB381" s="40"/>
      <c r="CC381" s="5"/>
      <c r="CE381" s="40"/>
      <c r="CF381" s="5"/>
      <c r="CH381" s="40"/>
      <c r="CI381" s="5"/>
      <c r="CK381" s="40"/>
      <c r="CL381" s="5"/>
      <c r="CN381" s="40"/>
      <c r="CO381" s="5"/>
      <c r="CQ381" s="40"/>
      <c r="CR381" s="5"/>
    </row>
    <row r="382">
      <c r="AO382" s="40"/>
      <c r="AP382" s="5"/>
      <c r="AR382" s="40"/>
      <c r="AS382" s="5"/>
      <c r="AU382" s="40"/>
      <c r="AV382" s="5"/>
      <c r="AX382" s="40"/>
      <c r="AY382" s="5"/>
      <c r="BA382" s="40"/>
      <c r="BB382" s="5"/>
      <c r="BD382" s="40"/>
      <c r="BE382" s="5"/>
      <c r="BG382" s="40"/>
      <c r="BH382" s="5"/>
      <c r="BJ382" s="40"/>
      <c r="BK382" s="5"/>
      <c r="BM382" s="40"/>
      <c r="BN382" s="5"/>
      <c r="BP382" s="40"/>
      <c r="BQ382" s="5"/>
      <c r="BS382" s="40"/>
      <c r="BT382" s="5"/>
      <c r="BV382" s="40"/>
      <c r="BW382" s="5"/>
      <c r="BY382" s="40"/>
      <c r="BZ382" s="5"/>
      <c r="CB382" s="40"/>
      <c r="CC382" s="5"/>
      <c r="CE382" s="40"/>
      <c r="CF382" s="5"/>
      <c r="CH382" s="40"/>
      <c r="CI382" s="5"/>
      <c r="CK382" s="40"/>
      <c r="CL382" s="5"/>
      <c r="CN382" s="40"/>
      <c r="CO382" s="5"/>
      <c r="CQ382" s="40"/>
      <c r="CR382" s="5"/>
    </row>
    <row r="383">
      <c r="AO383" s="40"/>
      <c r="AP383" s="5"/>
      <c r="AR383" s="40"/>
      <c r="AS383" s="5"/>
      <c r="AU383" s="40"/>
      <c r="AV383" s="5"/>
      <c r="AX383" s="40"/>
      <c r="AY383" s="5"/>
      <c r="BA383" s="40"/>
      <c r="BB383" s="5"/>
      <c r="BD383" s="40"/>
      <c r="BE383" s="5"/>
      <c r="BG383" s="40"/>
      <c r="BH383" s="5"/>
      <c r="BJ383" s="40"/>
      <c r="BK383" s="5"/>
      <c r="BM383" s="40"/>
      <c r="BN383" s="5"/>
      <c r="BP383" s="40"/>
      <c r="BQ383" s="5"/>
      <c r="BS383" s="40"/>
      <c r="BT383" s="5"/>
      <c r="BV383" s="40"/>
      <c r="BW383" s="5"/>
      <c r="BY383" s="40"/>
      <c r="BZ383" s="5"/>
      <c r="CB383" s="40"/>
      <c r="CC383" s="5"/>
      <c r="CE383" s="40"/>
      <c r="CF383" s="5"/>
      <c r="CH383" s="40"/>
      <c r="CI383" s="5"/>
      <c r="CK383" s="40"/>
      <c r="CL383" s="5"/>
      <c r="CN383" s="40"/>
      <c r="CO383" s="5"/>
      <c r="CQ383" s="40"/>
      <c r="CR383" s="5"/>
    </row>
    <row r="384">
      <c r="AO384" s="40"/>
      <c r="AP384" s="5"/>
      <c r="AR384" s="40"/>
      <c r="AS384" s="5"/>
      <c r="AU384" s="40"/>
      <c r="AV384" s="5"/>
      <c r="AX384" s="40"/>
      <c r="AY384" s="5"/>
      <c r="BA384" s="40"/>
      <c r="BB384" s="5"/>
      <c r="BD384" s="40"/>
      <c r="BE384" s="5"/>
      <c r="BG384" s="40"/>
      <c r="BH384" s="5"/>
      <c r="BJ384" s="40"/>
      <c r="BK384" s="5"/>
      <c r="BM384" s="40"/>
      <c r="BN384" s="5"/>
      <c r="BP384" s="40"/>
      <c r="BQ384" s="5"/>
      <c r="BS384" s="40"/>
      <c r="BT384" s="5"/>
      <c r="BV384" s="40"/>
      <c r="BW384" s="5"/>
      <c r="BY384" s="40"/>
      <c r="BZ384" s="5"/>
      <c r="CB384" s="40"/>
      <c r="CC384" s="5"/>
      <c r="CE384" s="40"/>
      <c r="CF384" s="5"/>
      <c r="CH384" s="40"/>
      <c r="CI384" s="5"/>
      <c r="CK384" s="40"/>
      <c r="CL384" s="5"/>
      <c r="CN384" s="40"/>
      <c r="CO384" s="5"/>
      <c r="CQ384" s="40"/>
      <c r="CR384" s="5"/>
    </row>
    <row r="385">
      <c r="AO385" s="40"/>
      <c r="AP385" s="5"/>
      <c r="AR385" s="40"/>
      <c r="AS385" s="5"/>
      <c r="AU385" s="40"/>
      <c r="AV385" s="5"/>
      <c r="AX385" s="40"/>
      <c r="AY385" s="5"/>
      <c r="BA385" s="40"/>
      <c r="BB385" s="5"/>
      <c r="BD385" s="40"/>
      <c r="BE385" s="5"/>
      <c r="BG385" s="40"/>
      <c r="BH385" s="5"/>
      <c r="BJ385" s="40"/>
      <c r="BK385" s="5"/>
      <c r="BM385" s="40"/>
      <c r="BN385" s="5"/>
      <c r="BP385" s="40"/>
      <c r="BQ385" s="5"/>
      <c r="BS385" s="40"/>
      <c r="BT385" s="5"/>
      <c r="BV385" s="40"/>
      <c r="BW385" s="5"/>
      <c r="BY385" s="40"/>
      <c r="BZ385" s="5"/>
      <c r="CB385" s="40"/>
      <c r="CC385" s="5"/>
      <c r="CE385" s="40"/>
      <c r="CF385" s="5"/>
      <c r="CH385" s="40"/>
      <c r="CI385" s="5"/>
      <c r="CK385" s="40"/>
      <c r="CL385" s="5"/>
      <c r="CN385" s="40"/>
      <c r="CO385" s="5"/>
      <c r="CQ385" s="40"/>
      <c r="CR385" s="5"/>
    </row>
    <row r="386">
      <c r="AO386" s="40"/>
      <c r="AP386" s="5"/>
      <c r="AR386" s="40"/>
      <c r="AS386" s="5"/>
      <c r="AU386" s="40"/>
      <c r="AV386" s="5"/>
      <c r="AX386" s="40"/>
      <c r="AY386" s="5"/>
      <c r="BA386" s="40"/>
      <c r="BB386" s="5"/>
      <c r="BD386" s="40"/>
      <c r="BE386" s="5"/>
      <c r="BG386" s="40"/>
      <c r="BH386" s="5"/>
      <c r="BJ386" s="40"/>
      <c r="BK386" s="5"/>
      <c r="BM386" s="40"/>
      <c r="BN386" s="5"/>
      <c r="BP386" s="40"/>
      <c r="BQ386" s="5"/>
      <c r="BS386" s="40"/>
      <c r="BT386" s="5"/>
      <c r="BV386" s="40"/>
      <c r="BW386" s="5"/>
      <c r="BY386" s="40"/>
      <c r="BZ386" s="5"/>
      <c r="CB386" s="40"/>
      <c r="CC386" s="5"/>
      <c r="CE386" s="40"/>
      <c r="CF386" s="5"/>
      <c r="CH386" s="40"/>
      <c r="CI386" s="5"/>
      <c r="CK386" s="40"/>
      <c r="CL386" s="5"/>
      <c r="CN386" s="40"/>
      <c r="CO386" s="5"/>
      <c r="CQ386" s="40"/>
      <c r="CR386" s="5"/>
    </row>
    <row r="387">
      <c r="AO387" s="40"/>
      <c r="AP387" s="5"/>
      <c r="AR387" s="40"/>
      <c r="AS387" s="5"/>
      <c r="AU387" s="40"/>
      <c r="AV387" s="5"/>
      <c r="AX387" s="40"/>
      <c r="AY387" s="5"/>
      <c r="BA387" s="40"/>
      <c r="BB387" s="5"/>
      <c r="BD387" s="40"/>
      <c r="BE387" s="5"/>
      <c r="BG387" s="40"/>
      <c r="BH387" s="5"/>
      <c r="BJ387" s="40"/>
      <c r="BK387" s="5"/>
      <c r="BM387" s="40"/>
      <c r="BN387" s="5"/>
      <c r="BP387" s="40"/>
      <c r="BQ387" s="5"/>
      <c r="BS387" s="40"/>
      <c r="BT387" s="5"/>
      <c r="BV387" s="40"/>
      <c r="BW387" s="5"/>
      <c r="BY387" s="40"/>
      <c r="BZ387" s="5"/>
      <c r="CB387" s="40"/>
      <c r="CC387" s="5"/>
      <c r="CE387" s="40"/>
      <c r="CF387" s="5"/>
      <c r="CH387" s="40"/>
      <c r="CI387" s="5"/>
      <c r="CK387" s="40"/>
      <c r="CL387" s="5"/>
      <c r="CN387" s="40"/>
      <c r="CO387" s="5"/>
      <c r="CQ387" s="40"/>
      <c r="CR387" s="5"/>
    </row>
    <row r="388">
      <c r="AO388" s="40"/>
      <c r="AP388" s="5"/>
      <c r="AR388" s="40"/>
      <c r="AS388" s="5"/>
      <c r="AU388" s="40"/>
      <c r="AV388" s="5"/>
      <c r="AX388" s="40"/>
      <c r="AY388" s="5"/>
      <c r="BA388" s="40"/>
      <c r="BB388" s="5"/>
      <c r="BD388" s="40"/>
      <c r="BE388" s="5"/>
      <c r="BG388" s="40"/>
      <c r="BH388" s="5"/>
      <c r="BJ388" s="40"/>
      <c r="BK388" s="5"/>
      <c r="BM388" s="40"/>
      <c r="BN388" s="5"/>
      <c r="BP388" s="40"/>
      <c r="BQ388" s="5"/>
      <c r="BS388" s="40"/>
      <c r="BT388" s="5"/>
      <c r="BV388" s="40"/>
      <c r="BW388" s="5"/>
      <c r="BY388" s="40"/>
      <c r="BZ388" s="5"/>
      <c r="CB388" s="40"/>
      <c r="CC388" s="5"/>
      <c r="CE388" s="40"/>
      <c r="CF388" s="5"/>
      <c r="CH388" s="40"/>
      <c r="CI388" s="5"/>
      <c r="CK388" s="40"/>
      <c r="CL388" s="5"/>
      <c r="CN388" s="40"/>
      <c r="CO388" s="5"/>
      <c r="CQ388" s="40"/>
      <c r="CR388" s="5"/>
    </row>
    <row r="389">
      <c r="AO389" s="40"/>
      <c r="AP389" s="5"/>
      <c r="AR389" s="40"/>
      <c r="AS389" s="5"/>
      <c r="AU389" s="40"/>
      <c r="AV389" s="5"/>
      <c r="AX389" s="40"/>
      <c r="AY389" s="5"/>
      <c r="BA389" s="40"/>
      <c r="BB389" s="5"/>
      <c r="BD389" s="40"/>
      <c r="BE389" s="5"/>
      <c r="BG389" s="40"/>
      <c r="BH389" s="5"/>
      <c r="BJ389" s="40"/>
      <c r="BK389" s="5"/>
      <c r="BM389" s="40"/>
      <c r="BN389" s="5"/>
      <c r="BP389" s="40"/>
      <c r="BQ389" s="5"/>
      <c r="BS389" s="40"/>
      <c r="BT389" s="5"/>
      <c r="BV389" s="40"/>
      <c r="BW389" s="5"/>
      <c r="BY389" s="40"/>
      <c r="BZ389" s="5"/>
      <c r="CB389" s="40"/>
      <c r="CC389" s="5"/>
      <c r="CE389" s="40"/>
      <c r="CF389" s="5"/>
      <c r="CH389" s="40"/>
      <c r="CI389" s="5"/>
      <c r="CK389" s="40"/>
      <c r="CL389" s="5"/>
      <c r="CN389" s="40"/>
      <c r="CO389" s="5"/>
      <c r="CQ389" s="40"/>
      <c r="CR389" s="5"/>
    </row>
    <row r="390">
      <c r="AO390" s="40"/>
      <c r="AP390" s="5"/>
      <c r="AR390" s="40"/>
      <c r="AS390" s="5"/>
      <c r="AU390" s="40"/>
      <c r="AV390" s="5"/>
      <c r="AX390" s="40"/>
      <c r="AY390" s="5"/>
      <c r="BA390" s="40"/>
      <c r="BB390" s="5"/>
      <c r="BD390" s="40"/>
      <c r="BE390" s="5"/>
      <c r="BG390" s="40"/>
      <c r="BH390" s="5"/>
      <c r="BJ390" s="40"/>
      <c r="BK390" s="5"/>
      <c r="BM390" s="40"/>
      <c r="BN390" s="5"/>
      <c r="BP390" s="40"/>
      <c r="BQ390" s="5"/>
      <c r="BS390" s="40"/>
      <c r="BT390" s="5"/>
      <c r="BV390" s="40"/>
      <c r="BW390" s="5"/>
      <c r="BY390" s="40"/>
      <c r="BZ390" s="5"/>
      <c r="CB390" s="40"/>
      <c r="CC390" s="5"/>
      <c r="CE390" s="40"/>
      <c r="CF390" s="5"/>
      <c r="CH390" s="40"/>
      <c r="CI390" s="5"/>
      <c r="CK390" s="40"/>
      <c r="CL390" s="5"/>
      <c r="CN390" s="40"/>
      <c r="CO390" s="5"/>
      <c r="CQ390" s="40"/>
      <c r="CR390" s="5"/>
    </row>
    <row r="391">
      <c r="AO391" s="40"/>
      <c r="AP391" s="5"/>
      <c r="AR391" s="40"/>
      <c r="AS391" s="5"/>
      <c r="AU391" s="40"/>
      <c r="AV391" s="5"/>
      <c r="AX391" s="40"/>
      <c r="AY391" s="5"/>
      <c r="BA391" s="40"/>
      <c r="BB391" s="5"/>
      <c r="BD391" s="40"/>
      <c r="BE391" s="5"/>
      <c r="BG391" s="40"/>
      <c r="BH391" s="5"/>
      <c r="BJ391" s="40"/>
      <c r="BK391" s="5"/>
      <c r="BM391" s="40"/>
      <c r="BN391" s="5"/>
      <c r="BP391" s="40"/>
      <c r="BQ391" s="5"/>
      <c r="BS391" s="40"/>
      <c r="BT391" s="5"/>
      <c r="BV391" s="40"/>
      <c r="BW391" s="5"/>
      <c r="BY391" s="40"/>
      <c r="BZ391" s="5"/>
      <c r="CB391" s="40"/>
      <c r="CC391" s="5"/>
      <c r="CE391" s="40"/>
      <c r="CF391" s="5"/>
      <c r="CH391" s="40"/>
      <c r="CI391" s="5"/>
      <c r="CK391" s="40"/>
      <c r="CL391" s="5"/>
      <c r="CN391" s="40"/>
      <c r="CO391" s="5"/>
      <c r="CQ391" s="40"/>
      <c r="CR391" s="5"/>
    </row>
    <row r="392">
      <c r="AO392" s="40"/>
      <c r="AP392" s="5"/>
      <c r="AR392" s="40"/>
      <c r="AS392" s="5"/>
      <c r="AU392" s="40"/>
      <c r="AV392" s="5"/>
      <c r="AX392" s="40"/>
      <c r="AY392" s="5"/>
      <c r="BA392" s="40"/>
      <c r="BB392" s="5"/>
      <c r="BD392" s="40"/>
      <c r="BE392" s="5"/>
      <c r="BG392" s="40"/>
      <c r="BH392" s="5"/>
      <c r="BJ392" s="40"/>
      <c r="BK392" s="5"/>
      <c r="BM392" s="40"/>
      <c r="BN392" s="5"/>
      <c r="BP392" s="40"/>
      <c r="BQ392" s="5"/>
      <c r="BS392" s="40"/>
      <c r="BT392" s="5"/>
      <c r="BV392" s="40"/>
      <c r="BW392" s="5"/>
      <c r="BY392" s="40"/>
      <c r="BZ392" s="5"/>
      <c r="CB392" s="40"/>
      <c r="CC392" s="5"/>
      <c r="CE392" s="40"/>
      <c r="CF392" s="5"/>
      <c r="CH392" s="40"/>
      <c r="CI392" s="5"/>
      <c r="CK392" s="40"/>
      <c r="CL392" s="5"/>
      <c r="CN392" s="40"/>
      <c r="CO392" s="5"/>
      <c r="CQ392" s="40"/>
      <c r="CR392" s="5"/>
    </row>
    <row r="393">
      <c r="AO393" s="40"/>
      <c r="AP393" s="5"/>
      <c r="AR393" s="40"/>
      <c r="AS393" s="5"/>
      <c r="AU393" s="40"/>
      <c r="AV393" s="5"/>
      <c r="AX393" s="40"/>
      <c r="AY393" s="5"/>
      <c r="BA393" s="40"/>
      <c r="BB393" s="5"/>
      <c r="BD393" s="40"/>
      <c r="BE393" s="5"/>
      <c r="BG393" s="40"/>
      <c r="BH393" s="5"/>
      <c r="BJ393" s="40"/>
      <c r="BK393" s="5"/>
      <c r="BM393" s="40"/>
      <c r="BN393" s="5"/>
      <c r="BP393" s="40"/>
      <c r="BQ393" s="5"/>
      <c r="BS393" s="40"/>
      <c r="BT393" s="5"/>
      <c r="BV393" s="40"/>
      <c r="BW393" s="5"/>
      <c r="BY393" s="40"/>
      <c r="BZ393" s="5"/>
      <c r="CB393" s="40"/>
      <c r="CC393" s="5"/>
      <c r="CE393" s="40"/>
      <c r="CF393" s="5"/>
      <c r="CH393" s="40"/>
      <c r="CI393" s="5"/>
      <c r="CK393" s="40"/>
      <c r="CL393" s="5"/>
      <c r="CN393" s="40"/>
      <c r="CO393" s="5"/>
      <c r="CQ393" s="40"/>
      <c r="CR393" s="5"/>
    </row>
    <row r="394">
      <c r="AO394" s="40"/>
      <c r="AP394" s="5"/>
      <c r="AR394" s="40"/>
      <c r="AS394" s="5"/>
      <c r="AU394" s="40"/>
      <c r="AV394" s="5"/>
      <c r="AX394" s="40"/>
      <c r="AY394" s="5"/>
      <c r="BA394" s="40"/>
      <c r="BB394" s="5"/>
      <c r="BD394" s="40"/>
      <c r="BE394" s="5"/>
      <c r="BG394" s="40"/>
      <c r="BH394" s="5"/>
      <c r="BJ394" s="40"/>
      <c r="BK394" s="5"/>
      <c r="BM394" s="40"/>
      <c r="BN394" s="5"/>
      <c r="BP394" s="40"/>
      <c r="BQ394" s="5"/>
      <c r="BS394" s="40"/>
      <c r="BT394" s="5"/>
      <c r="BV394" s="40"/>
      <c r="BW394" s="5"/>
      <c r="BY394" s="40"/>
      <c r="BZ394" s="5"/>
      <c r="CB394" s="40"/>
      <c r="CC394" s="5"/>
      <c r="CE394" s="40"/>
      <c r="CF394" s="5"/>
      <c r="CH394" s="40"/>
      <c r="CI394" s="5"/>
      <c r="CK394" s="40"/>
      <c r="CL394" s="5"/>
      <c r="CN394" s="40"/>
      <c r="CO394" s="5"/>
      <c r="CQ394" s="40"/>
      <c r="CR394" s="5"/>
    </row>
    <row r="395">
      <c r="AO395" s="40"/>
      <c r="AP395" s="5"/>
      <c r="AR395" s="40"/>
      <c r="AS395" s="5"/>
      <c r="AU395" s="40"/>
      <c r="AV395" s="5"/>
      <c r="AX395" s="40"/>
      <c r="AY395" s="5"/>
      <c r="BA395" s="40"/>
      <c r="BB395" s="5"/>
      <c r="BD395" s="40"/>
      <c r="BE395" s="5"/>
      <c r="BG395" s="40"/>
      <c r="BH395" s="5"/>
      <c r="BJ395" s="40"/>
      <c r="BK395" s="5"/>
      <c r="BM395" s="40"/>
      <c r="BN395" s="5"/>
      <c r="BP395" s="40"/>
      <c r="BQ395" s="5"/>
      <c r="BS395" s="40"/>
      <c r="BT395" s="5"/>
      <c r="BV395" s="40"/>
      <c r="BW395" s="5"/>
      <c r="BY395" s="40"/>
      <c r="BZ395" s="5"/>
      <c r="CB395" s="40"/>
      <c r="CC395" s="5"/>
      <c r="CE395" s="40"/>
      <c r="CF395" s="5"/>
      <c r="CH395" s="40"/>
      <c r="CI395" s="5"/>
      <c r="CK395" s="40"/>
      <c r="CL395" s="5"/>
      <c r="CN395" s="40"/>
      <c r="CO395" s="5"/>
      <c r="CQ395" s="40"/>
      <c r="CR395" s="5"/>
    </row>
    <row r="396">
      <c r="AO396" s="40"/>
      <c r="AP396" s="5"/>
      <c r="AR396" s="40"/>
      <c r="AS396" s="5"/>
      <c r="AU396" s="40"/>
      <c r="AV396" s="5"/>
      <c r="AX396" s="40"/>
      <c r="AY396" s="5"/>
      <c r="BA396" s="40"/>
      <c r="BB396" s="5"/>
      <c r="BD396" s="40"/>
      <c r="BE396" s="5"/>
      <c r="BG396" s="40"/>
      <c r="BH396" s="5"/>
      <c r="BJ396" s="40"/>
      <c r="BK396" s="5"/>
      <c r="BM396" s="40"/>
      <c r="BN396" s="5"/>
      <c r="BP396" s="40"/>
      <c r="BQ396" s="5"/>
      <c r="BS396" s="40"/>
      <c r="BT396" s="5"/>
      <c r="BV396" s="40"/>
      <c r="BW396" s="5"/>
      <c r="BY396" s="40"/>
      <c r="BZ396" s="5"/>
      <c r="CB396" s="40"/>
      <c r="CC396" s="5"/>
      <c r="CE396" s="40"/>
      <c r="CF396" s="5"/>
      <c r="CH396" s="40"/>
      <c r="CI396" s="5"/>
      <c r="CK396" s="40"/>
      <c r="CL396" s="5"/>
      <c r="CN396" s="40"/>
      <c r="CO396" s="5"/>
      <c r="CQ396" s="40"/>
      <c r="CR396" s="5"/>
    </row>
    <row r="397">
      <c r="AO397" s="40"/>
      <c r="AP397" s="5"/>
      <c r="AR397" s="40"/>
      <c r="AS397" s="5"/>
      <c r="AU397" s="40"/>
      <c r="AV397" s="5"/>
      <c r="AX397" s="40"/>
      <c r="AY397" s="5"/>
      <c r="BA397" s="40"/>
      <c r="BB397" s="5"/>
      <c r="BD397" s="40"/>
      <c r="BE397" s="5"/>
      <c r="BG397" s="40"/>
      <c r="BH397" s="5"/>
      <c r="BJ397" s="40"/>
      <c r="BK397" s="5"/>
      <c r="BM397" s="40"/>
      <c r="BN397" s="5"/>
      <c r="BP397" s="40"/>
      <c r="BQ397" s="5"/>
      <c r="BS397" s="40"/>
      <c r="BT397" s="5"/>
      <c r="BV397" s="40"/>
      <c r="BW397" s="5"/>
      <c r="BY397" s="40"/>
      <c r="BZ397" s="5"/>
      <c r="CB397" s="40"/>
      <c r="CC397" s="5"/>
      <c r="CE397" s="40"/>
      <c r="CF397" s="5"/>
      <c r="CH397" s="40"/>
      <c r="CI397" s="5"/>
      <c r="CK397" s="40"/>
      <c r="CL397" s="5"/>
      <c r="CN397" s="40"/>
      <c r="CO397" s="5"/>
      <c r="CQ397" s="40"/>
      <c r="CR397" s="5"/>
    </row>
    <row r="398">
      <c r="AO398" s="40"/>
      <c r="AP398" s="5"/>
      <c r="AR398" s="40"/>
      <c r="AS398" s="5"/>
      <c r="AU398" s="40"/>
      <c r="AV398" s="5"/>
      <c r="AX398" s="40"/>
      <c r="AY398" s="5"/>
      <c r="BA398" s="40"/>
      <c r="BB398" s="5"/>
      <c r="BD398" s="40"/>
      <c r="BE398" s="5"/>
      <c r="BG398" s="40"/>
      <c r="BH398" s="5"/>
      <c r="BJ398" s="40"/>
      <c r="BK398" s="5"/>
      <c r="BM398" s="40"/>
      <c r="BN398" s="5"/>
      <c r="BP398" s="40"/>
      <c r="BQ398" s="5"/>
      <c r="BS398" s="40"/>
      <c r="BT398" s="5"/>
      <c r="BV398" s="40"/>
      <c r="BW398" s="5"/>
      <c r="BY398" s="40"/>
      <c r="BZ398" s="5"/>
      <c r="CB398" s="40"/>
      <c r="CC398" s="5"/>
      <c r="CE398" s="40"/>
      <c r="CF398" s="5"/>
      <c r="CH398" s="40"/>
      <c r="CI398" s="5"/>
      <c r="CK398" s="40"/>
      <c r="CL398" s="5"/>
      <c r="CN398" s="40"/>
      <c r="CO398" s="5"/>
      <c r="CQ398" s="40"/>
      <c r="CR398" s="5"/>
    </row>
    <row r="399">
      <c r="AO399" s="40"/>
      <c r="AP399" s="5"/>
      <c r="AR399" s="40"/>
      <c r="AS399" s="5"/>
      <c r="AU399" s="40"/>
      <c r="AV399" s="5"/>
      <c r="AX399" s="40"/>
      <c r="AY399" s="5"/>
      <c r="BA399" s="40"/>
      <c r="BB399" s="5"/>
      <c r="BD399" s="40"/>
      <c r="BE399" s="5"/>
      <c r="BG399" s="40"/>
      <c r="BH399" s="5"/>
      <c r="BJ399" s="40"/>
      <c r="BK399" s="5"/>
      <c r="BM399" s="40"/>
      <c r="BN399" s="5"/>
      <c r="BP399" s="40"/>
      <c r="BQ399" s="5"/>
      <c r="BS399" s="40"/>
      <c r="BT399" s="5"/>
      <c r="BV399" s="40"/>
      <c r="BW399" s="5"/>
      <c r="BY399" s="40"/>
      <c r="BZ399" s="5"/>
      <c r="CB399" s="40"/>
      <c r="CC399" s="5"/>
      <c r="CE399" s="40"/>
      <c r="CF399" s="5"/>
      <c r="CH399" s="40"/>
      <c r="CI399" s="5"/>
      <c r="CK399" s="40"/>
      <c r="CL399" s="5"/>
      <c r="CN399" s="40"/>
      <c r="CO399" s="5"/>
      <c r="CQ399" s="40"/>
      <c r="CR399" s="5"/>
    </row>
    <row r="400">
      <c r="AO400" s="40"/>
      <c r="AP400" s="5"/>
      <c r="AR400" s="40"/>
      <c r="AS400" s="5"/>
      <c r="AU400" s="40"/>
      <c r="AV400" s="5"/>
      <c r="AX400" s="40"/>
      <c r="AY400" s="5"/>
      <c r="BA400" s="40"/>
      <c r="BB400" s="5"/>
      <c r="BD400" s="40"/>
      <c r="BE400" s="5"/>
      <c r="BG400" s="40"/>
      <c r="BH400" s="5"/>
      <c r="BJ400" s="40"/>
      <c r="BK400" s="5"/>
      <c r="BM400" s="40"/>
      <c r="BN400" s="5"/>
      <c r="BP400" s="40"/>
      <c r="BQ400" s="5"/>
      <c r="BS400" s="40"/>
      <c r="BT400" s="5"/>
      <c r="BV400" s="40"/>
      <c r="BW400" s="5"/>
      <c r="BY400" s="40"/>
      <c r="BZ400" s="5"/>
      <c r="CB400" s="40"/>
      <c r="CC400" s="5"/>
      <c r="CE400" s="40"/>
      <c r="CF400" s="5"/>
      <c r="CH400" s="40"/>
      <c r="CI400" s="5"/>
      <c r="CK400" s="40"/>
      <c r="CL400" s="5"/>
      <c r="CN400" s="40"/>
      <c r="CO400" s="5"/>
      <c r="CQ400" s="40"/>
      <c r="CR400" s="5"/>
    </row>
    <row r="401">
      <c r="AO401" s="40"/>
      <c r="AP401" s="5"/>
      <c r="AR401" s="40"/>
      <c r="AS401" s="5"/>
      <c r="AU401" s="40"/>
      <c r="AV401" s="5"/>
      <c r="AX401" s="40"/>
      <c r="AY401" s="5"/>
      <c r="BA401" s="40"/>
      <c r="BB401" s="5"/>
      <c r="BD401" s="40"/>
      <c r="BE401" s="5"/>
      <c r="BG401" s="40"/>
      <c r="BH401" s="5"/>
      <c r="BJ401" s="40"/>
      <c r="BK401" s="5"/>
      <c r="BM401" s="40"/>
      <c r="BN401" s="5"/>
      <c r="BP401" s="40"/>
      <c r="BQ401" s="5"/>
      <c r="BS401" s="40"/>
      <c r="BT401" s="5"/>
      <c r="BV401" s="40"/>
      <c r="BW401" s="5"/>
      <c r="BY401" s="40"/>
      <c r="BZ401" s="5"/>
      <c r="CB401" s="40"/>
      <c r="CC401" s="5"/>
      <c r="CE401" s="40"/>
      <c r="CF401" s="5"/>
      <c r="CH401" s="40"/>
      <c r="CI401" s="5"/>
      <c r="CK401" s="40"/>
      <c r="CL401" s="5"/>
      <c r="CN401" s="40"/>
      <c r="CO401" s="5"/>
      <c r="CQ401" s="40"/>
      <c r="CR401" s="5"/>
    </row>
    <row r="402">
      <c r="AO402" s="40"/>
      <c r="AP402" s="5"/>
      <c r="AR402" s="40"/>
      <c r="AS402" s="5"/>
      <c r="AU402" s="40"/>
      <c r="AV402" s="5"/>
      <c r="AX402" s="40"/>
      <c r="AY402" s="5"/>
      <c r="BA402" s="40"/>
      <c r="BB402" s="5"/>
      <c r="BD402" s="40"/>
      <c r="BE402" s="5"/>
      <c r="BG402" s="40"/>
      <c r="BH402" s="5"/>
      <c r="BJ402" s="40"/>
      <c r="BK402" s="5"/>
      <c r="BM402" s="40"/>
      <c r="BN402" s="5"/>
      <c r="BP402" s="40"/>
      <c r="BQ402" s="5"/>
      <c r="BS402" s="40"/>
      <c r="BT402" s="5"/>
      <c r="BV402" s="40"/>
      <c r="BW402" s="5"/>
      <c r="BY402" s="40"/>
      <c r="BZ402" s="5"/>
      <c r="CB402" s="40"/>
      <c r="CC402" s="5"/>
      <c r="CE402" s="40"/>
      <c r="CF402" s="5"/>
      <c r="CH402" s="40"/>
      <c r="CI402" s="5"/>
      <c r="CK402" s="40"/>
      <c r="CL402" s="5"/>
      <c r="CN402" s="40"/>
      <c r="CO402" s="5"/>
      <c r="CQ402" s="40"/>
      <c r="CR402" s="5"/>
    </row>
    <row r="403">
      <c r="AO403" s="40"/>
      <c r="AP403" s="5"/>
      <c r="AR403" s="40"/>
      <c r="AS403" s="5"/>
      <c r="AU403" s="40"/>
      <c r="AV403" s="5"/>
      <c r="AX403" s="40"/>
      <c r="AY403" s="5"/>
      <c r="BA403" s="40"/>
      <c r="BB403" s="5"/>
      <c r="BD403" s="40"/>
      <c r="BE403" s="5"/>
      <c r="BG403" s="40"/>
      <c r="BH403" s="5"/>
      <c r="BJ403" s="40"/>
      <c r="BK403" s="5"/>
      <c r="BM403" s="40"/>
      <c r="BN403" s="5"/>
      <c r="BP403" s="40"/>
      <c r="BQ403" s="5"/>
      <c r="BS403" s="40"/>
      <c r="BT403" s="5"/>
      <c r="BV403" s="40"/>
      <c r="BW403" s="5"/>
      <c r="BY403" s="40"/>
      <c r="BZ403" s="5"/>
      <c r="CB403" s="40"/>
      <c r="CC403" s="5"/>
      <c r="CE403" s="40"/>
      <c r="CF403" s="5"/>
      <c r="CH403" s="40"/>
      <c r="CI403" s="5"/>
      <c r="CK403" s="40"/>
      <c r="CL403" s="5"/>
      <c r="CN403" s="40"/>
      <c r="CO403" s="5"/>
      <c r="CQ403" s="40"/>
      <c r="CR403" s="5"/>
    </row>
    <row r="404">
      <c r="AO404" s="40"/>
      <c r="AP404" s="5"/>
      <c r="AR404" s="40"/>
      <c r="AS404" s="5"/>
      <c r="AU404" s="40"/>
      <c r="AV404" s="5"/>
      <c r="AX404" s="40"/>
      <c r="AY404" s="5"/>
      <c r="BA404" s="40"/>
      <c r="BB404" s="5"/>
      <c r="BD404" s="40"/>
      <c r="BE404" s="5"/>
      <c r="BG404" s="40"/>
      <c r="BH404" s="5"/>
      <c r="BJ404" s="40"/>
      <c r="BK404" s="5"/>
      <c r="BM404" s="40"/>
      <c r="BN404" s="5"/>
      <c r="BP404" s="40"/>
      <c r="BQ404" s="5"/>
      <c r="BS404" s="40"/>
      <c r="BT404" s="5"/>
      <c r="BV404" s="40"/>
      <c r="BW404" s="5"/>
      <c r="BY404" s="40"/>
      <c r="BZ404" s="5"/>
      <c r="CB404" s="40"/>
      <c r="CC404" s="5"/>
      <c r="CE404" s="40"/>
      <c r="CF404" s="5"/>
      <c r="CH404" s="40"/>
      <c r="CI404" s="5"/>
      <c r="CK404" s="40"/>
      <c r="CL404" s="5"/>
      <c r="CN404" s="40"/>
      <c r="CO404" s="5"/>
      <c r="CQ404" s="40"/>
      <c r="CR404" s="5"/>
    </row>
    <row r="405">
      <c r="AO405" s="40"/>
      <c r="AP405" s="5"/>
      <c r="AR405" s="40"/>
      <c r="AS405" s="5"/>
      <c r="AU405" s="40"/>
      <c r="AV405" s="5"/>
      <c r="AX405" s="40"/>
      <c r="AY405" s="5"/>
      <c r="BA405" s="40"/>
      <c r="BB405" s="5"/>
      <c r="BD405" s="40"/>
      <c r="BE405" s="5"/>
      <c r="BG405" s="40"/>
      <c r="BH405" s="5"/>
      <c r="BJ405" s="40"/>
      <c r="BK405" s="5"/>
      <c r="BM405" s="40"/>
      <c r="BN405" s="5"/>
      <c r="BP405" s="40"/>
      <c r="BQ405" s="5"/>
      <c r="BS405" s="40"/>
      <c r="BT405" s="5"/>
      <c r="BV405" s="40"/>
      <c r="BW405" s="5"/>
      <c r="BY405" s="40"/>
      <c r="BZ405" s="5"/>
      <c r="CB405" s="40"/>
      <c r="CC405" s="5"/>
      <c r="CE405" s="40"/>
      <c r="CF405" s="5"/>
      <c r="CH405" s="40"/>
      <c r="CI405" s="5"/>
      <c r="CK405" s="40"/>
      <c r="CL405" s="5"/>
      <c r="CN405" s="40"/>
      <c r="CO405" s="5"/>
      <c r="CQ405" s="40"/>
      <c r="CR405" s="5"/>
    </row>
    <row r="406">
      <c r="AO406" s="40"/>
      <c r="AP406" s="5"/>
      <c r="AR406" s="40"/>
      <c r="AS406" s="5"/>
      <c r="AU406" s="40"/>
      <c r="AV406" s="5"/>
      <c r="AX406" s="40"/>
      <c r="AY406" s="5"/>
      <c r="BA406" s="40"/>
      <c r="BB406" s="5"/>
      <c r="BD406" s="40"/>
      <c r="BE406" s="5"/>
      <c r="BG406" s="40"/>
      <c r="BH406" s="5"/>
      <c r="BJ406" s="40"/>
      <c r="BK406" s="5"/>
      <c r="BM406" s="40"/>
      <c r="BN406" s="5"/>
      <c r="BP406" s="40"/>
      <c r="BQ406" s="5"/>
      <c r="BS406" s="40"/>
      <c r="BT406" s="5"/>
      <c r="BV406" s="40"/>
      <c r="BW406" s="5"/>
      <c r="BY406" s="40"/>
      <c r="BZ406" s="5"/>
      <c r="CB406" s="40"/>
      <c r="CC406" s="5"/>
      <c r="CE406" s="40"/>
      <c r="CF406" s="5"/>
      <c r="CH406" s="40"/>
      <c r="CI406" s="5"/>
      <c r="CK406" s="40"/>
      <c r="CL406" s="5"/>
      <c r="CN406" s="40"/>
      <c r="CO406" s="5"/>
      <c r="CQ406" s="40"/>
      <c r="CR406" s="5"/>
    </row>
    <row r="407">
      <c r="AO407" s="40"/>
      <c r="AP407" s="5"/>
      <c r="AR407" s="40"/>
      <c r="AS407" s="5"/>
      <c r="AU407" s="40"/>
      <c r="AV407" s="5"/>
      <c r="AX407" s="40"/>
      <c r="AY407" s="5"/>
      <c r="BA407" s="40"/>
      <c r="BB407" s="5"/>
      <c r="BD407" s="40"/>
      <c r="BE407" s="5"/>
      <c r="BG407" s="40"/>
      <c r="BH407" s="5"/>
      <c r="BJ407" s="40"/>
      <c r="BK407" s="5"/>
      <c r="BM407" s="40"/>
      <c r="BN407" s="5"/>
      <c r="BP407" s="40"/>
      <c r="BQ407" s="5"/>
      <c r="BS407" s="40"/>
      <c r="BT407" s="5"/>
      <c r="BV407" s="40"/>
      <c r="BW407" s="5"/>
      <c r="BY407" s="40"/>
      <c r="BZ407" s="5"/>
      <c r="CB407" s="40"/>
      <c r="CC407" s="5"/>
      <c r="CE407" s="40"/>
      <c r="CF407" s="5"/>
      <c r="CH407" s="40"/>
      <c r="CI407" s="5"/>
      <c r="CK407" s="40"/>
      <c r="CL407" s="5"/>
      <c r="CN407" s="40"/>
      <c r="CO407" s="5"/>
      <c r="CQ407" s="40"/>
      <c r="CR407" s="5"/>
    </row>
    <row r="408">
      <c r="AO408" s="40"/>
      <c r="AP408" s="5"/>
      <c r="AR408" s="40"/>
      <c r="AS408" s="5"/>
      <c r="AU408" s="40"/>
      <c r="AV408" s="5"/>
      <c r="AX408" s="40"/>
      <c r="AY408" s="5"/>
      <c r="BA408" s="40"/>
      <c r="BB408" s="5"/>
      <c r="BD408" s="40"/>
      <c r="BE408" s="5"/>
      <c r="BG408" s="40"/>
      <c r="BH408" s="5"/>
      <c r="BJ408" s="40"/>
      <c r="BK408" s="5"/>
      <c r="BM408" s="40"/>
      <c r="BN408" s="5"/>
      <c r="BP408" s="40"/>
      <c r="BQ408" s="5"/>
      <c r="BS408" s="40"/>
      <c r="BT408" s="5"/>
      <c r="BV408" s="40"/>
      <c r="BW408" s="5"/>
      <c r="BY408" s="40"/>
      <c r="BZ408" s="5"/>
      <c r="CB408" s="40"/>
      <c r="CC408" s="5"/>
      <c r="CE408" s="40"/>
      <c r="CF408" s="5"/>
      <c r="CH408" s="40"/>
      <c r="CI408" s="5"/>
      <c r="CK408" s="40"/>
      <c r="CL408" s="5"/>
      <c r="CN408" s="40"/>
      <c r="CO408" s="5"/>
      <c r="CQ408" s="40"/>
      <c r="CR408" s="5"/>
    </row>
    <row r="409">
      <c r="AO409" s="40"/>
      <c r="AP409" s="5"/>
      <c r="AR409" s="40"/>
      <c r="AS409" s="5"/>
      <c r="AU409" s="40"/>
      <c r="AV409" s="5"/>
      <c r="AX409" s="40"/>
      <c r="AY409" s="5"/>
      <c r="BA409" s="40"/>
      <c r="BB409" s="5"/>
      <c r="BD409" s="40"/>
      <c r="BE409" s="5"/>
      <c r="BG409" s="40"/>
      <c r="BH409" s="5"/>
      <c r="BJ409" s="40"/>
      <c r="BK409" s="5"/>
      <c r="BM409" s="40"/>
      <c r="BN409" s="5"/>
      <c r="BP409" s="40"/>
      <c r="BQ409" s="5"/>
      <c r="BS409" s="40"/>
      <c r="BT409" s="5"/>
      <c r="BV409" s="40"/>
      <c r="BW409" s="5"/>
      <c r="BY409" s="40"/>
      <c r="BZ409" s="5"/>
      <c r="CB409" s="40"/>
      <c r="CC409" s="5"/>
      <c r="CE409" s="40"/>
      <c r="CF409" s="5"/>
      <c r="CH409" s="40"/>
      <c r="CI409" s="5"/>
      <c r="CK409" s="40"/>
      <c r="CL409" s="5"/>
      <c r="CN409" s="40"/>
      <c r="CO409" s="5"/>
      <c r="CQ409" s="40"/>
      <c r="CR409" s="5"/>
    </row>
    <row r="410">
      <c r="AO410" s="40"/>
      <c r="AP410" s="5"/>
      <c r="AR410" s="40"/>
      <c r="AS410" s="5"/>
      <c r="AU410" s="40"/>
      <c r="AV410" s="5"/>
      <c r="AX410" s="40"/>
      <c r="AY410" s="5"/>
      <c r="BA410" s="40"/>
      <c r="BB410" s="5"/>
      <c r="BD410" s="40"/>
      <c r="BE410" s="5"/>
      <c r="BG410" s="40"/>
      <c r="BH410" s="5"/>
      <c r="BJ410" s="40"/>
      <c r="BK410" s="5"/>
      <c r="BM410" s="40"/>
      <c r="BN410" s="5"/>
      <c r="BP410" s="40"/>
      <c r="BQ410" s="5"/>
      <c r="BS410" s="40"/>
      <c r="BT410" s="5"/>
      <c r="BV410" s="40"/>
      <c r="BW410" s="5"/>
      <c r="BY410" s="40"/>
      <c r="BZ410" s="5"/>
      <c r="CB410" s="40"/>
      <c r="CC410" s="5"/>
      <c r="CE410" s="40"/>
      <c r="CF410" s="5"/>
      <c r="CH410" s="40"/>
      <c r="CI410" s="5"/>
      <c r="CK410" s="40"/>
      <c r="CL410" s="5"/>
      <c r="CN410" s="40"/>
      <c r="CO410" s="5"/>
      <c r="CQ410" s="40"/>
      <c r="CR410" s="5"/>
    </row>
    <row r="411">
      <c r="AO411" s="40"/>
      <c r="AP411" s="5"/>
      <c r="AR411" s="40"/>
      <c r="AS411" s="5"/>
      <c r="AU411" s="40"/>
      <c r="AV411" s="5"/>
      <c r="AX411" s="40"/>
      <c r="AY411" s="5"/>
      <c r="BA411" s="40"/>
      <c r="BB411" s="5"/>
      <c r="BD411" s="40"/>
      <c r="BE411" s="5"/>
      <c r="BG411" s="40"/>
      <c r="BH411" s="5"/>
      <c r="BJ411" s="40"/>
      <c r="BK411" s="5"/>
      <c r="BM411" s="40"/>
      <c r="BN411" s="5"/>
      <c r="BP411" s="40"/>
      <c r="BQ411" s="5"/>
      <c r="BS411" s="40"/>
      <c r="BT411" s="5"/>
      <c r="BV411" s="40"/>
      <c r="BW411" s="5"/>
      <c r="BY411" s="40"/>
      <c r="BZ411" s="5"/>
      <c r="CB411" s="40"/>
      <c r="CC411" s="5"/>
      <c r="CE411" s="40"/>
      <c r="CF411" s="5"/>
      <c r="CH411" s="40"/>
      <c r="CI411" s="5"/>
      <c r="CK411" s="40"/>
      <c r="CL411" s="5"/>
      <c r="CN411" s="40"/>
      <c r="CO411" s="5"/>
      <c r="CQ411" s="40"/>
      <c r="CR411" s="5"/>
    </row>
    <row r="412">
      <c r="AO412" s="40"/>
      <c r="AP412" s="5"/>
      <c r="AR412" s="40"/>
      <c r="AS412" s="5"/>
      <c r="AU412" s="40"/>
      <c r="AV412" s="5"/>
      <c r="AX412" s="40"/>
      <c r="AY412" s="5"/>
      <c r="BA412" s="40"/>
      <c r="BB412" s="5"/>
      <c r="BD412" s="40"/>
      <c r="BE412" s="5"/>
      <c r="BG412" s="40"/>
      <c r="BH412" s="5"/>
      <c r="BJ412" s="40"/>
      <c r="BK412" s="5"/>
      <c r="BM412" s="40"/>
      <c r="BN412" s="5"/>
      <c r="BP412" s="40"/>
      <c r="BQ412" s="5"/>
      <c r="BS412" s="40"/>
      <c r="BT412" s="5"/>
      <c r="BV412" s="40"/>
      <c r="BW412" s="5"/>
      <c r="BY412" s="40"/>
      <c r="BZ412" s="5"/>
      <c r="CB412" s="40"/>
      <c r="CC412" s="5"/>
      <c r="CE412" s="40"/>
      <c r="CF412" s="5"/>
      <c r="CH412" s="40"/>
      <c r="CI412" s="5"/>
      <c r="CK412" s="40"/>
      <c r="CL412" s="5"/>
      <c r="CN412" s="40"/>
      <c r="CO412" s="5"/>
      <c r="CQ412" s="40"/>
      <c r="CR412" s="5"/>
    </row>
    <row r="413">
      <c r="AO413" s="40"/>
      <c r="AP413" s="5"/>
      <c r="AR413" s="40"/>
      <c r="AS413" s="5"/>
      <c r="AU413" s="40"/>
      <c r="AV413" s="5"/>
      <c r="AX413" s="40"/>
      <c r="AY413" s="5"/>
      <c r="BA413" s="40"/>
      <c r="BB413" s="5"/>
      <c r="BD413" s="40"/>
      <c r="BE413" s="5"/>
      <c r="BG413" s="40"/>
      <c r="BH413" s="5"/>
      <c r="BJ413" s="40"/>
      <c r="BK413" s="5"/>
      <c r="BM413" s="40"/>
      <c r="BN413" s="5"/>
      <c r="BP413" s="40"/>
      <c r="BQ413" s="5"/>
      <c r="BS413" s="40"/>
      <c r="BT413" s="5"/>
      <c r="BV413" s="40"/>
      <c r="BW413" s="5"/>
      <c r="BY413" s="40"/>
      <c r="BZ413" s="5"/>
      <c r="CB413" s="40"/>
      <c r="CC413" s="5"/>
      <c r="CE413" s="40"/>
      <c r="CF413" s="5"/>
      <c r="CH413" s="40"/>
      <c r="CI413" s="5"/>
      <c r="CK413" s="40"/>
      <c r="CL413" s="5"/>
      <c r="CN413" s="40"/>
      <c r="CO413" s="5"/>
      <c r="CQ413" s="40"/>
      <c r="CR413" s="5"/>
    </row>
    <row r="414">
      <c r="AO414" s="40"/>
      <c r="AP414" s="5"/>
      <c r="AR414" s="40"/>
      <c r="AS414" s="5"/>
      <c r="AU414" s="40"/>
      <c r="AV414" s="5"/>
      <c r="AX414" s="40"/>
      <c r="AY414" s="5"/>
      <c r="BA414" s="40"/>
      <c r="BB414" s="5"/>
      <c r="BD414" s="40"/>
      <c r="BE414" s="5"/>
      <c r="BG414" s="40"/>
      <c r="BH414" s="5"/>
      <c r="BJ414" s="40"/>
      <c r="BK414" s="5"/>
      <c r="BM414" s="40"/>
      <c r="BN414" s="5"/>
      <c r="BP414" s="40"/>
      <c r="BQ414" s="5"/>
      <c r="BS414" s="40"/>
      <c r="BT414" s="5"/>
      <c r="BV414" s="40"/>
      <c r="BW414" s="5"/>
      <c r="BY414" s="40"/>
      <c r="BZ414" s="5"/>
      <c r="CB414" s="40"/>
      <c r="CC414" s="5"/>
      <c r="CE414" s="40"/>
      <c r="CF414" s="5"/>
      <c r="CH414" s="40"/>
      <c r="CI414" s="5"/>
      <c r="CK414" s="40"/>
      <c r="CL414" s="5"/>
      <c r="CN414" s="40"/>
      <c r="CO414" s="5"/>
      <c r="CQ414" s="40"/>
      <c r="CR414" s="5"/>
    </row>
    <row r="415">
      <c r="AO415" s="40"/>
      <c r="AP415" s="5"/>
      <c r="AR415" s="40"/>
      <c r="AS415" s="5"/>
      <c r="AU415" s="40"/>
      <c r="AV415" s="5"/>
      <c r="AX415" s="40"/>
      <c r="AY415" s="5"/>
      <c r="BA415" s="40"/>
      <c r="BB415" s="5"/>
      <c r="BD415" s="40"/>
      <c r="BE415" s="5"/>
      <c r="BG415" s="40"/>
      <c r="BH415" s="5"/>
      <c r="BJ415" s="40"/>
      <c r="BK415" s="5"/>
      <c r="BM415" s="40"/>
      <c r="BN415" s="5"/>
      <c r="BP415" s="40"/>
      <c r="BQ415" s="5"/>
      <c r="BS415" s="40"/>
      <c r="BT415" s="5"/>
      <c r="BV415" s="40"/>
      <c r="BW415" s="5"/>
      <c r="BY415" s="40"/>
      <c r="BZ415" s="5"/>
      <c r="CB415" s="40"/>
      <c r="CC415" s="5"/>
      <c r="CE415" s="40"/>
      <c r="CF415" s="5"/>
      <c r="CH415" s="40"/>
      <c r="CI415" s="5"/>
      <c r="CK415" s="40"/>
      <c r="CL415" s="5"/>
      <c r="CN415" s="40"/>
      <c r="CO415" s="5"/>
      <c r="CQ415" s="40"/>
      <c r="CR415" s="5"/>
    </row>
    <row r="416">
      <c r="AO416" s="40"/>
      <c r="AP416" s="5"/>
      <c r="AR416" s="40"/>
      <c r="AS416" s="5"/>
      <c r="AU416" s="40"/>
      <c r="AV416" s="5"/>
      <c r="AX416" s="40"/>
      <c r="AY416" s="5"/>
      <c r="BA416" s="40"/>
      <c r="BB416" s="5"/>
      <c r="BD416" s="40"/>
      <c r="BE416" s="5"/>
      <c r="BG416" s="40"/>
      <c r="BH416" s="5"/>
      <c r="BJ416" s="40"/>
      <c r="BK416" s="5"/>
      <c r="BM416" s="40"/>
      <c r="BN416" s="5"/>
      <c r="BP416" s="40"/>
      <c r="BQ416" s="5"/>
      <c r="BS416" s="40"/>
      <c r="BT416" s="5"/>
      <c r="BV416" s="40"/>
      <c r="BW416" s="5"/>
      <c r="BY416" s="40"/>
      <c r="BZ416" s="5"/>
      <c r="CB416" s="40"/>
      <c r="CC416" s="5"/>
      <c r="CE416" s="40"/>
      <c r="CF416" s="5"/>
      <c r="CH416" s="40"/>
      <c r="CI416" s="5"/>
      <c r="CK416" s="40"/>
      <c r="CL416" s="5"/>
      <c r="CN416" s="40"/>
      <c r="CO416" s="5"/>
      <c r="CQ416" s="40"/>
      <c r="CR416" s="5"/>
    </row>
    <row r="417">
      <c r="AO417" s="40"/>
      <c r="AP417" s="5"/>
      <c r="AR417" s="40"/>
      <c r="AS417" s="5"/>
      <c r="AU417" s="40"/>
      <c r="AV417" s="5"/>
      <c r="AX417" s="40"/>
      <c r="AY417" s="5"/>
      <c r="BA417" s="40"/>
      <c r="BB417" s="5"/>
      <c r="BD417" s="40"/>
      <c r="BE417" s="5"/>
      <c r="BG417" s="40"/>
      <c r="BH417" s="5"/>
      <c r="BJ417" s="40"/>
      <c r="BK417" s="5"/>
      <c r="BM417" s="40"/>
      <c r="BN417" s="5"/>
      <c r="BP417" s="40"/>
      <c r="BQ417" s="5"/>
      <c r="BS417" s="40"/>
      <c r="BT417" s="5"/>
      <c r="BV417" s="40"/>
      <c r="BW417" s="5"/>
      <c r="BY417" s="40"/>
      <c r="BZ417" s="5"/>
      <c r="CB417" s="40"/>
      <c r="CC417" s="5"/>
      <c r="CE417" s="40"/>
      <c r="CF417" s="5"/>
      <c r="CH417" s="40"/>
      <c r="CI417" s="5"/>
      <c r="CK417" s="40"/>
      <c r="CL417" s="5"/>
      <c r="CN417" s="40"/>
      <c r="CO417" s="5"/>
      <c r="CQ417" s="40"/>
      <c r="CR417" s="5"/>
    </row>
    <row r="418">
      <c r="AO418" s="40"/>
      <c r="AP418" s="5"/>
      <c r="AR418" s="40"/>
      <c r="AS418" s="5"/>
      <c r="AU418" s="40"/>
      <c r="AV418" s="5"/>
      <c r="AX418" s="40"/>
      <c r="AY418" s="5"/>
      <c r="BA418" s="40"/>
      <c r="BB418" s="5"/>
      <c r="BD418" s="40"/>
      <c r="BE418" s="5"/>
      <c r="BG418" s="40"/>
      <c r="BH418" s="5"/>
      <c r="BJ418" s="40"/>
      <c r="BK418" s="5"/>
      <c r="BM418" s="40"/>
      <c r="BN418" s="5"/>
      <c r="BP418" s="40"/>
      <c r="BQ418" s="5"/>
      <c r="BS418" s="40"/>
      <c r="BT418" s="5"/>
      <c r="BV418" s="40"/>
      <c r="BW418" s="5"/>
      <c r="BY418" s="40"/>
      <c r="BZ418" s="5"/>
      <c r="CB418" s="40"/>
      <c r="CC418" s="5"/>
      <c r="CE418" s="40"/>
      <c r="CF418" s="5"/>
      <c r="CH418" s="40"/>
      <c r="CI418" s="5"/>
      <c r="CK418" s="40"/>
      <c r="CL418" s="5"/>
      <c r="CN418" s="40"/>
      <c r="CO418" s="5"/>
      <c r="CQ418" s="40"/>
      <c r="CR418" s="5"/>
    </row>
    <row r="419">
      <c r="AO419" s="40"/>
      <c r="AP419" s="5"/>
      <c r="AR419" s="40"/>
      <c r="AS419" s="5"/>
      <c r="AU419" s="40"/>
      <c r="AV419" s="5"/>
      <c r="AX419" s="40"/>
      <c r="AY419" s="5"/>
      <c r="BA419" s="40"/>
      <c r="BB419" s="5"/>
      <c r="BD419" s="40"/>
      <c r="BE419" s="5"/>
      <c r="BG419" s="40"/>
      <c r="BH419" s="5"/>
      <c r="BJ419" s="40"/>
      <c r="BK419" s="5"/>
      <c r="BM419" s="40"/>
      <c r="BN419" s="5"/>
      <c r="BP419" s="40"/>
      <c r="BQ419" s="5"/>
      <c r="BS419" s="40"/>
      <c r="BT419" s="5"/>
      <c r="BV419" s="40"/>
      <c r="BW419" s="5"/>
      <c r="BY419" s="40"/>
      <c r="BZ419" s="5"/>
      <c r="CB419" s="40"/>
      <c r="CC419" s="5"/>
      <c r="CE419" s="40"/>
      <c r="CF419" s="5"/>
      <c r="CH419" s="40"/>
      <c r="CI419" s="5"/>
      <c r="CK419" s="40"/>
      <c r="CL419" s="5"/>
      <c r="CN419" s="40"/>
      <c r="CO419" s="5"/>
      <c r="CQ419" s="40"/>
      <c r="CR419" s="5"/>
    </row>
    <row r="420">
      <c r="AO420" s="40"/>
      <c r="AP420" s="5"/>
      <c r="AR420" s="40"/>
      <c r="AS420" s="5"/>
      <c r="AU420" s="40"/>
      <c r="AV420" s="5"/>
      <c r="AX420" s="40"/>
      <c r="AY420" s="5"/>
      <c r="BA420" s="40"/>
      <c r="BB420" s="5"/>
      <c r="BD420" s="40"/>
      <c r="BE420" s="5"/>
      <c r="BG420" s="40"/>
      <c r="BH420" s="5"/>
      <c r="BJ420" s="40"/>
      <c r="BK420" s="5"/>
      <c r="BM420" s="40"/>
      <c r="BN420" s="5"/>
      <c r="BP420" s="40"/>
      <c r="BQ420" s="5"/>
      <c r="BS420" s="40"/>
      <c r="BT420" s="5"/>
      <c r="BV420" s="40"/>
      <c r="BW420" s="5"/>
      <c r="BY420" s="40"/>
      <c r="BZ420" s="5"/>
      <c r="CB420" s="40"/>
      <c r="CC420" s="5"/>
      <c r="CE420" s="40"/>
      <c r="CF420" s="5"/>
      <c r="CH420" s="40"/>
      <c r="CI420" s="5"/>
      <c r="CK420" s="40"/>
      <c r="CL420" s="5"/>
      <c r="CN420" s="40"/>
      <c r="CO420" s="5"/>
      <c r="CQ420" s="40"/>
      <c r="CR420" s="5"/>
    </row>
    <row r="421">
      <c r="AO421" s="40"/>
      <c r="AP421" s="5"/>
      <c r="AR421" s="40"/>
      <c r="AS421" s="5"/>
      <c r="AU421" s="40"/>
      <c r="AV421" s="5"/>
      <c r="AX421" s="40"/>
      <c r="AY421" s="5"/>
      <c r="BA421" s="40"/>
      <c r="BB421" s="5"/>
      <c r="BD421" s="40"/>
      <c r="BE421" s="5"/>
      <c r="BG421" s="40"/>
      <c r="BH421" s="5"/>
      <c r="BJ421" s="40"/>
      <c r="BK421" s="5"/>
      <c r="BM421" s="40"/>
      <c r="BN421" s="5"/>
      <c r="BP421" s="40"/>
      <c r="BQ421" s="5"/>
      <c r="BS421" s="40"/>
      <c r="BT421" s="5"/>
      <c r="BV421" s="40"/>
      <c r="BW421" s="5"/>
      <c r="BY421" s="40"/>
      <c r="BZ421" s="5"/>
      <c r="CB421" s="40"/>
      <c r="CC421" s="5"/>
      <c r="CE421" s="40"/>
      <c r="CF421" s="5"/>
      <c r="CH421" s="40"/>
      <c r="CI421" s="5"/>
      <c r="CK421" s="40"/>
      <c r="CL421" s="5"/>
      <c r="CN421" s="40"/>
      <c r="CO421" s="5"/>
      <c r="CQ421" s="40"/>
      <c r="CR421" s="5"/>
    </row>
    <row r="422">
      <c r="AO422" s="40"/>
      <c r="AP422" s="5"/>
      <c r="AR422" s="40"/>
      <c r="AS422" s="5"/>
      <c r="AU422" s="40"/>
      <c r="AV422" s="5"/>
      <c r="AX422" s="40"/>
      <c r="AY422" s="5"/>
      <c r="BA422" s="40"/>
      <c r="BB422" s="5"/>
      <c r="BD422" s="40"/>
      <c r="BE422" s="5"/>
      <c r="BG422" s="40"/>
      <c r="BH422" s="5"/>
      <c r="BJ422" s="40"/>
      <c r="BK422" s="5"/>
      <c r="BM422" s="40"/>
      <c r="BN422" s="5"/>
      <c r="BP422" s="40"/>
      <c r="BQ422" s="5"/>
      <c r="BS422" s="40"/>
      <c r="BT422" s="5"/>
      <c r="BV422" s="40"/>
      <c r="BW422" s="5"/>
      <c r="BY422" s="40"/>
      <c r="BZ422" s="5"/>
      <c r="CB422" s="40"/>
      <c r="CC422" s="5"/>
      <c r="CE422" s="40"/>
      <c r="CF422" s="5"/>
      <c r="CH422" s="40"/>
      <c r="CI422" s="5"/>
      <c r="CK422" s="40"/>
      <c r="CL422" s="5"/>
      <c r="CN422" s="40"/>
      <c r="CO422" s="5"/>
      <c r="CQ422" s="40"/>
      <c r="CR422" s="5"/>
    </row>
    <row r="423">
      <c r="AO423" s="40"/>
      <c r="AP423" s="5"/>
      <c r="AR423" s="40"/>
      <c r="AS423" s="5"/>
      <c r="AU423" s="40"/>
      <c r="AV423" s="5"/>
      <c r="AX423" s="40"/>
      <c r="AY423" s="5"/>
      <c r="BA423" s="40"/>
      <c r="BB423" s="5"/>
      <c r="BD423" s="40"/>
      <c r="BE423" s="5"/>
      <c r="BG423" s="40"/>
      <c r="BH423" s="5"/>
      <c r="BJ423" s="40"/>
      <c r="BK423" s="5"/>
      <c r="BM423" s="40"/>
      <c r="BN423" s="5"/>
      <c r="BP423" s="40"/>
      <c r="BQ423" s="5"/>
      <c r="BS423" s="40"/>
      <c r="BT423" s="5"/>
      <c r="BV423" s="40"/>
      <c r="BW423" s="5"/>
      <c r="BY423" s="40"/>
      <c r="BZ423" s="5"/>
      <c r="CB423" s="40"/>
      <c r="CC423" s="5"/>
      <c r="CE423" s="40"/>
      <c r="CF423" s="5"/>
      <c r="CH423" s="40"/>
      <c r="CI423" s="5"/>
      <c r="CK423" s="40"/>
      <c r="CL423" s="5"/>
      <c r="CN423" s="40"/>
      <c r="CO423" s="5"/>
      <c r="CQ423" s="40"/>
      <c r="CR423" s="5"/>
    </row>
    <row r="424">
      <c r="AO424" s="40"/>
      <c r="AP424" s="5"/>
      <c r="AR424" s="40"/>
      <c r="AS424" s="5"/>
      <c r="AU424" s="40"/>
      <c r="AV424" s="5"/>
      <c r="AX424" s="40"/>
      <c r="AY424" s="5"/>
      <c r="BA424" s="40"/>
      <c r="BB424" s="5"/>
      <c r="BD424" s="40"/>
      <c r="BE424" s="5"/>
      <c r="BG424" s="40"/>
      <c r="BH424" s="5"/>
      <c r="BJ424" s="40"/>
      <c r="BK424" s="5"/>
      <c r="BM424" s="40"/>
      <c r="BN424" s="5"/>
      <c r="BP424" s="40"/>
      <c r="BQ424" s="5"/>
      <c r="BS424" s="40"/>
      <c r="BT424" s="5"/>
      <c r="BV424" s="40"/>
      <c r="BW424" s="5"/>
      <c r="BY424" s="40"/>
      <c r="BZ424" s="5"/>
      <c r="CB424" s="40"/>
      <c r="CC424" s="5"/>
      <c r="CE424" s="40"/>
      <c r="CF424" s="5"/>
      <c r="CH424" s="40"/>
      <c r="CI424" s="5"/>
      <c r="CK424" s="40"/>
      <c r="CL424" s="5"/>
      <c r="CN424" s="40"/>
      <c r="CO424" s="5"/>
      <c r="CQ424" s="40"/>
      <c r="CR424" s="5"/>
    </row>
    <row r="425">
      <c r="AO425" s="40"/>
      <c r="AP425" s="5"/>
      <c r="AR425" s="40"/>
      <c r="AS425" s="5"/>
      <c r="AU425" s="40"/>
      <c r="AV425" s="5"/>
      <c r="AX425" s="40"/>
      <c r="AY425" s="5"/>
      <c r="BA425" s="40"/>
      <c r="BB425" s="5"/>
      <c r="BD425" s="40"/>
      <c r="BE425" s="5"/>
      <c r="BG425" s="40"/>
      <c r="BH425" s="5"/>
      <c r="BJ425" s="40"/>
      <c r="BK425" s="5"/>
      <c r="BM425" s="40"/>
      <c r="BN425" s="5"/>
      <c r="BP425" s="40"/>
      <c r="BQ425" s="5"/>
      <c r="BS425" s="40"/>
      <c r="BT425" s="5"/>
      <c r="BV425" s="40"/>
      <c r="BW425" s="5"/>
      <c r="BY425" s="40"/>
      <c r="BZ425" s="5"/>
      <c r="CB425" s="40"/>
      <c r="CC425" s="5"/>
      <c r="CE425" s="40"/>
      <c r="CF425" s="5"/>
      <c r="CH425" s="40"/>
      <c r="CI425" s="5"/>
      <c r="CK425" s="40"/>
      <c r="CL425" s="5"/>
      <c r="CN425" s="40"/>
      <c r="CO425" s="5"/>
      <c r="CQ425" s="40"/>
      <c r="CR425" s="5"/>
    </row>
    <row r="426">
      <c r="AO426" s="40"/>
      <c r="AP426" s="5"/>
      <c r="AR426" s="40"/>
      <c r="AS426" s="5"/>
      <c r="AU426" s="40"/>
      <c r="AV426" s="5"/>
      <c r="AX426" s="40"/>
      <c r="AY426" s="5"/>
      <c r="BA426" s="40"/>
      <c r="BB426" s="5"/>
      <c r="BD426" s="40"/>
      <c r="BE426" s="5"/>
      <c r="BG426" s="40"/>
      <c r="BH426" s="5"/>
      <c r="BJ426" s="40"/>
      <c r="BK426" s="5"/>
      <c r="BM426" s="40"/>
      <c r="BN426" s="5"/>
      <c r="BP426" s="40"/>
      <c r="BQ426" s="5"/>
      <c r="BS426" s="40"/>
      <c r="BT426" s="5"/>
      <c r="BV426" s="40"/>
      <c r="BW426" s="5"/>
      <c r="BY426" s="40"/>
      <c r="BZ426" s="5"/>
      <c r="CB426" s="40"/>
      <c r="CC426" s="5"/>
      <c r="CE426" s="40"/>
      <c r="CF426" s="5"/>
      <c r="CH426" s="40"/>
      <c r="CI426" s="5"/>
      <c r="CK426" s="40"/>
      <c r="CL426" s="5"/>
      <c r="CN426" s="40"/>
      <c r="CO426" s="5"/>
      <c r="CQ426" s="40"/>
      <c r="CR426" s="5"/>
    </row>
    <row r="427">
      <c r="AO427" s="40"/>
      <c r="AP427" s="5"/>
      <c r="AR427" s="40"/>
      <c r="AS427" s="5"/>
      <c r="AU427" s="40"/>
      <c r="AV427" s="5"/>
      <c r="AX427" s="40"/>
      <c r="AY427" s="5"/>
      <c r="BA427" s="40"/>
      <c r="BB427" s="5"/>
      <c r="BD427" s="40"/>
      <c r="BE427" s="5"/>
      <c r="BG427" s="40"/>
      <c r="BH427" s="5"/>
      <c r="BJ427" s="40"/>
      <c r="BK427" s="5"/>
      <c r="BM427" s="40"/>
      <c r="BN427" s="5"/>
      <c r="BP427" s="40"/>
      <c r="BQ427" s="5"/>
      <c r="BS427" s="40"/>
      <c r="BT427" s="5"/>
      <c r="BV427" s="40"/>
      <c r="BW427" s="5"/>
      <c r="BY427" s="40"/>
      <c r="BZ427" s="5"/>
      <c r="CB427" s="40"/>
      <c r="CC427" s="5"/>
      <c r="CE427" s="40"/>
      <c r="CF427" s="5"/>
      <c r="CH427" s="40"/>
      <c r="CI427" s="5"/>
      <c r="CK427" s="40"/>
      <c r="CL427" s="5"/>
      <c r="CN427" s="40"/>
      <c r="CO427" s="5"/>
      <c r="CQ427" s="40"/>
      <c r="CR427" s="5"/>
    </row>
    <row r="428">
      <c r="AO428" s="40"/>
      <c r="AP428" s="5"/>
      <c r="AR428" s="40"/>
      <c r="AS428" s="5"/>
      <c r="AU428" s="40"/>
      <c r="AV428" s="5"/>
      <c r="AX428" s="40"/>
      <c r="AY428" s="5"/>
      <c r="BA428" s="40"/>
      <c r="BB428" s="5"/>
      <c r="BD428" s="40"/>
      <c r="BE428" s="5"/>
      <c r="BG428" s="40"/>
      <c r="BH428" s="5"/>
      <c r="BJ428" s="40"/>
      <c r="BK428" s="5"/>
      <c r="BM428" s="40"/>
      <c r="BN428" s="5"/>
      <c r="BP428" s="40"/>
      <c r="BQ428" s="5"/>
      <c r="BS428" s="40"/>
      <c r="BT428" s="5"/>
      <c r="BV428" s="40"/>
      <c r="BW428" s="5"/>
      <c r="BY428" s="40"/>
      <c r="BZ428" s="5"/>
      <c r="CB428" s="40"/>
      <c r="CC428" s="5"/>
      <c r="CE428" s="40"/>
      <c r="CF428" s="5"/>
      <c r="CH428" s="40"/>
      <c r="CI428" s="5"/>
      <c r="CK428" s="40"/>
      <c r="CL428" s="5"/>
      <c r="CN428" s="40"/>
      <c r="CO428" s="5"/>
      <c r="CQ428" s="40"/>
      <c r="CR428" s="5"/>
    </row>
    <row r="429">
      <c r="AO429" s="40"/>
      <c r="AP429" s="5"/>
      <c r="AR429" s="40"/>
      <c r="AS429" s="5"/>
      <c r="AU429" s="40"/>
      <c r="AV429" s="5"/>
      <c r="AX429" s="40"/>
      <c r="AY429" s="5"/>
      <c r="BA429" s="40"/>
      <c r="BB429" s="5"/>
      <c r="BD429" s="40"/>
      <c r="BE429" s="5"/>
      <c r="BG429" s="40"/>
      <c r="BH429" s="5"/>
      <c r="BJ429" s="40"/>
      <c r="BK429" s="5"/>
      <c r="BM429" s="40"/>
      <c r="BN429" s="5"/>
      <c r="BP429" s="40"/>
      <c r="BQ429" s="5"/>
      <c r="BS429" s="40"/>
      <c r="BT429" s="5"/>
      <c r="BV429" s="40"/>
      <c r="BW429" s="5"/>
      <c r="BY429" s="40"/>
      <c r="BZ429" s="5"/>
      <c r="CB429" s="40"/>
      <c r="CC429" s="5"/>
      <c r="CE429" s="40"/>
      <c r="CF429" s="5"/>
      <c r="CH429" s="40"/>
      <c r="CI429" s="5"/>
      <c r="CK429" s="40"/>
      <c r="CL429" s="5"/>
      <c r="CN429" s="40"/>
      <c r="CO429" s="5"/>
      <c r="CQ429" s="40"/>
      <c r="CR429" s="5"/>
    </row>
    <row r="430">
      <c r="AO430" s="40"/>
      <c r="AP430" s="5"/>
      <c r="AR430" s="40"/>
      <c r="AS430" s="5"/>
      <c r="AU430" s="40"/>
      <c r="AV430" s="5"/>
      <c r="AX430" s="40"/>
      <c r="AY430" s="5"/>
      <c r="BA430" s="40"/>
      <c r="BB430" s="5"/>
      <c r="BD430" s="40"/>
      <c r="BE430" s="5"/>
      <c r="BG430" s="40"/>
      <c r="BH430" s="5"/>
      <c r="BJ430" s="40"/>
      <c r="BK430" s="5"/>
      <c r="BM430" s="40"/>
      <c r="BN430" s="5"/>
      <c r="BP430" s="40"/>
      <c r="BQ430" s="5"/>
      <c r="BS430" s="40"/>
      <c r="BT430" s="5"/>
      <c r="BV430" s="40"/>
      <c r="BW430" s="5"/>
      <c r="BY430" s="40"/>
      <c r="BZ430" s="5"/>
      <c r="CB430" s="40"/>
      <c r="CC430" s="5"/>
      <c r="CE430" s="40"/>
      <c r="CF430" s="5"/>
      <c r="CH430" s="40"/>
      <c r="CI430" s="5"/>
      <c r="CK430" s="40"/>
      <c r="CL430" s="5"/>
      <c r="CN430" s="40"/>
      <c r="CO430" s="5"/>
      <c r="CQ430" s="40"/>
      <c r="CR430" s="5"/>
    </row>
    <row r="431">
      <c r="AO431" s="40"/>
      <c r="AP431" s="5"/>
      <c r="AR431" s="40"/>
      <c r="AS431" s="5"/>
      <c r="AU431" s="40"/>
      <c r="AV431" s="5"/>
      <c r="AX431" s="40"/>
      <c r="AY431" s="5"/>
      <c r="BA431" s="40"/>
      <c r="BB431" s="5"/>
      <c r="BD431" s="40"/>
      <c r="BE431" s="5"/>
      <c r="BG431" s="40"/>
      <c r="BH431" s="5"/>
      <c r="BJ431" s="40"/>
      <c r="BK431" s="5"/>
      <c r="BM431" s="40"/>
      <c r="BN431" s="5"/>
      <c r="BP431" s="40"/>
      <c r="BQ431" s="5"/>
      <c r="BS431" s="40"/>
      <c r="BT431" s="5"/>
      <c r="BV431" s="40"/>
      <c r="BW431" s="5"/>
      <c r="BY431" s="40"/>
      <c r="BZ431" s="5"/>
      <c r="CB431" s="40"/>
      <c r="CC431" s="5"/>
      <c r="CE431" s="40"/>
      <c r="CF431" s="5"/>
      <c r="CH431" s="40"/>
      <c r="CI431" s="5"/>
      <c r="CK431" s="40"/>
      <c r="CL431" s="5"/>
      <c r="CN431" s="40"/>
      <c r="CO431" s="5"/>
      <c r="CQ431" s="40"/>
      <c r="CR431" s="5"/>
    </row>
    <row r="432">
      <c r="AO432" s="40"/>
      <c r="AP432" s="5"/>
      <c r="AR432" s="40"/>
      <c r="AS432" s="5"/>
      <c r="AU432" s="40"/>
      <c r="AV432" s="5"/>
      <c r="AX432" s="40"/>
      <c r="AY432" s="5"/>
      <c r="BA432" s="40"/>
      <c r="BB432" s="5"/>
      <c r="BD432" s="40"/>
      <c r="BE432" s="5"/>
      <c r="BG432" s="40"/>
      <c r="BH432" s="5"/>
      <c r="BJ432" s="40"/>
      <c r="BK432" s="5"/>
      <c r="BM432" s="40"/>
      <c r="BN432" s="5"/>
      <c r="BP432" s="40"/>
      <c r="BQ432" s="5"/>
      <c r="BS432" s="40"/>
      <c r="BT432" s="5"/>
      <c r="BV432" s="40"/>
      <c r="BW432" s="5"/>
      <c r="BY432" s="40"/>
      <c r="BZ432" s="5"/>
      <c r="CB432" s="40"/>
      <c r="CC432" s="5"/>
      <c r="CE432" s="40"/>
      <c r="CF432" s="5"/>
      <c r="CH432" s="40"/>
      <c r="CI432" s="5"/>
      <c r="CK432" s="40"/>
      <c r="CL432" s="5"/>
      <c r="CN432" s="40"/>
      <c r="CO432" s="5"/>
      <c r="CQ432" s="40"/>
      <c r="CR432" s="5"/>
    </row>
    <row r="433">
      <c r="AO433" s="40"/>
      <c r="AP433" s="5"/>
      <c r="AR433" s="40"/>
      <c r="AS433" s="5"/>
      <c r="AU433" s="40"/>
      <c r="AV433" s="5"/>
      <c r="AX433" s="40"/>
      <c r="AY433" s="5"/>
      <c r="BA433" s="40"/>
      <c r="BB433" s="5"/>
      <c r="BD433" s="40"/>
      <c r="BE433" s="5"/>
      <c r="BG433" s="40"/>
      <c r="BH433" s="5"/>
      <c r="BJ433" s="40"/>
      <c r="BK433" s="5"/>
      <c r="BM433" s="40"/>
      <c r="BN433" s="5"/>
      <c r="BP433" s="40"/>
      <c r="BQ433" s="5"/>
      <c r="BS433" s="40"/>
      <c r="BT433" s="5"/>
      <c r="BV433" s="40"/>
      <c r="BW433" s="5"/>
      <c r="BY433" s="40"/>
      <c r="BZ433" s="5"/>
      <c r="CB433" s="40"/>
      <c r="CC433" s="5"/>
      <c r="CE433" s="40"/>
      <c r="CF433" s="5"/>
      <c r="CH433" s="40"/>
      <c r="CI433" s="5"/>
      <c r="CK433" s="40"/>
      <c r="CL433" s="5"/>
      <c r="CN433" s="40"/>
      <c r="CO433" s="5"/>
      <c r="CQ433" s="40"/>
      <c r="CR433" s="5"/>
    </row>
    <row r="434">
      <c r="AO434" s="40"/>
      <c r="AP434" s="5"/>
      <c r="AR434" s="40"/>
      <c r="AS434" s="5"/>
      <c r="AU434" s="40"/>
      <c r="AV434" s="5"/>
      <c r="AX434" s="40"/>
      <c r="AY434" s="5"/>
      <c r="BA434" s="40"/>
      <c r="BB434" s="5"/>
      <c r="BD434" s="40"/>
      <c r="BE434" s="5"/>
      <c r="BG434" s="40"/>
      <c r="BH434" s="5"/>
      <c r="BJ434" s="40"/>
      <c r="BK434" s="5"/>
      <c r="BM434" s="40"/>
      <c r="BN434" s="5"/>
      <c r="BP434" s="40"/>
      <c r="BQ434" s="5"/>
      <c r="BS434" s="40"/>
      <c r="BT434" s="5"/>
      <c r="BV434" s="40"/>
      <c r="BW434" s="5"/>
      <c r="BY434" s="40"/>
      <c r="BZ434" s="5"/>
      <c r="CB434" s="40"/>
      <c r="CC434" s="5"/>
      <c r="CE434" s="40"/>
      <c r="CF434" s="5"/>
      <c r="CH434" s="40"/>
      <c r="CI434" s="5"/>
      <c r="CK434" s="40"/>
      <c r="CL434" s="5"/>
      <c r="CN434" s="40"/>
      <c r="CO434" s="5"/>
      <c r="CQ434" s="40"/>
      <c r="CR434" s="5"/>
    </row>
    <row r="435">
      <c r="AO435" s="40"/>
      <c r="AP435" s="5"/>
      <c r="AR435" s="40"/>
      <c r="AS435" s="5"/>
      <c r="AU435" s="40"/>
      <c r="AV435" s="5"/>
      <c r="AX435" s="40"/>
      <c r="AY435" s="5"/>
      <c r="BA435" s="40"/>
      <c r="BB435" s="5"/>
      <c r="BD435" s="40"/>
      <c r="BE435" s="5"/>
      <c r="BG435" s="40"/>
      <c r="BH435" s="5"/>
      <c r="BJ435" s="40"/>
      <c r="BK435" s="5"/>
      <c r="BM435" s="40"/>
      <c r="BN435" s="5"/>
      <c r="BP435" s="40"/>
      <c r="BQ435" s="5"/>
      <c r="BS435" s="40"/>
      <c r="BT435" s="5"/>
      <c r="BV435" s="40"/>
      <c r="BW435" s="5"/>
      <c r="BY435" s="40"/>
      <c r="BZ435" s="5"/>
      <c r="CB435" s="40"/>
      <c r="CC435" s="5"/>
      <c r="CE435" s="40"/>
      <c r="CF435" s="5"/>
      <c r="CH435" s="40"/>
      <c r="CI435" s="5"/>
      <c r="CK435" s="40"/>
      <c r="CL435" s="5"/>
      <c r="CN435" s="40"/>
      <c r="CO435" s="5"/>
      <c r="CQ435" s="40"/>
      <c r="CR435" s="5"/>
    </row>
    <row r="436">
      <c r="AO436" s="40"/>
      <c r="AP436" s="5"/>
      <c r="AR436" s="40"/>
      <c r="AS436" s="5"/>
      <c r="AU436" s="40"/>
      <c r="AV436" s="5"/>
      <c r="AX436" s="40"/>
      <c r="AY436" s="5"/>
      <c r="BA436" s="40"/>
      <c r="BB436" s="5"/>
      <c r="BD436" s="40"/>
      <c r="BE436" s="5"/>
      <c r="BG436" s="40"/>
      <c r="BH436" s="5"/>
      <c r="BJ436" s="40"/>
      <c r="BK436" s="5"/>
      <c r="BM436" s="40"/>
      <c r="BN436" s="5"/>
      <c r="BP436" s="40"/>
      <c r="BQ436" s="5"/>
      <c r="BS436" s="40"/>
      <c r="BT436" s="5"/>
      <c r="BV436" s="40"/>
      <c r="BW436" s="5"/>
      <c r="BY436" s="40"/>
      <c r="BZ436" s="5"/>
      <c r="CB436" s="40"/>
      <c r="CC436" s="5"/>
      <c r="CE436" s="40"/>
      <c r="CF436" s="5"/>
      <c r="CH436" s="40"/>
      <c r="CI436" s="5"/>
      <c r="CK436" s="40"/>
      <c r="CL436" s="5"/>
      <c r="CN436" s="40"/>
      <c r="CO436" s="5"/>
      <c r="CQ436" s="40"/>
      <c r="CR436" s="5"/>
    </row>
    <row r="437">
      <c r="AO437" s="40"/>
      <c r="AP437" s="5"/>
      <c r="AR437" s="40"/>
      <c r="AS437" s="5"/>
      <c r="AU437" s="40"/>
      <c r="AV437" s="5"/>
      <c r="AX437" s="40"/>
      <c r="AY437" s="5"/>
      <c r="BA437" s="40"/>
      <c r="BB437" s="5"/>
      <c r="BD437" s="40"/>
      <c r="BE437" s="5"/>
      <c r="BG437" s="40"/>
      <c r="BH437" s="5"/>
      <c r="BJ437" s="40"/>
      <c r="BK437" s="5"/>
      <c r="BM437" s="40"/>
      <c r="BN437" s="5"/>
      <c r="BP437" s="40"/>
      <c r="BQ437" s="5"/>
      <c r="BS437" s="40"/>
      <c r="BT437" s="5"/>
      <c r="BV437" s="40"/>
      <c r="BW437" s="5"/>
      <c r="BY437" s="40"/>
      <c r="BZ437" s="5"/>
      <c r="CB437" s="40"/>
      <c r="CC437" s="5"/>
      <c r="CE437" s="40"/>
      <c r="CF437" s="5"/>
      <c r="CH437" s="40"/>
      <c r="CI437" s="5"/>
      <c r="CK437" s="40"/>
      <c r="CL437" s="5"/>
      <c r="CN437" s="40"/>
      <c r="CO437" s="5"/>
      <c r="CQ437" s="40"/>
      <c r="CR437" s="5"/>
    </row>
    <row r="438">
      <c r="AO438" s="40"/>
      <c r="AP438" s="5"/>
      <c r="AR438" s="40"/>
      <c r="AS438" s="5"/>
      <c r="AU438" s="40"/>
      <c r="AV438" s="5"/>
      <c r="AX438" s="40"/>
      <c r="AY438" s="5"/>
      <c r="BA438" s="40"/>
      <c r="BB438" s="5"/>
      <c r="BD438" s="40"/>
      <c r="BE438" s="5"/>
      <c r="BG438" s="40"/>
      <c r="BH438" s="5"/>
      <c r="BJ438" s="40"/>
      <c r="BK438" s="5"/>
      <c r="BM438" s="40"/>
      <c r="BN438" s="5"/>
      <c r="BP438" s="40"/>
      <c r="BQ438" s="5"/>
      <c r="BS438" s="40"/>
      <c r="BT438" s="5"/>
      <c r="BV438" s="40"/>
      <c r="BW438" s="5"/>
      <c r="BY438" s="40"/>
      <c r="BZ438" s="5"/>
      <c r="CB438" s="40"/>
      <c r="CC438" s="5"/>
      <c r="CE438" s="40"/>
      <c r="CF438" s="5"/>
      <c r="CH438" s="40"/>
      <c r="CI438" s="5"/>
      <c r="CK438" s="40"/>
      <c r="CL438" s="5"/>
      <c r="CN438" s="40"/>
      <c r="CO438" s="5"/>
      <c r="CQ438" s="40"/>
      <c r="CR438" s="5"/>
    </row>
    <row r="439">
      <c r="AO439" s="40"/>
      <c r="AP439" s="5"/>
      <c r="AR439" s="40"/>
      <c r="AS439" s="5"/>
      <c r="AU439" s="40"/>
      <c r="AV439" s="5"/>
      <c r="AX439" s="40"/>
      <c r="AY439" s="5"/>
      <c r="BA439" s="40"/>
      <c r="BB439" s="5"/>
      <c r="BD439" s="40"/>
      <c r="BE439" s="5"/>
      <c r="BG439" s="40"/>
      <c r="BH439" s="5"/>
      <c r="BJ439" s="40"/>
      <c r="BK439" s="5"/>
      <c r="BM439" s="40"/>
      <c r="BN439" s="5"/>
      <c r="BP439" s="40"/>
      <c r="BQ439" s="5"/>
      <c r="BS439" s="40"/>
      <c r="BT439" s="5"/>
      <c r="BV439" s="40"/>
      <c r="BW439" s="5"/>
      <c r="BY439" s="40"/>
      <c r="BZ439" s="5"/>
      <c r="CB439" s="40"/>
      <c r="CC439" s="5"/>
      <c r="CE439" s="40"/>
      <c r="CF439" s="5"/>
      <c r="CH439" s="40"/>
      <c r="CI439" s="5"/>
      <c r="CK439" s="40"/>
      <c r="CL439" s="5"/>
      <c r="CN439" s="40"/>
      <c r="CO439" s="5"/>
      <c r="CQ439" s="40"/>
      <c r="CR439" s="5"/>
    </row>
    <row r="440">
      <c r="AO440" s="40"/>
      <c r="AP440" s="5"/>
      <c r="AR440" s="40"/>
      <c r="AS440" s="5"/>
      <c r="AU440" s="40"/>
      <c r="AV440" s="5"/>
      <c r="AX440" s="40"/>
      <c r="AY440" s="5"/>
      <c r="BA440" s="40"/>
      <c r="BB440" s="5"/>
      <c r="BD440" s="40"/>
      <c r="BE440" s="5"/>
      <c r="BG440" s="40"/>
      <c r="BH440" s="5"/>
      <c r="BJ440" s="40"/>
      <c r="BK440" s="5"/>
      <c r="BM440" s="40"/>
      <c r="BN440" s="5"/>
      <c r="BP440" s="40"/>
      <c r="BQ440" s="5"/>
      <c r="BS440" s="40"/>
      <c r="BT440" s="5"/>
      <c r="BV440" s="40"/>
      <c r="BW440" s="5"/>
      <c r="BY440" s="40"/>
      <c r="BZ440" s="5"/>
      <c r="CB440" s="40"/>
      <c r="CC440" s="5"/>
      <c r="CE440" s="40"/>
      <c r="CF440" s="5"/>
      <c r="CH440" s="40"/>
      <c r="CI440" s="5"/>
      <c r="CK440" s="40"/>
      <c r="CL440" s="5"/>
      <c r="CN440" s="40"/>
      <c r="CO440" s="5"/>
      <c r="CQ440" s="40"/>
      <c r="CR440" s="5"/>
    </row>
    <row r="441">
      <c r="AO441" s="40"/>
      <c r="AP441" s="5"/>
      <c r="AR441" s="40"/>
      <c r="AS441" s="5"/>
      <c r="AU441" s="40"/>
      <c r="AV441" s="5"/>
      <c r="AX441" s="40"/>
      <c r="AY441" s="5"/>
      <c r="BA441" s="40"/>
      <c r="BB441" s="5"/>
      <c r="BD441" s="40"/>
      <c r="BE441" s="5"/>
      <c r="BG441" s="40"/>
      <c r="BH441" s="5"/>
      <c r="BJ441" s="40"/>
      <c r="BK441" s="5"/>
      <c r="BM441" s="40"/>
      <c r="BN441" s="5"/>
      <c r="BP441" s="40"/>
      <c r="BQ441" s="5"/>
      <c r="BS441" s="40"/>
      <c r="BT441" s="5"/>
      <c r="BV441" s="40"/>
      <c r="BW441" s="5"/>
      <c r="BY441" s="40"/>
      <c r="BZ441" s="5"/>
      <c r="CB441" s="40"/>
      <c r="CC441" s="5"/>
      <c r="CE441" s="40"/>
      <c r="CF441" s="5"/>
      <c r="CH441" s="40"/>
      <c r="CI441" s="5"/>
      <c r="CK441" s="40"/>
      <c r="CL441" s="5"/>
      <c r="CN441" s="40"/>
      <c r="CO441" s="5"/>
      <c r="CQ441" s="40"/>
      <c r="CR441" s="5"/>
    </row>
    <row r="442">
      <c r="AO442" s="40"/>
      <c r="AP442" s="5"/>
      <c r="AR442" s="40"/>
      <c r="AS442" s="5"/>
      <c r="AU442" s="40"/>
      <c r="AV442" s="5"/>
      <c r="AX442" s="40"/>
      <c r="AY442" s="5"/>
      <c r="BA442" s="40"/>
      <c r="BB442" s="5"/>
      <c r="BD442" s="40"/>
      <c r="BE442" s="5"/>
      <c r="BG442" s="40"/>
      <c r="BH442" s="5"/>
      <c r="BJ442" s="40"/>
      <c r="BK442" s="5"/>
      <c r="BM442" s="40"/>
      <c r="BN442" s="5"/>
      <c r="BP442" s="40"/>
      <c r="BQ442" s="5"/>
      <c r="BS442" s="40"/>
      <c r="BT442" s="5"/>
      <c r="BV442" s="40"/>
      <c r="BW442" s="5"/>
      <c r="BY442" s="40"/>
      <c r="BZ442" s="5"/>
      <c r="CB442" s="40"/>
      <c r="CC442" s="5"/>
      <c r="CE442" s="40"/>
      <c r="CF442" s="5"/>
      <c r="CH442" s="40"/>
      <c r="CI442" s="5"/>
      <c r="CK442" s="40"/>
      <c r="CL442" s="5"/>
      <c r="CN442" s="40"/>
      <c r="CO442" s="5"/>
      <c r="CQ442" s="40"/>
      <c r="CR442" s="5"/>
    </row>
    <row r="443">
      <c r="AO443" s="40"/>
      <c r="AP443" s="5"/>
      <c r="AR443" s="40"/>
      <c r="AS443" s="5"/>
      <c r="AU443" s="40"/>
      <c r="AV443" s="5"/>
      <c r="AX443" s="40"/>
      <c r="AY443" s="5"/>
      <c r="BA443" s="40"/>
      <c r="BB443" s="5"/>
      <c r="BD443" s="40"/>
      <c r="BE443" s="5"/>
      <c r="BG443" s="40"/>
      <c r="BH443" s="5"/>
      <c r="BJ443" s="40"/>
      <c r="BK443" s="5"/>
      <c r="BM443" s="40"/>
      <c r="BN443" s="5"/>
      <c r="BP443" s="40"/>
      <c r="BQ443" s="5"/>
      <c r="BS443" s="40"/>
      <c r="BT443" s="5"/>
      <c r="BV443" s="40"/>
      <c r="BW443" s="5"/>
      <c r="BY443" s="40"/>
      <c r="BZ443" s="5"/>
      <c r="CB443" s="40"/>
      <c r="CC443" s="5"/>
      <c r="CE443" s="40"/>
      <c r="CF443" s="5"/>
      <c r="CH443" s="40"/>
      <c r="CI443" s="5"/>
      <c r="CK443" s="40"/>
      <c r="CL443" s="5"/>
      <c r="CN443" s="40"/>
      <c r="CO443" s="5"/>
      <c r="CQ443" s="40"/>
      <c r="CR443" s="5"/>
    </row>
    <row r="444">
      <c r="AO444" s="40"/>
      <c r="AP444" s="5"/>
      <c r="AR444" s="40"/>
      <c r="AS444" s="5"/>
      <c r="AU444" s="40"/>
      <c r="AV444" s="5"/>
      <c r="AX444" s="40"/>
      <c r="AY444" s="5"/>
      <c r="BA444" s="40"/>
      <c r="BB444" s="5"/>
      <c r="BD444" s="40"/>
      <c r="BE444" s="5"/>
      <c r="BG444" s="40"/>
      <c r="BH444" s="5"/>
      <c r="BJ444" s="40"/>
      <c r="BK444" s="5"/>
      <c r="BM444" s="40"/>
      <c r="BN444" s="5"/>
      <c r="BP444" s="40"/>
      <c r="BQ444" s="5"/>
      <c r="BS444" s="40"/>
      <c r="BT444" s="5"/>
      <c r="BV444" s="40"/>
      <c r="BW444" s="5"/>
      <c r="BY444" s="40"/>
      <c r="BZ444" s="5"/>
      <c r="CB444" s="40"/>
      <c r="CC444" s="5"/>
      <c r="CE444" s="40"/>
      <c r="CF444" s="5"/>
      <c r="CH444" s="40"/>
      <c r="CI444" s="5"/>
      <c r="CK444" s="40"/>
      <c r="CL444" s="5"/>
      <c r="CN444" s="40"/>
      <c r="CO444" s="5"/>
      <c r="CQ444" s="40"/>
      <c r="CR444" s="5"/>
    </row>
    <row r="445">
      <c r="AO445" s="40"/>
      <c r="AP445" s="5"/>
      <c r="AR445" s="40"/>
      <c r="AS445" s="5"/>
      <c r="AU445" s="40"/>
      <c r="AV445" s="5"/>
      <c r="AX445" s="40"/>
      <c r="AY445" s="5"/>
      <c r="BA445" s="40"/>
      <c r="BB445" s="5"/>
      <c r="BD445" s="40"/>
      <c r="BE445" s="5"/>
      <c r="BG445" s="40"/>
      <c r="BH445" s="5"/>
      <c r="BJ445" s="40"/>
      <c r="BK445" s="5"/>
      <c r="BM445" s="40"/>
      <c r="BN445" s="5"/>
      <c r="BP445" s="40"/>
      <c r="BQ445" s="5"/>
      <c r="BS445" s="40"/>
      <c r="BT445" s="5"/>
      <c r="BV445" s="40"/>
      <c r="BW445" s="5"/>
      <c r="BY445" s="40"/>
      <c r="BZ445" s="5"/>
      <c r="CB445" s="40"/>
      <c r="CC445" s="5"/>
      <c r="CE445" s="40"/>
      <c r="CF445" s="5"/>
      <c r="CH445" s="40"/>
      <c r="CI445" s="5"/>
      <c r="CK445" s="40"/>
      <c r="CL445" s="5"/>
      <c r="CN445" s="40"/>
      <c r="CO445" s="5"/>
      <c r="CQ445" s="40"/>
      <c r="CR445" s="5"/>
    </row>
    <row r="446">
      <c r="AO446" s="40"/>
      <c r="AP446" s="5"/>
      <c r="AR446" s="40"/>
      <c r="AS446" s="5"/>
      <c r="AU446" s="40"/>
      <c r="AV446" s="5"/>
      <c r="AX446" s="40"/>
      <c r="AY446" s="5"/>
      <c r="BA446" s="40"/>
      <c r="BB446" s="5"/>
      <c r="BD446" s="40"/>
      <c r="BE446" s="5"/>
      <c r="BG446" s="40"/>
      <c r="BH446" s="5"/>
      <c r="BJ446" s="40"/>
      <c r="BK446" s="5"/>
      <c r="BM446" s="40"/>
      <c r="BN446" s="5"/>
      <c r="BP446" s="40"/>
      <c r="BQ446" s="5"/>
      <c r="BS446" s="40"/>
      <c r="BT446" s="5"/>
      <c r="BV446" s="40"/>
      <c r="BW446" s="5"/>
      <c r="BY446" s="40"/>
      <c r="BZ446" s="5"/>
      <c r="CB446" s="40"/>
      <c r="CC446" s="5"/>
      <c r="CE446" s="40"/>
      <c r="CF446" s="5"/>
      <c r="CH446" s="40"/>
      <c r="CI446" s="5"/>
      <c r="CK446" s="40"/>
      <c r="CL446" s="5"/>
      <c r="CN446" s="40"/>
      <c r="CO446" s="5"/>
      <c r="CQ446" s="40"/>
      <c r="CR446" s="5"/>
    </row>
    <row r="447">
      <c r="AO447" s="40"/>
      <c r="AP447" s="5"/>
      <c r="AR447" s="40"/>
      <c r="AS447" s="5"/>
      <c r="AU447" s="40"/>
      <c r="AV447" s="5"/>
      <c r="AX447" s="40"/>
      <c r="AY447" s="5"/>
      <c r="BA447" s="40"/>
      <c r="BB447" s="5"/>
      <c r="BD447" s="40"/>
      <c r="BE447" s="5"/>
      <c r="BG447" s="40"/>
      <c r="BH447" s="5"/>
      <c r="BJ447" s="40"/>
      <c r="BK447" s="5"/>
      <c r="BM447" s="40"/>
      <c r="BN447" s="5"/>
      <c r="BP447" s="40"/>
      <c r="BQ447" s="5"/>
      <c r="BS447" s="40"/>
      <c r="BT447" s="5"/>
      <c r="BV447" s="40"/>
      <c r="BW447" s="5"/>
      <c r="BY447" s="40"/>
      <c r="BZ447" s="5"/>
      <c r="CB447" s="40"/>
      <c r="CC447" s="5"/>
      <c r="CE447" s="40"/>
      <c r="CF447" s="5"/>
      <c r="CH447" s="40"/>
      <c r="CI447" s="5"/>
      <c r="CK447" s="40"/>
      <c r="CL447" s="5"/>
      <c r="CN447" s="40"/>
      <c r="CO447" s="5"/>
      <c r="CQ447" s="40"/>
      <c r="CR447" s="5"/>
    </row>
    <row r="448">
      <c r="AO448" s="40"/>
      <c r="AP448" s="5"/>
      <c r="AR448" s="40"/>
      <c r="AS448" s="5"/>
      <c r="AU448" s="40"/>
      <c r="AV448" s="5"/>
      <c r="AX448" s="40"/>
      <c r="AY448" s="5"/>
      <c r="BA448" s="40"/>
      <c r="BB448" s="5"/>
      <c r="BD448" s="40"/>
      <c r="BE448" s="5"/>
      <c r="BG448" s="40"/>
      <c r="BH448" s="5"/>
      <c r="BJ448" s="40"/>
      <c r="BK448" s="5"/>
      <c r="BM448" s="40"/>
      <c r="BN448" s="5"/>
      <c r="BP448" s="40"/>
      <c r="BQ448" s="5"/>
      <c r="BS448" s="40"/>
      <c r="BT448" s="5"/>
      <c r="BV448" s="40"/>
      <c r="BW448" s="5"/>
      <c r="BY448" s="40"/>
      <c r="BZ448" s="5"/>
      <c r="CB448" s="40"/>
      <c r="CC448" s="5"/>
      <c r="CE448" s="40"/>
      <c r="CF448" s="5"/>
      <c r="CH448" s="40"/>
      <c r="CI448" s="5"/>
      <c r="CK448" s="40"/>
      <c r="CL448" s="5"/>
      <c r="CN448" s="40"/>
      <c r="CO448" s="5"/>
      <c r="CQ448" s="40"/>
      <c r="CR448" s="5"/>
    </row>
    <row r="449">
      <c r="AO449" s="40"/>
      <c r="AP449" s="5"/>
      <c r="AR449" s="40"/>
      <c r="AS449" s="5"/>
      <c r="AU449" s="40"/>
      <c r="AV449" s="5"/>
      <c r="AX449" s="40"/>
      <c r="AY449" s="5"/>
      <c r="BA449" s="40"/>
      <c r="BB449" s="5"/>
      <c r="BD449" s="40"/>
      <c r="BE449" s="5"/>
      <c r="BG449" s="40"/>
      <c r="BH449" s="5"/>
      <c r="BJ449" s="40"/>
      <c r="BK449" s="5"/>
      <c r="BM449" s="40"/>
      <c r="BN449" s="5"/>
      <c r="BP449" s="40"/>
      <c r="BQ449" s="5"/>
      <c r="BS449" s="40"/>
      <c r="BT449" s="5"/>
      <c r="BV449" s="40"/>
      <c r="BW449" s="5"/>
      <c r="BY449" s="40"/>
      <c r="BZ449" s="5"/>
      <c r="CB449" s="40"/>
      <c r="CC449" s="5"/>
      <c r="CE449" s="40"/>
      <c r="CF449" s="5"/>
      <c r="CH449" s="40"/>
      <c r="CI449" s="5"/>
      <c r="CK449" s="40"/>
      <c r="CL449" s="5"/>
      <c r="CN449" s="40"/>
      <c r="CO449" s="5"/>
      <c r="CQ449" s="40"/>
      <c r="CR449" s="5"/>
    </row>
    <row r="450">
      <c r="AO450" s="40"/>
      <c r="AP450" s="5"/>
      <c r="AR450" s="40"/>
      <c r="AS450" s="5"/>
      <c r="AU450" s="40"/>
      <c r="AV450" s="5"/>
      <c r="AX450" s="40"/>
      <c r="AY450" s="5"/>
      <c r="BA450" s="40"/>
      <c r="BB450" s="5"/>
      <c r="BD450" s="40"/>
      <c r="BE450" s="5"/>
      <c r="BG450" s="40"/>
      <c r="BH450" s="5"/>
      <c r="BJ450" s="40"/>
      <c r="BK450" s="5"/>
      <c r="BM450" s="40"/>
      <c r="BN450" s="5"/>
      <c r="BP450" s="40"/>
      <c r="BQ450" s="5"/>
      <c r="BS450" s="40"/>
      <c r="BT450" s="5"/>
      <c r="BV450" s="40"/>
      <c r="BW450" s="5"/>
      <c r="BY450" s="40"/>
      <c r="BZ450" s="5"/>
      <c r="CB450" s="40"/>
      <c r="CC450" s="5"/>
      <c r="CE450" s="40"/>
      <c r="CF450" s="5"/>
      <c r="CH450" s="40"/>
      <c r="CI450" s="5"/>
      <c r="CK450" s="40"/>
      <c r="CL450" s="5"/>
      <c r="CN450" s="40"/>
      <c r="CO450" s="5"/>
      <c r="CQ450" s="40"/>
      <c r="CR450" s="5"/>
    </row>
    <row r="451">
      <c r="AO451" s="40"/>
      <c r="AP451" s="5"/>
      <c r="AR451" s="40"/>
      <c r="AS451" s="5"/>
      <c r="AU451" s="40"/>
      <c r="AV451" s="5"/>
      <c r="AX451" s="40"/>
      <c r="AY451" s="5"/>
      <c r="BA451" s="40"/>
      <c r="BB451" s="5"/>
      <c r="BD451" s="40"/>
      <c r="BE451" s="5"/>
      <c r="BG451" s="40"/>
      <c r="BH451" s="5"/>
      <c r="BJ451" s="40"/>
      <c r="BK451" s="5"/>
      <c r="BM451" s="40"/>
      <c r="BN451" s="5"/>
      <c r="BP451" s="40"/>
      <c r="BQ451" s="5"/>
      <c r="BS451" s="40"/>
      <c r="BT451" s="5"/>
      <c r="BV451" s="40"/>
      <c r="BW451" s="5"/>
      <c r="BY451" s="40"/>
      <c r="BZ451" s="5"/>
      <c r="CB451" s="40"/>
      <c r="CC451" s="5"/>
      <c r="CE451" s="40"/>
      <c r="CF451" s="5"/>
      <c r="CH451" s="40"/>
      <c r="CI451" s="5"/>
      <c r="CK451" s="40"/>
      <c r="CL451" s="5"/>
      <c r="CN451" s="40"/>
      <c r="CO451" s="5"/>
      <c r="CQ451" s="40"/>
      <c r="CR451" s="5"/>
    </row>
    <row r="452">
      <c r="AO452" s="40"/>
      <c r="AP452" s="5"/>
      <c r="AR452" s="40"/>
      <c r="AS452" s="5"/>
      <c r="AU452" s="40"/>
      <c r="AV452" s="5"/>
      <c r="AX452" s="40"/>
      <c r="AY452" s="5"/>
      <c r="BA452" s="40"/>
      <c r="BB452" s="5"/>
      <c r="BD452" s="40"/>
      <c r="BE452" s="5"/>
      <c r="BG452" s="40"/>
      <c r="BH452" s="5"/>
      <c r="BJ452" s="40"/>
      <c r="BK452" s="5"/>
      <c r="BM452" s="40"/>
      <c r="BN452" s="5"/>
      <c r="BP452" s="40"/>
      <c r="BQ452" s="5"/>
      <c r="BS452" s="40"/>
      <c r="BT452" s="5"/>
      <c r="BV452" s="40"/>
      <c r="BW452" s="5"/>
      <c r="BY452" s="40"/>
      <c r="BZ452" s="5"/>
      <c r="CB452" s="40"/>
      <c r="CC452" s="5"/>
      <c r="CE452" s="40"/>
      <c r="CF452" s="5"/>
      <c r="CH452" s="40"/>
      <c r="CI452" s="5"/>
      <c r="CK452" s="40"/>
      <c r="CL452" s="5"/>
      <c r="CN452" s="40"/>
      <c r="CO452" s="5"/>
      <c r="CQ452" s="40"/>
      <c r="CR452" s="5"/>
    </row>
    <row r="453">
      <c r="AO453" s="40"/>
      <c r="AP453" s="5"/>
      <c r="AR453" s="40"/>
      <c r="AS453" s="5"/>
      <c r="AU453" s="40"/>
      <c r="AV453" s="5"/>
      <c r="AX453" s="40"/>
      <c r="AY453" s="5"/>
      <c r="BA453" s="40"/>
      <c r="BB453" s="5"/>
      <c r="BD453" s="40"/>
      <c r="BE453" s="5"/>
      <c r="BG453" s="40"/>
      <c r="BH453" s="5"/>
      <c r="BJ453" s="40"/>
      <c r="BK453" s="5"/>
      <c r="BM453" s="40"/>
      <c r="BN453" s="5"/>
      <c r="BP453" s="40"/>
      <c r="BQ453" s="5"/>
      <c r="BS453" s="40"/>
      <c r="BT453" s="5"/>
      <c r="BV453" s="40"/>
      <c r="BW453" s="5"/>
      <c r="BY453" s="40"/>
      <c r="BZ453" s="5"/>
      <c r="CB453" s="40"/>
      <c r="CC453" s="5"/>
      <c r="CE453" s="40"/>
      <c r="CF453" s="5"/>
      <c r="CH453" s="40"/>
      <c r="CI453" s="5"/>
      <c r="CK453" s="40"/>
      <c r="CL453" s="5"/>
      <c r="CN453" s="40"/>
      <c r="CO453" s="5"/>
      <c r="CQ453" s="40"/>
      <c r="CR453" s="5"/>
    </row>
    <row r="454">
      <c r="AO454" s="40"/>
      <c r="AP454" s="5"/>
      <c r="AR454" s="40"/>
      <c r="AS454" s="5"/>
      <c r="AU454" s="40"/>
      <c r="AV454" s="5"/>
      <c r="AX454" s="40"/>
      <c r="AY454" s="5"/>
      <c r="BA454" s="40"/>
      <c r="BB454" s="5"/>
      <c r="BD454" s="40"/>
      <c r="BE454" s="5"/>
      <c r="BG454" s="40"/>
      <c r="BH454" s="5"/>
      <c r="BJ454" s="40"/>
      <c r="BK454" s="5"/>
      <c r="BM454" s="40"/>
      <c r="BN454" s="5"/>
      <c r="BP454" s="40"/>
      <c r="BQ454" s="5"/>
      <c r="BS454" s="40"/>
      <c r="BT454" s="5"/>
      <c r="BV454" s="40"/>
      <c r="BW454" s="5"/>
      <c r="BY454" s="40"/>
      <c r="BZ454" s="5"/>
      <c r="CB454" s="40"/>
      <c r="CC454" s="5"/>
      <c r="CE454" s="40"/>
      <c r="CF454" s="5"/>
      <c r="CH454" s="40"/>
      <c r="CI454" s="5"/>
      <c r="CK454" s="40"/>
      <c r="CL454" s="5"/>
      <c r="CN454" s="40"/>
      <c r="CO454" s="5"/>
      <c r="CQ454" s="40"/>
      <c r="CR454" s="5"/>
    </row>
    <row r="455">
      <c r="AO455" s="40"/>
      <c r="AP455" s="5"/>
      <c r="AR455" s="40"/>
      <c r="AS455" s="5"/>
      <c r="AU455" s="40"/>
      <c r="AV455" s="5"/>
      <c r="AX455" s="40"/>
      <c r="AY455" s="5"/>
      <c r="BA455" s="40"/>
      <c r="BB455" s="5"/>
      <c r="BD455" s="40"/>
      <c r="BE455" s="5"/>
      <c r="BG455" s="40"/>
      <c r="BH455" s="5"/>
      <c r="BJ455" s="40"/>
      <c r="BK455" s="5"/>
      <c r="BM455" s="40"/>
      <c r="BN455" s="5"/>
      <c r="BP455" s="40"/>
      <c r="BQ455" s="5"/>
      <c r="BS455" s="40"/>
      <c r="BT455" s="5"/>
      <c r="BV455" s="40"/>
      <c r="BW455" s="5"/>
      <c r="BY455" s="40"/>
      <c r="BZ455" s="5"/>
      <c r="CB455" s="40"/>
      <c r="CC455" s="5"/>
      <c r="CE455" s="40"/>
      <c r="CF455" s="5"/>
      <c r="CH455" s="40"/>
      <c r="CI455" s="5"/>
      <c r="CK455" s="40"/>
      <c r="CL455" s="5"/>
      <c r="CN455" s="40"/>
      <c r="CO455" s="5"/>
      <c r="CQ455" s="40"/>
      <c r="CR455" s="5"/>
    </row>
    <row r="456">
      <c r="AO456" s="40"/>
      <c r="AP456" s="5"/>
      <c r="AR456" s="40"/>
      <c r="AS456" s="5"/>
      <c r="AU456" s="40"/>
      <c r="AV456" s="5"/>
      <c r="AX456" s="40"/>
      <c r="AY456" s="5"/>
      <c r="BA456" s="40"/>
      <c r="BB456" s="5"/>
      <c r="BD456" s="40"/>
      <c r="BE456" s="5"/>
      <c r="BG456" s="40"/>
      <c r="BH456" s="5"/>
      <c r="BJ456" s="40"/>
      <c r="BK456" s="5"/>
      <c r="BM456" s="40"/>
      <c r="BN456" s="5"/>
      <c r="BP456" s="40"/>
      <c r="BQ456" s="5"/>
      <c r="BS456" s="40"/>
      <c r="BT456" s="5"/>
      <c r="BV456" s="40"/>
      <c r="BW456" s="5"/>
      <c r="BY456" s="40"/>
      <c r="BZ456" s="5"/>
      <c r="CB456" s="40"/>
      <c r="CC456" s="5"/>
      <c r="CE456" s="40"/>
      <c r="CF456" s="5"/>
      <c r="CH456" s="40"/>
      <c r="CI456" s="5"/>
      <c r="CK456" s="40"/>
      <c r="CL456" s="5"/>
      <c r="CN456" s="40"/>
      <c r="CO456" s="5"/>
      <c r="CQ456" s="40"/>
      <c r="CR456" s="5"/>
    </row>
    <row r="457">
      <c r="AO457" s="40"/>
      <c r="AP457" s="5"/>
      <c r="AR457" s="40"/>
      <c r="AS457" s="5"/>
      <c r="AU457" s="40"/>
      <c r="AV457" s="5"/>
      <c r="AX457" s="40"/>
      <c r="AY457" s="5"/>
      <c r="BA457" s="40"/>
      <c r="BB457" s="5"/>
      <c r="BD457" s="40"/>
      <c r="BE457" s="5"/>
      <c r="BG457" s="40"/>
      <c r="BH457" s="5"/>
      <c r="BJ457" s="40"/>
      <c r="BK457" s="5"/>
      <c r="BM457" s="40"/>
      <c r="BN457" s="5"/>
      <c r="BP457" s="40"/>
      <c r="BQ457" s="5"/>
      <c r="BS457" s="40"/>
      <c r="BT457" s="5"/>
      <c r="BV457" s="40"/>
      <c r="BW457" s="5"/>
      <c r="BY457" s="40"/>
      <c r="BZ457" s="5"/>
      <c r="CB457" s="40"/>
      <c r="CC457" s="5"/>
      <c r="CE457" s="40"/>
      <c r="CF457" s="5"/>
      <c r="CH457" s="40"/>
      <c r="CI457" s="5"/>
      <c r="CK457" s="40"/>
      <c r="CL457" s="5"/>
      <c r="CN457" s="40"/>
      <c r="CO457" s="5"/>
      <c r="CQ457" s="40"/>
      <c r="CR457" s="5"/>
    </row>
    <row r="458">
      <c r="AO458" s="40"/>
      <c r="AP458" s="5"/>
      <c r="AR458" s="40"/>
      <c r="AS458" s="5"/>
      <c r="AU458" s="40"/>
      <c r="AV458" s="5"/>
      <c r="AX458" s="40"/>
      <c r="AY458" s="5"/>
      <c r="BA458" s="40"/>
      <c r="BB458" s="5"/>
      <c r="BD458" s="40"/>
      <c r="BE458" s="5"/>
      <c r="BG458" s="40"/>
      <c r="BH458" s="5"/>
      <c r="BJ458" s="40"/>
      <c r="BK458" s="5"/>
      <c r="BM458" s="40"/>
      <c r="BN458" s="5"/>
      <c r="BP458" s="40"/>
      <c r="BQ458" s="5"/>
      <c r="BS458" s="40"/>
      <c r="BT458" s="5"/>
      <c r="BV458" s="40"/>
      <c r="BW458" s="5"/>
      <c r="BY458" s="40"/>
      <c r="BZ458" s="5"/>
      <c r="CB458" s="40"/>
      <c r="CC458" s="5"/>
      <c r="CE458" s="40"/>
      <c r="CF458" s="5"/>
      <c r="CH458" s="40"/>
      <c r="CI458" s="5"/>
      <c r="CK458" s="40"/>
      <c r="CL458" s="5"/>
      <c r="CN458" s="40"/>
      <c r="CO458" s="5"/>
      <c r="CQ458" s="40"/>
      <c r="CR458" s="5"/>
    </row>
    <row r="459">
      <c r="AO459" s="40"/>
      <c r="AP459" s="5"/>
      <c r="AR459" s="40"/>
      <c r="AS459" s="5"/>
      <c r="AU459" s="40"/>
      <c r="AV459" s="5"/>
      <c r="AX459" s="40"/>
      <c r="AY459" s="5"/>
      <c r="BA459" s="40"/>
      <c r="BB459" s="5"/>
      <c r="BD459" s="40"/>
      <c r="BE459" s="5"/>
      <c r="BG459" s="40"/>
      <c r="BH459" s="5"/>
      <c r="BJ459" s="40"/>
      <c r="BK459" s="5"/>
      <c r="BM459" s="40"/>
      <c r="BN459" s="5"/>
      <c r="BP459" s="40"/>
      <c r="BQ459" s="5"/>
      <c r="BS459" s="40"/>
      <c r="BT459" s="5"/>
      <c r="BV459" s="40"/>
      <c r="BW459" s="5"/>
      <c r="BY459" s="40"/>
      <c r="BZ459" s="5"/>
      <c r="CB459" s="40"/>
      <c r="CC459" s="5"/>
      <c r="CE459" s="40"/>
      <c r="CF459" s="5"/>
      <c r="CH459" s="40"/>
      <c r="CI459" s="5"/>
      <c r="CK459" s="40"/>
      <c r="CL459" s="5"/>
      <c r="CN459" s="40"/>
      <c r="CO459" s="5"/>
      <c r="CQ459" s="40"/>
      <c r="CR459" s="5"/>
    </row>
    <row r="460">
      <c r="AO460" s="40"/>
      <c r="AP460" s="5"/>
      <c r="AR460" s="40"/>
      <c r="AS460" s="5"/>
      <c r="AU460" s="40"/>
      <c r="AV460" s="5"/>
      <c r="AX460" s="40"/>
      <c r="AY460" s="5"/>
      <c r="BA460" s="40"/>
      <c r="BB460" s="5"/>
      <c r="BD460" s="40"/>
      <c r="BE460" s="5"/>
      <c r="BG460" s="40"/>
      <c r="BH460" s="5"/>
      <c r="BJ460" s="40"/>
      <c r="BK460" s="5"/>
      <c r="BM460" s="40"/>
      <c r="BN460" s="5"/>
      <c r="BP460" s="40"/>
      <c r="BQ460" s="5"/>
      <c r="BS460" s="40"/>
      <c r="BT460" s="5"/>
      <c r="BV460" s="40"/>
      <c r="BW460" s="5"/>
      <c r="BY460" s="40"/>
      <c r="BZ460" s="5"/>
      <c r="CB460" s="40"/>
      <c r="CC460" s="5"/>
      <c r="CE460" s="40"/>
      <c r="CF460" s="5"/>
      <c r="CH460" s="40"/>
      <c r="CI460" s="5"/>
      <c r="CK460" s="40"/>
      <c r="CL460" s="5"/>
      <c r="CN460" s="40"/>
      <c r="CO460" s="5"/>
      <c r="CQ460" s="40"/>
      <c r="CR460" s="5"/>
    </row>
    <row r="461">
      <c r="AO461" s="40"/>
      <c r="AP461" s="5"/>
      <c r="AR461" s="40"/>
      <c r="AS461" s="5"/>
      <c r="AU461" s="40"/>
      <c r="AV461" s="5"/>
      <c r="AX461" s="40"/>
      <c r="AY461" s="5"/>
      <c r="BA461" s="40"/>
      <c r="BB461" s="5"/>
      <c r="BD461" s="40"/>
      <c r="BE461" s="5"/>
      <c r="BG461" s="40"/>
      <c r="BH461" s="5"/>
      <c r="BJ461" s="40"/>
      <c r="BK461" s="5"/>
      <c r="BM461" s="40"/>
      <c r="BN461" s="5"/>
      <c r="BP461" s="40"/>
      <c r="BQ461" s="5"/>
      <c r="BS461" s="40"/>
      <c r="BT461" s="5"/>
      <c r="BV461" s="40"/>
      <c r="BW461" s="5"/>
      <c r="BY461" s="40"/>
      <c r="BZ461" s="5"/>
      <c r="CB461" s="40"/>
      <c r="CC461" s="5"/>
      <c r="CE461" s="40"/>
      <c r="CF461" s="5"/>
      <c r="CH461" s="40"/>
      <c r="CI461" s="5"/>
      <c r="CK461" s="40"/>
      <c r="CL461" s="5"/>
      <c r="CN461" s="40"/>
      <c r="CO461" s="5"/>
      <c r="CQ461" s="40"/>
      <c r="CR461" s="5"/>
    </row>
    <row r="462">
      <c r="AO462" s="40"/>
      <c r="AP462" s="5"/>
      <c r="AR462" s="40"/>
      <c r="AS462" s="5"/>
      <c r="AU462" s="40"/>
      <c r="AV462" s="5"/>
      <c r="AX462" s="40"/>
      <c r="AY462" s="5"/>
      <c r="BA462" s="40"/>
      <c r="BB462" s="5"/>
      <c r="BD462" s="40"/>
      <c r="BE462" s="5"/>
      <c r="BG462" s="40"/>
      <c r="BH462" s="5"/>
      <c r="BJ462" s="40"/>
      <c r="BK462" s="5"/>
      <c r="BM462" s="40"/>
      <c r="BN462" s="5"/>
      <c r="BP462" s="40"/>
      <c r="BQ462" s="5"/>
      <c r="BS462" s="40"/>
      <c r="BT462" s="5"/>
      <c r="BV462" s="40"/>
      <c r="BW462" s="5"/>
      <c r="BY462" s="40"/>
      <c r="BZ462" s="5"/>
      <c r="CB462" s="40"/>
      <c r="CC462" s="5"/>
      <c r="CE462" s="40"/>
      <c r="CF462" s="5"/>
      <c r="CH462" s="40"/>
      <c r="CI462" s="5"/>
      <c r="CK462" s="40"/>
      <c r="CL462" s="5"/>
      <c r="CN462" s="40"/>
      <c r="CO462" s="5"/>
      <c r="CQ462" s="40"/>
      <c r="CR462" s="5"/>
    </row>
    <row r="463">
      <c r="AO463" s="40"/>
      <c r="AP463" s="5"/>
      <c r="AR463" s="40"/>
      <c r="AS463" s="5"/>
      <c r="AU463" s="40"/>
      <c r="AV463" s="5"/>
      <c r="AX463" s="40"/>
      <c r="AY463" s="5"/>
      <c r="BA463" s="40"/>
      <c r="BB463" s="5"/>
      <c r="BD463" s="40"/>
      <c r="BE463" s="5"/>
      <c r="BG463" s="40"/>
      <c r="BH463" s="5"/>
      <c r="BJ463" s="40"/>
      <c r="BK463" s="5"/>
      <c r="BM463" s="40"/>
      <c r="BN463" s="5"/>
      <c r="BP463" s="40"/>
      <c r="BQ463" s="5"/>
      <c r="BS463" s="40"/>
      <c r="BT463" s="5"/>
      <c r="BV463" s="40"/>
      <c r="BW463" s="5"/>
      <c r="BY463" s="40"/>
      <c r="BZ463" s="5"/>
      <c r="CB463" s="40"/>
      <c r="CC463" s="5"/>
      <c r="CE463" s="40"/>
      <c r="CF463" s="5"/>
      <c r="CH463" s="40"/>
      <c r="CI463" s="5"/>
      <c r="CK463" s="40"/>
      <c r="CL463" s="5"/>
      <c r="CN463" s="40"/>
      <c r="CO463" s="5"/>
      <c r="CQ463" s="40"/>
      <c r="CR463" s="5"/>
    </row>
    <row r="464">
      <c r="AO464" s="40"/>
      <c r="AP464" s="5"/>
      <c r="AR464" s="40"/>
      <c r="AS464" s="5"/>
      <c r="AU464" s="40"/>
      <c r="AV464" s="5"/>
      <c r="AX464" s="40"/>
      <c r="AY464" s="5"/>
      <c r="BA464" s="40"/>
      <c r="BB464" s="5"/>
      <c r="BD464" s="40"/>
      <c r="BE464" s="5"/>
      <c r="BG464" s="40"/>
      <c r="BH464" s="5"/>
      <c r="BJ464" s="40"/>
      <c r="BK464" s="5"/>
      <c r="BM464" s="40"/>
      <c r="BN464" s="5"/>
      <c r="BP464" s="40"/>
      <c r="BQ464" s="5"/>
      <c r="BS464" s="40"/>
      <c r="BT464" s="5"/>
      <c r="BV464" s="40"/>
      <c r="BW464" s="5"/>
      <c r="BY464" s="40"/>
      <c r="BZ464" s="5"/>
      <c r="CB464" s="40"/>
      <c r="CC464" s="5"/>
      <c r="CE464" s="40"/>
      <c r="CF464" s="5"/>
      <c r="CH464" s="40"/>
      <c r="CI464" s="5"/>
      <c r="CK464" s="40"/>
      <c r="CL464" s="5"/>
      <c r="CN464" s="40"/>
      <c r="CO464" s="5"/>
      <c r="CQ464" s="40"/>
      <c r="CR464" s="5"/>
    </row>
    <row r="465">
      <c r="AO465" s="40"/>
      <c r="AP465" s="5"/>
      <c r="AR465" s="40"/>
      <c r="AS465" s="5"/>
      <c r="AU465" s="40"/>
      <c r="AV465" s="5"/>
      <c r="AX465" s="40"/>
      <c r="AY465" s="5"/>
      <c r="BA465" s="40"/>
      <c r="BB465" s="5"/>
      <c r="BD465" s="40"/>
      <c r="BE465" s="5"/>
      <c r="BG465" s="40"/>
      <c r="BH465" s="5"/>
      <c r="BJ465" s="40"/>
      <c r="BK465" s="5"/>
      <c r="BM465" s="40"/>
      <c r="BN465" s="5"/>
      <c r="BP465" s="40"/>
      <c r="BQ465" s="5"/>
      <c r="BS465" s="40"/>
      <c r="BT465" s="5"/>
      <c r="BV465" s="40"/>
      <c r="BW465" s="5"/>
      <c r="BY465" s="40"/>
      <c r="BZ465" s="5"/>
      <c r="CB465" s="40"/>
      <c r="CC465" s="5"/>
      <c r="CE465" s="40"/>
      <c r="CF465" s="5"/>
      <c r="CH465" s="40"/>
      <c r="CI465" s="5"/>
      <c r="CK465" s="40"/>
      <c r="CL465" s="5"/>
      <c r="CN465" s="40"/>
      <c r="CO465" s="5"/>
      <c r="CQ465" s="40"/>
      <c r="CR465" s="5"/>
    </row>
    <row r="466">
      <c r="AO466" s="40"/>
      <c r="AP466" s="5"/>
      <c r="AR466" s="40"/>
      <c r="AS466" s="5"/>
      <c r="AU466" s="40"/>
      <c r="AV466" s="5"/>
      <c r="AX466" s="40"/>
      <c r="AY466" s="5"/>
      <c r="BA466" s="40"/>
      <c r="BB466" s="5"/>
      <c r="BD466" s="40"/>
      <c r="BE466" s="5"/>
      <c r="BG466" s="40"/>
      <c r="BH466" s="5"/>
      <c r="BJ466" s="40"/>
      <c r="BK466" s="5"/>
      <c r="BM466" s="40"/>
      <c r="BN466" s="5"/>
      <c r="BP466" s="40"/>
      <c r="BQ466" s="5"/>
      <c r="BS466" s="40"/>
      <c r="BT466" s="5"/>
      <c r="BV466" s="40"/>
      <c r="BW466" s="5"/>
      <c r="BY466" s="40"/>
      <c r="BZ466" s="5"/>
      <c r="CB466" s="40"/>
      <c r="CC466" s="5"/>
      <c r="CE466" s="40"/>
      <c r="CF466" s="5"/>
      <c r="CH466" s="40"/>
      <c r="CI466" s="5"/>
      <c r="CK466" s="40"/>
      <c r="CL466" s="5"/>
      <c r="CN466" s="40"/>
      <c r="CO466" s="5"/>
      <c r="CQ466" s="40"/>
      <c r="CR466" s="5"/>
    </row>
    <row r="467">
      <c r="AO467" s="40"/>
      <c r="AP467" s="5"/>
      <c r="AR467" s="40"/>
      <c r="AS467" s="5"/>
      <c r="AU467" s="40"/>
      <c r="AV467" s="5"/>
      <c r="AX467" s="40"/>
      <c r="AY467" s="5"/>
      <c r="BA467" s="40"/>
      <c r="BB467" s="5"/>
      <c r="BD467" s="40"/>
      <c r="BE467" s="5"/>
      <c r="BG467" s="40"/>
      <c r="BH467" s="5"/>
      <c r="BJ467" s="40"/>
      <c r="BK467" s="5"/>
      <c r="BM467" s="40"/>
      <c r="BN467" s="5"/>
      <c r="BP467" s="40"/>
      <c r="BQ467" s="5"/>
      <c r="BS467" s="40"/>
      <c r="BT467" s="5"/>
      <c r="BV467" s="40"/>
      <c r="BW467" s="5"/>
      <c r="BY467" s="40"/>
      <c r="BZ467" s="5"/>
      <c r="CB467" s="40"/>
      <c r="CC467" s="5"/>
      <c r="CE467" s="40"/>
      <c r="CF467" s="5"/>
      <c r="CH467" s="40"/>
      <c r="CI467" s="5"/>
      <c r="CK467" s="40"/>
      <c r="CL467" s="5"/>
      <c r="CN467" s="40"/>
      <c r="CO467" s="5"/>
      <c r="CQ467" s="40"/>
      <c r="CR467" s="5"/>
    </row>
    <row r="468">
      <c r="AO468" s="40"/>
      <c r="AP468" s="5"/>
      <c r="AR468" s="40"/>
      <c r="AS468" s="5"/>
      <c r="AU468" s="40"/>
      <c r="AV468" s="5"/>
      <c r="AX468" s="40"/>
      <c r="AY468" s="5"/>
      <c r="BA468" s="40"/>
      <c r="BB468" s="5"/>
      <c r="BD468" s="40"/>
      <c r="BE468" s="5"/>
      <c r="BG468" s="40"/>
      <c r="BH468" s="5"/>
      <c r="BJ468" s="40"/>
      <c r="BK468" s="5"/>
      <c r="BM468" s="40"/>
      <c r="BN468" s="5"/>
      <c r="BP468" s="40"/>
      <c r="BQ468" s="5"/>
      <c r="BS468" s="40"/>
      <c r="BT468" s="5"/>
      <c r="BV468" s="40"/>
      <c r="BW468" s="5"/>
      <c r="BY468" s="40"/>
      <c r="BZ468" s="5"/>
      <c r="CB468" s="40"/>
      <c r="CC468" s="5"/>
      <c r="CE468" s="40"/>
      <c r="CF468" s="5"/>
      <c r="CH468" s="40"/>
      <c r="CI468" s="5"/>
      <c r="CK468" s="40"/>
      <c r="CL468" s="5"/>
      <c r="CN468" s="40"/>
      <c r="CO468" s="5"/>
      <c r="CQ468" s="40"/>
      <c r="CR468" s="5"/>
    </row>
    <row r="469">
      <c r="AO469" s="40"/>
      <c r="AP469" s="5"/>
      <c r="AR469" s="40"/>
      <c r="AS469" s="5"/>
      <c r="AU469" s="40"/>
      <c r="AV469" s="5"/>
      <c r="AX469" s="40"/>
      <c r="AY469" s="5"/>
      <c r="BA469" s="40"/>
      <c r="BB469" s="5"/>
      <c r="BD469" s="40"/>
      <c r="BE469" s="5"/>
      <c r="BG469" s="40"/>
      <c r="BH469" s="5"/>
      <c r="BJ469" s="40"/>
      <c r="BK469" s="5"/>
      <c r="BM469" s="40"/>
      <c r="BN469" s="5"/>
      <c r="BP469" s="40"/>
      <c r="BQ469" s="5"/>
      <c r="BS469" s="40"/>
      <c r="BT469" s="5"/>
      <c r="BV469" s="40"/>
      <c r="BW469" s="5"/>
      <c r="BY469" s="40"/>
      <c r="BZ469" s="5"/>
      <c r="CB469" s="40"/>
      <c r="CC469" s="5"/>
      <c r="CE469" s="40"/>
      <c r="CF469" s="5"/>
      <c r="CH469" s="40"/>
      <c r="CI469" s="5"/>
      <c r="CK469" s="40"/>
      <c r="CL469" s="5"/>
      <c r="CN469" s="40"/>
      <c r="CO469" s="5"/>
      <c r="CQ469" s="40"/>
      <c r="CR469" s="5"/>
    </row>
    <row r="470">
      <c r="AO470" s="40"/>
      <c r="AP470" s="5"/>
      <c r="AR470" s="40"/>
      <c r="AS470" s="5"/>
      <c r="AU470" s="40"/>
      <c r="AV470" s="5"/>
      <c r="AX470" s="40"/>
      <c r="AY470" s="5"/>
      <c r="BA470" s="40"/>
      <c r="BB470" s="5"/>
      <c r="BD470" s="40"/>
      <c r="BE470" s="5"/>
      <c r="BG470" s="40"/>
      <c r="BH470" s="5"/>
      <c r="BJ470" s="40"/>
      <c r="BK470" s="5"/>
      <c r="BM470" s="40"/>
      <c r="BN470" s="5"/>
      <c r="BP470" s="40"/>
      <c r="BQ470" s="5"/>
      <c r="BS470" s="40"/>
      <c r="BT470" s="5"/>
      <c r="BV470" s="40"/>
      <c r="BW470" s="5"/>
      <c r="BY470" s="40"/>
      <c r="BZ470" s="5"/>
      <c r="CB470" s="40"/>
      <c r="CC470" s="5"/>
      <c r="CE470" s="40"/>
      <c r="CF470" s="5"/>
      <c r="CH470" s="40"/>
      <c r="CI470" s="5"/>
      <c r="CK470" s="40"/>
      <c r="CL470" s="5"/>
      <c r="CN470" s="40"/>
      <c r="CO470" s="5"/>
      <c r="CQ470" s="40"/>
      <c r="CR470" s="5"/>
    </row>
    <row r="471">
      <c r="AO471" s="40"/>
      <c r="AP471" s="5"/>
      <c r="AR471" s="40"/>
      <c r="AS471" s="5"/>
      <c r="AU471" s="40"/>
      <c r="AV471" s="5"/>
      <c r="AX471" s="40"/>
      <c r="AY471" s="5"/>
      <c r="BA471" s="40"/>
      <c r="BB471" s="5"/>
      <c r="BD471" s="40"/>
      <c r="BE471" s="5"/>
      <c r="BG471" s="40"/>
      <c r="BH471" s="5"/>
      <c r="BJ471" s="40"/>
      <c r="BK471" s="5"/>
      <c r="BM471" s="40"/>
      <c r="BN471" s="5"/>
      <c r="BP471" s="40"/>
      <c r="BQ471" s="5"/>
      <c r="BS471" s="40"/>
      <c r="BT471" s="5"/>
      <c r="BV471" s="40"/>
      <c r="BW471" s="5"/>
      <c r="BY471" s="40"/>
      <c r="BZ471" s="5"/>
      <c r="CB471" s="40"/>
      <c r="CC471" s="5"/>
      <c r="CE471" s="40"/>
      <c r="CF471" s="5"/>
      <c r="CH471" s="40"/>
      <c r="CI471" s="5"/>
      <c r="CK471" s="40"/>
      <c r="CL471" s="5"/>
      <c r="CN471" s="40"/>
      <c r="CO471" s="5"/>
      <c r="CQ471" s="40"/>
      <c r="CR471" s="5"/>
    </row>
    <row r="472">
      <c r="AO472" s="40"/>
      <c r="AP472" s="5"/>
      <c r="AR472" s="40"/>
      <c r="AS472" s="5"/>
      <c r="AU472" s="40"/>
      <c r="AV472" s="5"/>
      <c r="AX472" s="40"/>
      <c r="AY472" s="5"/>
      <c r="BA472" s="40"/>
      <c r="BB472" s="5"/>
      <c r="BD472" s="40"/>
      <c r="BE472" s="5"/>
      <c r="BG472" s="40"/>
      <c r="BH472" s="5"/>
      <c r="BJ472" s="40"/>
      <c r="BK472" s="5"/>
      <c r="BM472" s="40"/>
      <c r="BN472" s="5"/>
      <c r="BP472" s="40"/>
      <c r="BQ472" s="5"/>
      <c r="BS472" s="40"/>
      <c r="BT472" s="5"/>
      <c r="BV472" s="40"/>
      <c r="BW472" s="5"/>
      <c r="BY472" s="40"/>
      <c r="BZ472" s="5"/>
      <c r="CB472" s="40"/>
      <c r="CC472" s="5"/>
      <c r="CE472" s="40"/>
      <c r="CF472" s="5"/>
      <c r="CH472" s="40"/>
      <c r="CI472" s="5"/>
      <c r="CK472" s="40"/>
      <c r="CL472" s="5"/>
      <c r="CN472" s="40"/>
      <c r="CO472" s="5"/>
      <c r="CQ472" s="40"/>
      <c r="CR472" s="5"/>
    </row>
    <row r="473">
      <c r="AO473" s="40"/>
      <c r="AP473" s="5"/>
      <c r="AR473" s="40"/>
      <c r="AS473" s="5"/>
      <c r="AU473" s="40"/>
      <c r="AV473" s="5"/>
      <c r="AX473" s="40"/>
      <c r="AY473" s="5"/>
      <c r="BA473" s="40"/>
      <c r="BB473" s="5"/>
      <c r="BD473" s="40"/>
      <c r="BE473" s="5"/>
      <c r="BG473" s="40"/>
      <c r="BH473" s="5"/>
      <c r="BJ473" s="40"/>
      <c r="BK473" s="5"/>
      <c r="BM473" s="40"/>
      <c r="BN473" s="5"/>
      <c r="BP473" s="40"/>
      <c r="BQ473" s="5"/>
      <c r="BS473" s="40"/>
      <c r="BT473" s="5"/>
      <c r="BV473" s="40"/>
      <c r="BW473" s="5"/>
      <c r="BY473" s="40"/>
      <c r="BZ473" s="5"/>
      <c r="CB473" s="40"/>
      <c r="CC473" s="5"/>
      <c r="CE473" s="40"/>
      <c r="CF473" s="5"/>
      <c r="CH473" s="40"/>
      <c r="CI473" s="5"/>
      <c r="CK473" s="40"/>
      <c r="CL473" s="5"/>
      <c r="CN473" s="40"/>
      <c r="CO473" s="5"/>
      <c r="CQ473" s="40"/>
      <c r="CR473" s="5"/>
    </row>
    <row r="474">
      <c r="AO474" s="40"/>
      <c r="AP474" s="5"/>
      <c r="AR474" s="40"/>
      <c r="AS474" s="5"/>
      <c r="AU474" s="40"/>
      <c r="AV474" s="5"/>
      <c r="AX474" s="40"/>
      <c r="AY474" s="5"/>
      <c r="BA474" s="40"/>
      <c r="BB474" s="5"/>
      <c r="BD474" s="40"/>
      <c r="BE474" s="5"/>
      <c r="BG474" s="40"/>
      <c r="BH474" s="5"/>
      <c r="BJ474" s="40"/>
      <c r="BK474" s="5"/>
      <c r="BM474" s="40"/>
      <c r="BN474" s="5"/>
      <c r="BP474" s="40"/>
      <c r="BQ474" s="5"/>
      <c r="BS474" s="40"/>
      <c r="BT474" s="5"/>
      <c r="BV474" s="40"/>
      <c r="BW474" s="5"/>
      <c r="BY474" s="40"/>
      <c r="BZ474" s="5"/>
      <c r="CB474" s="40"/>
      <c r="CC474" s="5"/>
      <c r="CE474" s="40"/>
      <c r="CF474" s="5"/>
      <c r="CH474" s="40"/>
      <c r="CI474" s="5"/>
      <c r="CK474" s="40"/>
      <c r="CL474" s="5"/>
      <c r="CN474" s="40"/>
      <c r="CO474" s="5"/>
      <c r="CQ474" s="40"/>
      <c r="CR474" s="5"/>
    </row>
    <row r="475">
      <c r="AO475" s="40"/>
      <c r="AP475" s="5"/>
      <c r="AR475" s="40"/>
      <c r="AS475" s="5"/>
      <c r="AU475" s="40"/>
      <c r="AV475" s="5"/>
      <c r="AX475" s="40"/>
      <c r="AY475" s="5"/>
      <c r="BA475" s="40"/>
      <c r="BB475" s="5"/>
      <c r="BD475" s="40"/>
      <c r="BE475" s="5"/>
      <c r="BG475" s="40"/>
      <c r="BH475" s="5"/>
      <c r="BJ475" s="40"/>
      <c r="BK475" s="5"/>
      <c r="BM475" s="40"/>
      <c r="BN475" s="5"/>
      <c r="BP475" s="40"/>
      <c r="BQ475" s="5"/>
      <c r="BS475" s="40"/>
      <c r="BT475" s="5"/>
      <c r="BV475" s="40"/>
      <c r="BW475" s="5"/>
      <c r="BY475" s="40"/>
      <c r="BZ475" s="5"/>
      <c r="CB475" s="40"/>
      <c r="CC475" s="5"/>
      <c r="CE475" s="40"/>
      <c r="CF475" s="5"/>
      <c r="CH475" s="40"/>
      <c r="CI475" s="5"/>
      <c r="CK475" s="40"/>
      <c r="CL475" s="5"/>
      <c r="CN475" s="40"/>
      <c r="CO475" s="5"/>
      <c r="CQ475" s="40"/>
      <c r="CR475" s="5"/>
    </row>
    <row r="476">
      <c r="AO476" s="40"/>
      <c r="AP476" s="5"/>
      <c r="AR476" s="40"/>
      <c r="AS476" s="5"/>
      <c r="AU476" s="40"/>
      <c r="AV476" s="5"/>
      <c r="AX476" s="40"/>
      <c r="AY476" s="5"/>
      <c r="BA476" s="40"/>
      <c r="BB476" s="5"/>
      <c r="BD476" s="40"/>
      <c r="BE476" s="5"/>
      <c r="BG476" s="40"/>
      <c r="BH476" s="5"/>
      <c r="BJ476" s="40"/>
      <c r="BK476" s="5"/>
      <c r="BM476" s="40"/>
      <c r="BN476" s="5"/>
      <c r="BP476" s="40"/>
      <c r="BQ476" s="5"/>
      <c r="BS476" s="40"/>
      <c r="BT476" s="5"/>
      <c r="BV476" s="40"/>
      <c r="BW476" s="5"/>
      <c r="BY476" s="40"/>
      <c r="BZ476" s="5"/>
      <c r="CB476" s="40"/>
      <c r="CC476" s="5"/>
      <c r="CE476" s="40"/>
      <c r="CF476" s="5"/>
      <c r="CH476" s="40"/>
      <c r="CI476" s="5"/>
      <c r="CK476" s="40"/>
      <c r="CL476" s="5"/>
      <c r="CN476" s="40"/>
      <c r="CO476" s="5"/>
      <c r="CQ476" s="40"/>
      <c r="CR476" s="5"/>
    </row>
    <row r="477">
      <c r="AO477" s="40"/>
      <c r="AP477" s="5"/>
      <c r="AR477" s="40"/>
      <c r="AS477" s="5"/>
      <c r="AU477" s="40"/>
      <c r="AV477" s="5"/>
      <c r="AX477" s="40"/>
      <c r="AY477" s="5"/>
      <c r="BA477" s="40"/>
      <c r="BB477" s="5"/>
      <c r="BD477" s="40"/>
      <c r="BE477" s="5"/>
      <c r="BG477" s="40"/>
      <c r="BH477" s="5"/>
      <c r="BJ477" s="40"/>
      <c r="BK477" s="5"/>
      <c r="BM477" s="40"/>
      <c r="BN477" s="5"/>
      <c r="BP477" s="40"/>
      <c r="BQ477" s="5"/>
      <c r="BS477" s="40"/>
      <c r="BT477" s="5"/>
      <c r="BV477" s="40"/>
      <c r="BW477" s="5"/>
      <c r="BY477" s="40"/>
      <c r="BZ477" s="5"/>
      <c r="CB477" s="40"/>
      <c r="CC477" s="5"/>
      <c r="CE477" s="40"/>
      <c r="CF477" s="5"/>
      <c r="CH477" s="40"/>
      <c r="CI477" s="5"/>
      <c r="CK477" s="40"/>
      <c r="CL477" s="5"/>
      <c r="CN477" s="40"/>
      <c r="CO477" s="5"/>
      <c r="CQ477" s="40"/>
      <c r="CR477" s="5"/>
    </row>
    <row r="478">
      <c r="AO478" s="40"/>
      <c r="AP478" s="5"/>
      <c r="AR478" s="40"/>
      <c r="AS478" s="5"/>
      <c r="AU478" s="40"/>
      <c r="AV478" s="5"/>
      <c r="AX478" s="40"/>
      <c r="AY478" s="5"/>
      <c r="BA478" s="40"/>
      <c r="BB478" s="5"/>
      <c r="BD478" s="40"/>
      <c r="BE478" s="5"/>
      <c r="BG478" s="40"/>
      <c r="BH478" s="5"/>
      <c r="BJ478" s="40"/>
      <c r="BK478" s="5"/>
      <c r="BM478" s="40"/>
      <c r="BN478" s="5"/>
      <c r="BP478" s="40"/>
      <c r="BQ478" s="5"/>
      <c r="BS478" s="40"/>
      <c r="BT478" s="5"/>
      <c r="BV478" s="40"/>
      <c r="BW478" s="5"/>
      <c r="BY478" s="40"/>
      <c r="BZ478" s="5"/>
      <c r="CB478" s="40"/>
      <c r="CC478" s="5"/>
      <c r="CE478" s="40"/>
      <c r="CF478" s="5"/>
      <c r="CH478" s="40"/>
      <c r="CI478" s="5"/>
      <c r="CK478" s="40"/>
      <c r="CL478" s="5"/>
      <c r="CN478" s="40"/>
      <c r="CO478" s="5"/>
      <c r="CQ478" s="40"/>
      <c r="CR478" s="5"/>
    </row>
    <row r="479">
      <c r="AO479" s="40"/>
      <c r="AP479" s="5"/>
      <c r="AR479" s="40"/>
      <c r="AS479" s="5"/>
      <c r="AU479" s="40"/>
      <c r="AV479" s="5"/>
      <c r="AX479" s="40"/>
      <c r="AY479" s="5"/>
      <c r="BA479" s="40"/>
      <c r="BB479" s="5"/>
      <c r="BD479" s="40"/>
      <c r="BE479" s="5"/>
      <c r="BG479" s="40"/>
      <c r="BH479" s="5"/>
      <c r="BJ479" s="40"/>
      <c r="BK479" s="5"/>
      <c r="BM479" s="40"/>
      <c r="BN479" s="5"/>
      <c r="BP479" s="40"/>
      <c r="BQ479" s="5"/>
      <c r="BS479" s="40"/>
      <c r="BT479" s="5"/>
      <c r="BV479" s="40"/>
      <c r="BW479" s="5"/>
      <c r="BY479" s="40"/>
      <c r="BZ479" s="5"/>
      <c r="CB479" s="40"/>
      <c r="CC479" s="5"/>
      <c r="CE479" s="40"/>
      <c r="CF479" s="5"/>
      <c r="CH479" s="40"/>
      <c r="CI479" s="5"/>
      <c r="CK479" s="40"/>
      <c r="CL479" s="5"/>
      <c r="CN479" s="40"/>
      <c r="CO479" s="5"/>
      <c r="CQ479" s="40"/>
      <c r="CR479" s="5"/>
    </row>
    <row r="480">
      <c r="AO480" s="40"/>
      <c r="AP480" s="5"/>
      <c r="AR480" s="40"/>
      <c r="AS480" s="5"/>
      <c r="AU480" s="40"/>
      <c r="AV480" s="5"/>
      <c r="AX480" s="40"/>
      <c r="AY480" s="5"/>
      <c r="BA480" s="40"/>
      <c r="BB480" s="5"/>
      <c r="BD480" s="40"/>
      <c r="BE480" s="5"/>
      <c r="BG480" s="40"/>
      <c r="BH480" s="5"/>
      <c r="BJ480" s="40"/>
      <c r="BK480" s="5"/>
      <c r="BM480" s="40"/>
      <c r="BN480" s="5"/>
      <c r="BP480" s="40"/>
      <c r="BQ480" s="5"/>
      <c r="BS480" s="40"/>
      <c r="BT480" s="5"/>
      <c r="BV480" s="40"/>
      <c r="BW480" s="5"/>
      <c r="BY480" s="40"/>
      <c r="BZ480" s="5"/>
      <c r="CB480" s="40"/>
      <c r="CC480" s="5"/>
      <c r="CE480" s="40"/>
      <c r="CF480" s="5"/>
      <c r="CH480" s="40"/>
      <c r="CI480" s="5"/>
      <c r="CK480" s="40"/>
      <c r="CL480" s="5"/>
      <c r="CN480" s="40"/>
      <c r="CO480" s="5"/>
      <c r="CQ480" s="40"/>
      <c r="CR480" s="5"/>
    </row>
    <row r="481">
      <c r="AO481" s="40"/>
      <c r="AP481" s="5"/>
      <c r="AR481" s="40"/>
      <c r="AS481" s="5"/>
      <c r="AU481" s="40"/>
      <c r="AV481" s="5"/>
      <c r="AX481" s="40"/>
      <c r="AY481" s="5"/>
      <c r="BA481" s="40"/>
      <c r="BB481" s="5"/>
      <c r="BD481" s="40"/>
      <c r="BE481" s="5"/>
      <c r="BG481" s="40"/>
      <c r="BH481" s="5"/>
      <c r="BJ481" s="40"/>
      <c r="BK481" s="5"/>
      <c r="BM481" s="40"/>
      <c r="BN481" s="5"/>
      <c r="BP481" s="40"/>
      <c r="BQ481" s="5"/>
      <c r="BS481" s="40"/>
      <c r="BT481" s="5"/>
      <c r="BV481" s="40"/>
      <c r="BW481" s="5"/>
      <c r="BY481" s="40"/>
      <c r="BZ481" s="5"/>
      <c r="CB481" s="40"/>
      <c r="CC481" s="5"/>
      <c r="CE481" s="40"/>
      <c r="CF481" s="5"/>
      <c r="CH481" s="40"/>
      <c r="CI481" s="5"/>
      <c r="CK481" s="40"/>
      <c r="CL481" s="5"/>
      <c r="CN481" s="40"/>
      <c r="CO481" s="5"/>
      <c r="CQ481" s="40"/>
      <c r="CR481" s="5"/>
    </row>
    <row r="482">
      <c r="AO482" s="40"/>
      <c r="AP482" s="5"/>
      <c r="AR482" s="40"/>
      <c r="AS482" s="5"/>
      <c r="AU482" s="40"/>
      <c r="AV482" s="5"/>
      <c r="AX482" s="40"/>
      <c r="AY482" s="5"/>
      <c r="BA482" s="40"/>
      <c r="BB482" s="5"/>
      <c r="BD482" s="40"/>
      <c r="BE482" s="5"/>
      <c r="BG482" s="40"/>
      <c r="BH482" s="5"/>
      <c r="BJ482" s="40"/>
      <c r="BK482" s="5"/>
      <c r="BM482" s="40"/>
      <c r="BN482" s="5"/>
      <c r="BP482" s="40"/>
      <c r="BQ482" s="5"/>
      <c r="BS482" s="40"/>
      <c r="BT482" s="5"/>
      <c r="BV482" s="40"/>
      <c r="BW482" s="5"/>
      <c r="BY482" s="40"/>
      <c r="BZ482" s="5"/>
      <c r="CB482" s="40"/>
      <c r="CC482" s="5"/>
      <c r="CE482" s="40"/>
      <c r="CF482" s="5"/>
      <c r="CH482" s="40"/>
      <c r="CI482" s="5"/>
      <c r="CK482" s="40"/>
      <c r="CL482" s="5"/>
      <c r="CN482" s="40"/>
      <c r="CO482" s="5"/>
      <c r="CQ482" s="40"/>
      <c r="CR482" s="5"/>
    </row>
    <row r="483">
      <c r="AO483" s="40"/>
      <c r="AP483" s="5"/>
      <c r="AR483" s="40"/>
      <c r="AS483" s="5"/>
      <c r="AU483" s="40"/>
      <c r="AV483" s="5"/>
      <c r="AX483" s="40"/>
      <c r="AY483" s="5"/>
      <c r="BA483" s="40"/>
      <c r="BB483" s="5"/>
      <c r="BD483" s="40"/>
      <c r="BE483" s="5"/>
      <c r="BG483" s="40"/>
      <c r="BH483" s="5"/>
      <c r="BJ483" s="40"/>
      <c r="BK483" s="5"/>
      <c r="BM483" s="40"/>
      <c r="BN483" s="5"/>
      <c r="BP483" s="40"/>
      <c r="BQ483" s="5"/>
      <c r="BS483" s="40"/>
      <c r="BT483" s="5"/>
      <c r="BV483" s="40"/>
      <c r="BW483" s="5"/>
      <c r="BY483" s="40"/>
      <c r="BZ483" s="5"/>
      <c r="CB483" s="40"/>
      <c r="CC483" s="5"/>
      <c r="CE483" s="40"/>
      <c r="CF483" s="5"/>
      <c r="CH483" s="40"/>
      <c r="CI483" s="5"/>
      <c r="CK483" s="40"/>
      <c r="CL483" s="5"/>
      <c r="CN483" s="40"/>
      <c r="CO483" s="5"/>
      <c r="CQ483" s="40"/>
      <c r="CR483" s="5"/>
    </row>
    <row r="484">
      <c r="AO484" s="40"/>
      <c r="AP484" s="5"/>
      <c r="AR484" s="40"/>
      <c r="AS484" s="5"/>
      <c r="AU484" s="40"/>
      <c r="AV484" s="5"/>
      <c r="AX484" s="40"/>
      <c r="AY484" s="5"/>
      <c r="BA484" s="40"/>
      <c r="BB484" s="5"/>
      <c r="BD484" s="40"/>
      <c r="BE484" s="5"/>
      <c r="BG484" s="40"/>
      <c r="BH484" s="5"/>
      <c r="BJ484" s="40"/>
      <c r="BK484" s="5"/>
      <c r="BM484" s="40"/>
      <c r="BN484" s="5"/>
      <c r="BP484" s="40"/>
      <c r="BQ484" s="5"/>
      <c r="BS484" s="40"/>
      <c r="BT484" s="5"/>
      <c r="BV484" s="40"/>
      <c r="BW484" s="5"/>
      <c r="BY484" s="40"/>
      <c r="BZ484" s="5"/>
      <c r="CB484" s="40"/>
      <c r="CC484" s="5"/>
      <c r="CE484" s="40"/>
      <c r="CF484" s="5"/>
      <c r="CH484" s="40"/>
      <c r="CI484" s="5"/>
      <c r="CK484" s="40"/>
      <c r="CL484" s="5"/>
      <c r="CN484" s="40"/>
      <c r="CO484" s="5"/>
      <c r="CQ484" s="40"/>
      <c r="CR484" s="5"/>
    </row>
    <row r="485">
      <c r="AO485" s="40"/>
      <c r="AP485" s="5"/>
      <c r="AR485" s="40"/>
      <c r="AS485" s="5"/>
      <c r="AU485" s="40"/>
      <c r="AV485" s="5"/>
      <c r="AX485" s="40"/>
      <c r="AY485" s="5"/>
      <c r="BA485" s="40"/>
      <c r="BB485" s="5"/>
      <c r="BD485" s="40"/>
      <c r="BE485" s="5"/>
      <c r="BG485" s="40"/>
      <c r="BH485" s="5"/>
      <c r="BJ485" s="40"/>
      <c r="BK485" s="5"/>
      <c r="BM485" s="40"/>
      <c r="BN485" s="5"/>
      <c r="BP485" s="40"/>
      <c r="BQ485" s="5"/>
      <c r="BS485" s="40"/>
      <c r="BT485" s="5"/>
      <c r="BV485" s="40"/>
      <c r="BW485" s="5"/>
      <c r="BY485" s="40"/>
      <c r="BZ485" s="5"/>
      <c r="CB485" s="40"/>
      <c r="CC485" s="5"/>
      <c r="CE485" s="40"/>
      <c r="CF485" s="5"/>
      <c r="CH485" s="40"/>
      <c r="CI485" s="5"/>
      <c r="CK485" s="40"/>
      <c r="CL485" s="5"/>
      <c r="CN485" s="40"/>
      <c r="CO485" s="5"/>
      <c r="CQ485" s="40"/>
      <c r="CR485" s="5"/>
    </row>
    <row r="486">
      <c r="AO486" s="40"/>
      <c r="AP486" s="5"/>
      <c r="AR486" s="40"/>
      <c r="AS486" s="5"/>
      <c r="AU486" s="40"/>
      <c r="AV486" s="5"/>
      <c r="AX486" s="40"/>
      <c r="AY486" s="5"/>
      <c r="BA486" s="40"/>
      <c r="BB486" s="5"/>
      <c r="BD486" s="40"/>
      <c r="BE486" s="5"/>
      <c r="BG486" s="40"/>
      <c r="BH486" s="5"/>
      <c r="BJ486" s="40"/>
      <c r="BK486" s="5"/>
      <c r="BM486" s="40"/>
      <c r="BN486" s="5"/>
      <c r="BP486" s="40"/>
      <c r="BQ486" s="5"/>
      <c r="BS486" s="40"/>
      <c r="BT486" s="5"/>
      <c r="BV486" s="40"/>
      <c r="BW486" s="5"/>
      <c r="BY486" s="40"/>
      <c r="BZ486" s="5"/>
      <c r="CB486" s="40"/>
      <c r="CC486" s="5"/>
      <c r="CE486" s="40"/>
      <c r="CF486" s="5"/>
      <c r="CH486" s="40"/>
      <c r="CI486" s="5"/>
      <c r="CK486" s="40"/>
      <c r="CL486" s="5"/>
      <c r="CN486" s="40"/>
      <c r="CO486" s="5"/>
      <c r="CQ486" s="40"/>
      <c r="CR486" s="5"/>
    </row>
    <row r="487">
      <c r="AO487" s="40"/>
      <c r="AP487" s="5"/>
      <c r="AR487" s="40"/>
      <c r="AS487" s="5"/>
      <c r="AU487" s="40"/>
      <c r="AV487" s="5"/>
      <c r="AX487" s="40"/>
      <c r="AY487" s="5"/>
      <c r="BA487" s="40"/>
      <c r="BB487" s="5"/>
      <c r="BD487" s="40"/>
      <c r="BE487" s="5"/>
      <c r="BG487" s="40"/>
      <c r="BH487" s="5"/>
      <c r="BJ487" s="40"/>
      <c r="BK487" s="5"/>
      <c r="BM487" s="40"/>
      <c r="BN487" s="5"/>
      <c r="BP487" s="40"/>
      <c r="BQ487" s="5"/>
      <c r="BS487" s="40"/>
      <c r="BT487" s="5"/>
      <c r="BV487" s="40"/>
      <c r="BW487" s="5"/>
      <c r="BY487" s="40"/>
      <c r="BZ487" s="5"/>
      <c r="CB487" s="40"/>
      <c r="CC487" s="5"/>
      <c r="CE487" s="40"/>
      <c r="CF487" s="5"/>
      <c r="CH487" s="40"/>
      <c r="CI487" s="5"/>
      <c r="CK487" s="40"/>
      <c r="CL487" s="5"/>
      <c r="CN487" s="40"/>
      <c r="CO487" s="5"/>
      <c r="CQ487" s="40"/>
      <c r="CR487" s="5"/>
    </row>
    <row r="488">
      <c r="AO488" s="40"/>
      <c r="AP488" s="5"/>
      <c r="AR488" s="40"/>
      <c r="AS488" s="5"/>
      <c r="AU488" s="40"/>
      <c r="AV488" s="5"/>
      <c r="AX488" s="40"/>
      <c r="AY488" s="5"/>
      <c r="BA488" s="40"/>
      <c r="BB488" s="5"/>
      <c r="BD488" s="40"/>
      <c r="BE488" s="5"/>
      <c r="BG488" s="40"/>
      <c r="BH488" s="5"/>
      <c r="BJ488" s="40"/>
      <c r="BK488" s="5"/>
      <c r="BM488" s="40"/>
      <c r="BN488" s="5"/>
      <c r="BP488" s="40"/>
      <c r="BQ488" s="5"/>
      <c r="BS488" s="40"/>
      <c r="BT488" s="5"/>
      <c r="BV488" s="40"/>
      <c r="BW488" s="5"/>
      <c r="BY488" s="40"/>
      <c r="BZ488" s="5"/>
      <c r="CB488" s="40"/>
      <c r="CC488" s="5"/>
      <c r="CE488" s="40"/>
      <c r="CF488" s="5"/>
      <c r="CH488" s="40"/>
      <c r="CI488" s="5"/>
      <c r="CK488" s="40"/>
      <c r="CL488" s="5"/>
      <c r="CN488" s="40"/>
      <c r="CO488" s="5"/>
      <c r="CQ488" s="40"/>
      <c r="CR488" s="5"/>
    </row>
    <row r="489">
      <c r="AO489" s="40"/>
      <c r="AP489" s="5"/>
      <c r="AR489" s="40"/>
      <c r="AS489" s="5"/>
      <c r="AU489" s="40"/>
      <c r="AV489" s="5"/>
      <c r="AX489" s="40"/>
      <c r="AY489" s="5"/>
      <c r="BA489" s="40"/>
      <c r="BB489" s="5"/>
      <c r="BD489" s="40"/>
      <c r="BE489" s="5"/>
      <c r="BG489" s="40"/>
      <c r="BH489" s="5"/>
      <c r="BJ489" s="40"/>
      <c r="BK489" s="5"/>
      <c r="BM489" s="40"/>
      <c r="BN489" s="5"/>
      <c r="BP489" s="40"/>
      <c r="BQ489" s="5"/>
      <c r="BS489" s="40"/>
      <c r="BT489" s="5"/>
      <c r="BV489" s="40"/>
      <c r="BW489" s="5"/>
      <c r="BY489" s="40"/>
      <c r="BZ489" s="5"/>
      <c r="CB489" s="40"/>
      <c r="CC489" s="5"/>
      <c r="CE489" s="40"/>
      <c r="CF489" s="5"/>
      <c r="CH489" s="40"/>
      <c r="CI489" s="5"/>
      <c r="CK489" s="40"/>
      <c r="CL489" s="5"/>
      <c r="CN489" s="40"/>
      <c r="CO489" s="5"/>
      <c r="CQ489" s="40"/>
      <c r="CR489" s="5"/>
    </row>
    <row r="490">
      <c r="AO490" s="40"/>
      <c r="AP490" s="5"/>
      <c r="AR490" s="40"/>
      <c r="AS490" s="5"/>
      <c r="AU490" s="40"/>
      <c r="AV490" s="5"/>
      <c r="AX490" s="40"/>
      <c r="AY490" s="5"/>
      <c r="BA490" s="40"/>
      <c r="BB490" s="5"/>
      <c r="BD490" s="40"/>
      <c r="BE490" s="5"/>
      <c r="BG490" s="40"/>
      <c r="BH490" s="5"/>
      <c r="BJ490" s="40"/>
      <c r="BK490" s="5"/>
      <c r="BM490" s="40"/>
      <c r="BN490" s="5"/>
      <c r="BP490" s="40"/>
      <c r="BQ490" s="5"/>
      <c r="BS490" s="40"/>
      <c r="BT490" s="5"/>
      <c r="BV490" s="40"/>
      <c r="BW490" s="5"/>
      <c r="BY490" s="40"/>
      <c r="BZ490" s="5"/>
      <c r="CB490" s="40"/>
      <c r="CC490" s="5"/>
      <c r="CE490" s="40"/>
      <c r="CF490" s="5"/>
      <c r="CH490" s="40"/>
      <c r="CI490" s="5"/>
      <c r="CK490" s="40"/>
      <c r="CL490" s="5"/>
      <c r="CN490" s="40"/>
      <c r="CO490" s="5"/>
      <c r="CQ490" s="40"/>
      <c r="CR490" s="5"/>
    </row>
    <row r="491">
      <c r="AO491" s="40"/>
      <c r="AP491" s="5"/>
      <c r="AR491" s="40"/>
      <c r="AS491" s="5"/>
      <c r="AU491" s="40"/>
      <c r="AV491" s="5"/>
      <c r="AX491" s="40"/>
      <c r="AY491" s="5"/>
      <c r="BA491" s="40"/>
      <c r="BB491" s="5"/>
      <c r="BD491" s="40"/>
      <c r="BE491" s="5"/>
      <c r="BG491" s="40"/>
      <c r="BH491" s="5"/>
      <c r="BJ491" s="40"/>
      <c r="BK491" s="5"/>
      <c r="BM491" s="40"/>
      <c r="BN491" s="5"/>
      <c r="BP491" s="40"/>
      <c r="BQ491" s="5"/>
      <c r="BS491" s="40"/>
      <c r="BT491" s="5"/>
      <c r="BV491" s="40"/>
      <c r="BW491" s="5"/>
      <c r="BY491" s="40"/>
      <c r="BZ491" s="5"/>
      <c r="CB491" s="40"/>
      <c r="CC491" s="5"/>
      <c r="CE491" s="40"/>
      <c r="CF491" s="5"/>
      <c r="CH491" s="40"/>
      <c r="CI491" s="5"/>
      <c r="CK491" s="40"/>
      <c r="CL491" s="5"/>
      <c r="CN491" s="40"/>
      <c r="CO491" s="5"/>
      <c r="CQ491" s="40"/>
      <c r="CR491" s="5"/>
    </row>
    <row r="492">
      <c r="AO492" s="40"/>
      <c r="AP492" s="5"/>
      <c r="AR492" s="40"/>
      <c r="AS492" s="5"/>
      <c r="AU492" s="40"/>
      <c r="AV492" s="5"/>
      <c r="AX492" s="40"/>
      <c r="AY492" s="5"/>
      <c r="BA492" s="40"/>
      <c r="BB492" s="5"/>
      <c r="BD492" s="40"/>
      <c r="BE492" s="5"/>
      <c r="BG492" s="40"/>
      <c r="BH492" s="5"/>
      <c r="BJ492" s="40"/>
      <c r="BK492" s="5"/>
      <c r="BM492" s="40"/>
      <c r="BN492" s="5"/>
      <c r="BP492" s="40"/>
      <c r="BQ492" s="5"/>
      <c r="BS492" s="40"/>
      <c r="BT492" s="5"/>
      <c r="BV492" s="40"/>
      <c r="BW492" s="5"/>
      <c r="BY492" s="40"/>
      <c r="BZ492" s="5"/>
      <c r="CB492" s="40"/>
      <c r="CC492" s="5"/>
      <c r="CE492" s="40"/>
      <c r="CF492" s="5"/>
      <c r="CH492" s="40"/>
      <c r="CI492" s="5"/>
      <c r="CK492" s="40"/>
      <c r="CL492" s="5"/>
      <c r="CN492" s="40"/>
      <c r="CO492" s="5"/>
      <c r="CQ492" s="40"/>
      <c r="CR492" s="5"/>
    </row>
    <row r="493">
      <c r="AO493" s="40"/>
      <c r="AP493" s="5"/>
      <c r="AR493" s="40"/>
      <c r="AS493" s="5"/>
      <c r="AU493" s="40"/>
      <c r="AV493" s="5"/>
      <c r="AX493" s="40"/>
      <c r="AY493" s="5"/>
      <c r="BA493" s="40"/>
      <c r="BB493" s="5"/>
      <c r="BD493" s="40"/>
      <c r="BE493" s="5"/>
      <c r="BG493" s="40"/>
      <c r="BH493" s="5"/>
      <c r="BJ493" s="40"/>
      <c r="BK493" s="5"/>
      <c r="BM493" s="40"/>
      <c r="BN493" s="5"/>
      <c r="BP493" s="40"/>
      <c r="BQ493" s="5"/>
      <c r="BS493" s="40"/>
      <c r="BT493" s="5"/>
      <c r="BV493" s="40"/>
      <c r="BW493" s="5"/>
      <c r="BY493" s="40"/>
      <c r="BZ493" s="5"/>
      <c r="CB493" s="40"/>
      <c r="CC493" s="5"/>
      <c r="CE493" s="40"/>
      <c r="CF493" s="5"/>
      <c r="CH493" s="40"/>
      <c r="CI493" s="5"/>
      <c r="CK493" s="40"/>
      <c r="CL493" s="5"/>
      <c r="CN493" s="40"/>
      <c r="CO493" s="5"/>
      <c r="CQ493" s="40"/>
      <c r="CR493" s="5"/>
    </row>
    <row r="494">
      <c r="AO494" s="40"/>
      <c r="AP494" s="5"/>
      <c r="AR494" s="40"/>
      <c r="AS494" s="5"/>
      <c r="AU494" s="40"/>
      <c r="AV494" s="5"/>
      <c r="AX494" s="40"/>
      <c r="AY494" s="5"/>
      <c r="BA494" s="40"/>
      <c r="BB494" s="5"/>
      <c r="BD494" s="40"/>
      <c r="BE494" s="5"/>
      <c r="BG494" s="40"/>
      <c r="BH494" s="5"/>
      <c r="BJ494" s="40"/>
      <c r="BK494" s="5"/>
      <c r="BM494" s="40"/>
      <c r="BN494" s="5"/>
      <c r="BP494" s="40"/>
      <c r="BQ494" s="5"/>
      <c r="BS494" s="40"/>
      <c r="BT494" s="5"/>
      <c r="BV494" s="40"/>
      <c r="BW494" s="5"/>
      <c r="BY494" s="40"/>
      <c r="BZ494" s="5"/>
      <c r="CB494" s="40"/>
      <c r="CC494" s="5"/>
      <c r="CE494" s="40"/>
      <c r="CF494" s="5"/>
      <c r="CH494" s="40"/>
      <c r="CI494" s="5"/>
      <c r="CK494" s="40"/>
      <c r="CL494" s="5"/>
      <c r="CN494" s="40"/>
      <c r="CO494" s="5"/>
      <c r="CQ494" s="40"/>
      <c r="CR494" s="5"/>
    </row>
    <row r="495">
      <c r="AO495" s="40"/>
      <c r="AP495" s="5"/>
      <c r="AR495" s="40"/>
      <c r="AS495" s="5"/>
      <c r="AU495" s="40"/>
      <c r="AV495" s="5"/>
      <c r="AX495" s="40"/>
      <c r="AY495" s="5"/>
      <c r="BA495" s="40"/>
      <c r="BB495" s="5"/>
      <c r="BD495" s="40"/>
      <c r="BE495" s="5"/>
      <c r="BG495" s="40"/>
      <c r="BH495" s="5"/>
      <c r="BJ495" s="40"/>
      <c r="BK495" s="5"/>
      <c r="BM495" s="40"/>
      <c r="BN495" s="5"/>
      <c r="BP495" s="40"/>
      <c r="BQ495" s="5"/>
      <c r="BS495" s="40"/>
      <c r="BT495" s="5"/>
      <c r="BV495" s="40"/>
      <c r="BW495" s="5"/>
      <c r="BY495" s="40"/>
      <c r="BZ495" s="5"/>
      <c r="CB495" s="40"/>
      <c r="CC495" s="5"/>
      <c r="CE495" s="40"/>
      <c r="CF495" s="5"/>
      <c r="CH495" s="40"/>
      <c r="CI495" s="5"/>
      <c r="CK495" s="40"/>
      <c r="CL495" s="5"/>
      <c r="CN495" s="40"/>
      <c r="CO495" s="5"/>
      <c r="CQ495" s="40"/>
      <c r="CR495" s="5"/>
    </row>
    <row r="496">
      <c r="AO496" s="40"/>
      <c r="AP496" s="5"/>
      <c r="AR496" s="40"/>
      <c r="AS496" s="5"/>
      <c r="AU496" s="40"/>
      <c r="AV496" s="5"/>
      <c r="AX496" s="40"/>
      <c r="AY496" s="5"/>
      <c r="BA496" s="40"/>
      <c r="BB496" s="5"/>
      <c r="BD496" s="40"/>
      <c r="BE496" s="5"/>
      <c r="BG496" s="40"/>
      <c r="BH496" s="5"/>
      <c r="BJ496" s="40"/>
      <c r="BK496" s="5"/>
      <c r="BM496" s="40"/>
      <c r="BN496" s="5"/>
      <c r="BP496" s="40"/>
      <c r="BQ496" s="5"/>
      <c r="BS496" s="40"/>
      <c r="BT496" s="5"/>
      <c r="BV496" s="40"/>
      <c r="BW496" s="5"/>
      <c r="BY496" s="40"/>
      <c r="BZ496" s="5"/>
      <c r="CB496" s="40"/>
      <c r="CC496" s="5"/>
      <c r="CE496" s="40"/>
      <c r="CF496" s="5"/>
      <c r="CH496" s="40"/>
      <c r="CI496" s="5"/>
      <c r="CK496" s="40"/>
      <c r="CL496" s="5"/>
      <c r="CN496" s="40"/>
      <c r="CO496" s="5"/>
      <c r="CQ496" s="40"/>
      <c r="CR496" s="5"/>
    </row>
    <row r="497">
      <c r="AO497" s="40"/>
      <c r="AP497" s="5"/>
      <c r="AR497" s="40"/>
      <c r="AS497" s="5"/>
      <c r="AU497" s="40"/>
      <c r="AV497" s="5"/>
      <c r="AX497" s="40"/>
      <c r="AY497" s="5"/>
      <c r="BA497" s="40"/>
      <c r="BB497" s="5"/>
      <c r="BD497" s="40"/>
      <c r="BE497" s="5"/>
      <c r="BG497" s="40"/>
      <c r="BH497" s="5"/>
      <c r="BJ497" s="40"/>
      <c r="BK497" s="5"/>
      <c r="BM497" s="40"/>
      <c r="BN497" s="5"/>
      <c r="BP497" s="40"/>
      <c r="BQ497" s="5"/>
      <c r="BS497" s="40"/>
      <c r="BT497" s="5"/>
      <c r="BV497" s="40"/>
      <c r="BW497" s="5"/>
      <c r="BY497" s="40"/>
      <c r="BZ497" s="5"/>
      <c r="CB497" s="40"/>
      <c r="CC497" s="5"/>
      <c r="CE497" s="40"/>
      <c r="CF497" s="5"/>
      <c r="CH497" s="40"/>
      <c r="CI497" s="5"/>
      <c r="CK497" s="40"/>
      <c r="CL497" s="5"/>
      <c r="CN497" s="40"/>
      <c r="CO497" s="5"/>
      <c r="CQ497" s="40"/>
      <c r="CR497" s="5"/>
    </row>
    <row r="498">
      <c r="AO498" s="40"/>
      <c r="AP498" s="5"/>
      <c r="AR498" s="40"/>
      <c r="AS498" s="5"/>
      <c r="AU498" s="40"/>
      <c r="AV498" s="5"/>
      <c r="AX498" s="40"/>
      <c r="AY498" s="5"/>
      <c r="BA498" s="40"/>
      <c r="BB498" s="5"/>
      <c r="BD498" s="40"/>
      <c r="BE498" s="5"/>
      <c r="BG498" s="40"/>
      <c r="BH498" s="5"/>
      <c r="BJ498" s="40"/>
      <c r="BK498" s="5"/>
      <c r="BM498" s="40"/>
      <c r="BN498" s="5"/>
      <c r="BP498" s="40"/>
      <c r="BQ498" s="5"/>
      <c r="BS498" s="40"/>
      <c r="BT498" s="5"/>
      <c r="BV498" s="40"/>
      <c r="BW498" s="5"/>
      <c r="BY498" s="40"/>
      <c r="BZ498" s="5"/>
      <c r="CB498" s="40"/>
      <c r="CC498" s="5"/>
      <c r="CE498" s="40"/>
      <c r="CF498" s="5"/>
      <c r="CH498" s="40"/>
      <c r="CI498" s="5"/>
      <c r="CK498" s="40"/>
      <c r="CL498" s="5"/>
      <c r="CN498" s="40"/>
      <c r="CO498" s="5"/>
      <c r="CQ498" s="40"/>
      <c r="CR498" s="5"/>
    </row>
    <row r="499">
      <c r="AO499" s="40"/>
      <c r="AP499" s="5"/>
      <c r="AR499" s="40"/>
      <c r="AS499" s="5"/>
      <c r="AU499" s="40"/>
      <c r="AV499" s="5"/>
      <c r="AX499" s="40"/>
      <c r="AY499" s="5"/>
      <c r="BA499" s="40"/>
      <c r="BB499" s="5"/>
      <c r="BD499" s="40"/>
      <c r="BE499" s="5"/>
      <c r="BG499" s="40"/>
      <c r="BH499" s="5"/>
      <c r="BJ499" s="40"/>
      <c r="BK499" s="5"/>
      <c r="BM499" s="40"/>
      <c r="BN499" s="5"/>
      <c r="BP499" s="40"/>
      <c r="BQ499" s="5"/>
      <c r="BS499" s="40"/>
      <c r="BT499" s="5"/>
      <c r="BV499" s="40"/>
      <c r="BW499" s="5"/>
      <c r="BY499" s="40"/>
      <c r="BZ499" s="5"/>
      <c r="CB499" s="40"/>
      <c r="CC499" s="5"/>
      <c r="CE499" s="40"/>
      <c r="CF499" s="5"/>
      <c r="CH499" s="40"/>
      <c r="CI499" s="5"/>
      <c r="CK499" s="40"/>
      <c r="CL499" s="5"/>
      <c r="CN499" s="40"/>
      <c r="CO499" s="5"/>
      <c r="CQ499" s="40"/>
      <c r="CR499" s="5"/>
    </row>
    <row r="500">
      <c r="AO500" s="40"/>
      <c r="AP500" s="5"/>
      <c r="AR500" s="40"/>
      <c r="AS500" s="5"/>
      <c r="AU500" s="40"/>
      <c r="AV500" s="5"/>
      <c r="AX500" s="40"/>
      <c r="AY500" s="5"/>
      <c r="BA500" s="40"/>
      <c r="BB500" s="5"/>
      <c r="BD500" s="40"/>
      <c r="BE500" s="5"/>
      <c r="BG500" s="40"/>
      <c r="BH500" s="5"/>
      <c r="BJ500" s="40"/>
      <c r="BK500" s="5"/>
      <c r="BM500" s="40"/>
      <c r="BN500" s="5"/>
      <c r="BP500" s="40"/>
      <c r="BQ500" s="5"/>
      <c r="BS500" s="40"/>
      <c r="BT500" s="5"/>
      <c r="BV500" s="40"/>
      <c r="BW500" s="5"/>
      <c r="BY500" s="40"/>
      <c r="BZ500" s="5"/>
      <c r="CB500" s="40"/>
      <c r="CC500" s="5"/>
      <c r="CE500" s="40"/>
      <c r="CF500" s="5"/>
      <c r="CH500" s="40"/>
      <c r="CI500" s="5"/>
      <c r="CK500" s="40"/>
      <c r="CL500" s="5"/>
      <c r="CN500" s="40"/>
      <c r="CO500" s="5"/>
      <c r="CQ500" s="40"/>
      <c r="CR500" s="5"/>
    </row>
    <row r="501">
      <c r="AO501" s="40"/>
      <c r="AP501" s="5"/>
      <c r="AR501" s="40"/>
      <c r="AS501" s="5"/>
      <c r="AU501" s="40"/>
      <c r="AV501" s="5"/>
      <c r="AX501" s="40"/>
      <c r="AY501" s="5"/>
      <c r="BA501" s="40"/>
      <c r="BB501" s="5"/>
      <c r="BD501" s="40"/>
      <c r="BE501" s="5"/>
      <c r="BG501" s="40"/>
      <c r="BH501" s="5"/>
      <c r="BJ501" s="40"/>
      <c r="BK501" s="5"/>
      <c r="BM501" s="40"/>
      <c r="BN501" s="5"/>
      <c r="BP501" s="40"/>
      <c r="BQ501" s="5"/>
      <c r="BS501" s="40"/>
      <c r="BT501" s="5"/>
      <c r="BV501" s="40"/>
      <c r="BW501" s="5"/>
      <c r="BY501" s="40"/>
      <c r="BZ501" s="5"/>
      <c r="CB501" s="40"/>
      <c r="CC501" s="5"/>
      <c r="CE501" s="40"/>
      <c r="CF501" s="5"/>
      <c r="CH501" s="40"/>
      <c r="CI501" s="5"/>
      <c r="CK501" s="40"/>
      <c r="CL501" s="5"/>
      <c r="CN501" s="40"/>
      <c r="CO501" s="5"/>
      <c r="CQ501" s="40"/>
      <c r="CR501" s="5"/>
    </row>
    <row r="502">
      <c r="AO502" s="40"/>
      <c r="AP502" s="5"/>
      <c r="AR502" s="40"/>
      <c r="AS502" s="5"/>
      <c r="AU502" s="40"/>
      <c r="AV502" s="5"/>
      <c r="AX502" s="40"/>
      <c r="AY502" s="5"/>
      <c r="BA502" s="40"/>
      <c r="BB502" s="5"/>
      <c r="BD502" s="40"/>
      <c r="BE502" s="5"/>
      <c r="BG502" s="40"/>
      <c r="BH502" s="5"/>
      <c r="BJ502" s="40"/>
      <c r="BK502" s="5"/>
      <c r="BM502" s="40"/>
      <c r="BN502" s="5"/>
      <c r="BP502" s="40"/>
      <c r="BQ502" s="5"/>
      <c r="BS502" s="40"/>
      <c r="BT502" s="5"/>
      <c r="BV502" s="40"/>
      <c r="BW502" s="5"/>
      <c r="BY502" s="40"/>
      <c r="BZ502" s="5"/>
      <c r="CB502" s="40"/>
      <c r="CC502" s="5"/>
      <c r="CE502" s="40"/>
      <c r="CF502" s="5"/>
      <c r="CH502" s="40"/>
      <c r="CI502" s="5"/>
      <c r="CK502" s="40"/>
      <c r="CL502" s="5"/>
      <c r="CN502" s="40"/>
      <c r="CO502" s="5"/>
      <c r="CQ502" s="40"/>
      <c r="CR502" s="5"/>
    </row>
    <row r="503">
      <c r="AO503" s="40"/>
      <c r="AP503" s="5"/>
      <c r="AR503" s="40"/>
      <c r="AS503" s="5"/>
      <c r="AU503" s="40"/>
      <c r="AV503" s="5"/>
      <c r="AX503" s="40"/>
      <c r="AY503" s="5"/>
      <c r="BA503" s="40"/>
      <c r="BB503" s="5"/>
      <c r="BD503" s="40"/>
      <c r="BE503" s="5"/>
      <c r="BG503" s="40"/>
      <c r="BH503" s="5"/>
      <c r="BJ503" s="40"/>
      <c r="BK503" s="5"/>
      <c r="BM503" s="40"/>
      <c r="BN503" s="5"/>
      <c r="BP503" s="40"/>
      <c r="BQ503" s="5"/>
      <c r="BS503" s="40"/>
      <c r="BT503" s="5"/>
      <c r="BV503" s="40"/>
      <c r="BW503" s="5"/>
      <c r="BY503" s="40"/>
      <c r="BZ503" s="5"/>
      <c r="CB503" s="40"/>
      <c r="CC503" s="5"/>
      <c r="CE503" s="40"/>
      <c r="CF503" s="5"/>
      <c r="CH503" s="40"/>
      <c r="CI503" s="5"/>
      <c r="CK503" s="40"/>
      <c r="CL503" s="5"/>
      <c r="CN503" s="40"/>
      <c r="CO503" s="5"/>
      <c r="CQ503" s="40"/>
      <c r="CR503" s="5"/>
    </row>
    <row r="504">
      <c r="AO504" s="40"/>
      <c r="AP504" s="5"/>
      <c r="AR504" s="40"/>
      <c r="AS504" s="5"/>
      <c r="AU504" s="40"/>
      <c r="AV504" s="5"/>
      <c r="AX504" s="40"/>
      <c r="AY504" s="5"/>
      <c r="BA504" s="40"/>
      <c r="BB504" s="5"/>
      <c r="BD504" s="40"/>
      <c r="BE504" s="5"/>
      <c r="BG504" s="40"/>
      <c r="BH504" s="5"/>
      <c r="BJ504" s="40"/>
      <c r="BK504" s="5"/>
      <c r="BM504" s="40"/>
      <c r="BN504" s="5"/>
      <c r="BP504" s="40"/>
      <c r="BQ504" s="5"/>
      <c r="BS504" s="40"/>
      <c r="BT504" s="5"/>
      <c r="BV504" s="40"/>
      <c r="BW504" s="5"/>
      <c r="BY504" s="40"/>
      <c r="BZ504" s="5"/>
      <c r="CB504" s="40"/>
      <c r="CC504" s="5"/>
      <c r="CE504" s="40"/>
      <c r="CF504" s="5"/>
      <c r="CH504" s="40"/>
      <c r="CI504" s="5"/>
      <c r="CK504" s="40"/>
      <c r="CL504" s="5"/>
      <c r="CN504" s="40"/>
      <c r="CO504" s="5"/>
      <c r="CQ504" s="40"/>
      <c r="CR504" s="5"/>
    </row>
    <row r="505">
      <c r="AO505" s="40"/>
      <c r="AP505" s="5"/>
      <c r="AR505" s="40"/>
      <c r="AS505" s="5"/>
      <c r="AU505" s="40"/>
      <c r="AV505" s="5"/>
      <c r="AX505" s="40"/>
      <c r="AY505" s="5"/>
      <c r="BA505" s="40"/>
      <c r="BB505" s="5"/>
      <c r="BD505" s="40"/>
      <c r="BE505" s="5"/>
      <c r="BG505" s="40"/>
      <c r="BH505" s="5"/>
      <c r="BJ505" s="40"/>
      <c r="BK505" s="5"/>
      <c r="BM505" s="40"/>
      <c r="BN505" s="5"/>
      <c r="BP505" s="40"/>
      <c r="BQ505" s="5"/>
      <c r="BS505" s="40"/>
      <c r="BT505" s="5"/>
      <c r="BV505" s="40"/>
      <c r="BW505" s="5"/>
      <c r="BY505" s="40"/>
      <c r="BZ505" s="5"/>
      <c r="CB505" s="40"/>
      <c r="CC505" s="5"/>
      <c r="CE505" s="40"/>
      <c r="CF505" s="5"/>
      <c r="CH505" s="40"/>
      <c r="CI505" s="5"/>
      <c r="CK505" s="40"/>
      <c r="CL505" s="5"/>
      <c r="CN505" s="40"/>
      <c r="CO505" s="5"/>
      <c r="CQ505" s="40"/>
      <c r="CR505" s="5"/>
    </row>
    <row r="506">
      <c r="AO506" s="40"/>
      <c r="AP506" s="5"/>
      <c r="AR506" s="40"/>
      <c r="AS506" s="5"/>
      <c r="AU506" s="40"/>
      <c r="AV506" s="5"/>
      <c r="AX506" s="40"/>
      <c r="AY506" s="5"/>
      <c r="BA506" s="40"/>
      <c r="BB506" s="5"/>
      <c r="BD506" s="40"/>
      <c r="BE506" s="5"/>
      <c r="BG506" s="40"/>
      <c r="BH506" s="5"/>
      <c r="BJ506" s="40"/>
      <c r="BK506" s="5"/>
      <c r="BM506" s="40"/>
      <c r="BN506" s="5"/>
      <c r="BP506" s="40"/>
      <c r="BQ506" s="5"/>
      <c r="BS506" s="40"/>
      <c r="BT506" s="5"/>
      <c r="BV506" s="40"/>
      <c r="BW506" s="5"/>
      <c r="BY506" s="40"/>
      <c r="BZ506" s="5"/>
      <c r="CB506" s="40"/>
      <c r="CC506" s="5"/>
      <c r="CE506" s="40"/>
      <c r="CF506" s="5"/>
      <c r="CH506" s="40"/>
      <c r="CI506" s="5"/>
      <c r="CK506" s="40"/>
      <c r="CL506" s="5"/>
      <c r="CN506" s="40"/>
      <c r="CO506" s="5"/>
      <c r="CQ506" s="40"/>
      <c r="CR506" s="5"/>
    </row>
    <row r="507">
      <c r="AO507" s="40"/>
      <c r="AP507" s="5"/>
      <c r="AR507" s="40"/>
      <c r="AS507" s="5"/>
      <c r="AU507" s="40"/>
      <c r="AV507" s="5"/>
      <c r="AX507" s="40"/>
      <c r="AY507" s="5"/>
      <c r="BA507" s="40"/>
      <c r="BB507" s="5"/>
      <c r="BD507" s="40"/>
      <c r="BE507" s="5"/>
      <c r="BG507" s="40"/>
      <c r="BH507" s="5"/>
      <c r="BJ507" s="40"/>
      <c r="BK507" s="5"/>
      <c r="BM507" s="40"/>
      <c r="BN507" s="5"/>
      <c r="BP507" s="40"/>
      <c r="BQ507" s="5"/>
      <c r="BS507" s="40"/>
      <c r="BT507" s="5"/>
      <c r="BV507" s="40"/>
      <c r="BW507" s="5"/>
      <c r="BY507" s="40"/>
      <c r="BZ507" s="5"/>
      <c r="CB507" s="40"/>
      <c r="CC507" s="5"/>
      <c r="CE507" s="40"/>
      <c r="CF507" s="5"/>
      <c r="CH507" s="40"/>
      <c r="CI507" s="5"/>
      <c r="CK507" s="40"/>
      <c r="CL507" s="5"/>
      <c r="CN507" s="40"/>
      <c r="CO507" s="5"/>
      <c r="CQ507" s="40"/>
      <c r="CR507" s="5"/>
    </row>
    <row r="508">
      <c r="AO508" s="40"/>
      <c r="AP508" s="5"/>
      <c r="AR508" s="40"/>
      <c r="AS508" s="5"/>
      <c r="AU508" s="40"/>
      <c r="AV508" s="5"/>
      <c r="AX508" s="40"/>
      <c r="AY508" s="5"/>
      <c r="BA508" s="40"/>
      <c r="BB508" s="5"/>
      <c r="BD508" s="40"/>
      <c r="BE508" s="5"/>
      <c r="BG508" s="40"/>
      <c r="BH508" s="5"/>
      <c r="BJ508" s="40"/>
      <c r="BK508" s="5"/>
      <c r="BM508" s="40"/>
      <c r="BN508" s="5"/>
      <c r="BP508" s="40"/>
      <c r="BQ508" s="5"/>
      <c r="BS508" s="40"/>
      <c r="BT508" s="5"/>
      <c r="BV508" s="40"/>
      <c r="BW508" s="5"/>
      <c r="BY508" s="40"/>
      <c r="BZ508" s="5"/>
      <c r="CB508" s="40"/>
      <c r="CC508" s="5"/>
      <c r="CE508" s="40"/>
      <c r="CF508" s="5"/>
      <c r="CH508" s="40"/>
      <c r="CI508" s="5"/>
      <c r="CK508" s="40"/>
      <c r="CL508" s="5"/>
      <c r="CN508" s="40"/>
      <c r="CO508" s="5"/>
      <c r="CQ508" s="40"/>
      <c r="CR508" s="5"/>
    </row>
    <row r="509">
      <c r="AO509" s="40"/>
      <c r="AP509" s="5"/>
      <c r="AR509" s="40"/>
      <c r="AS509" s="5"/>
      <c r="AU509" s="40"/>
      <c r="AV509" s="5"/>
      <c r="AX509" s="40"/>
      <c r="AY509" s="5"/>
      <c r="BA509" s="40"/>
      <c r="BB509" s="5"/>
      <c r="BD509" s="40"/>
      <c r="BE509" s="5"/>
      <c r="BG509" s="40"/>
      <c r="BH509" s="5"/>
      <c r="BJ509" s="40"/>
      <c r="BK509" s="5"/>
      <c r="BM509" s="40"/>
      <c r="BN509" s="5"/>
      <c r="BP509" s="40"/>
      <c r="BQ509" s="5"/>
      <c r="BS509" s="40"/>
      <c r="BT509" s="5"/>
      <c r="BV509" s="40"/>
      <c r="BW509" s="5"/>
      <c r="BY509" s="40"/>
      <c r="BZ509" s="5"/>
      <c r="CB509" s="40"/>
      <c r="CC509" s="5"/>
      <c r="CE509" s="40"/>
      <c r="CF509" s="5"/>
      <c r="CH509" s="40"/>
      <c r="CI509" s="5"/>
      <c r="CK509" s="40"/>
      <c r="CL509" s="5"/>
      <c r="CN509" s="40"/>
      <c r="CO509" s="5"/>
      <c r="CQ509" s="40"/>
      <c r="CR509" s="5"/>
    </row>
    <row r="510">
      <c r="AO510" s="40"/>
      <c r="AP510" s="5"/>
      <c r="AR510" s="40"/>
      <c r="AS510" s="5"/>
      <c r="AU510" s="40"/>
      <c r="AV510" s="5"/>
      <c r="AX510" s="40"/>
      <c r="AY510" s="5"/>
      <c r="BA510" s="40"/>
      <c r="BB510" s="5"/>
      <c r="BD510" s="40"/>
      <c r="BE510" s="5"/>
      <c r="BG510" s="40"/>
      <c r="BH510" s="5"/>
      <c r="BJ510" s="40"/>
      <c r="BK510" s="5"/>
      <c r="BM510" s="40"/>
      <c r="BN510" s="5"/>
      <c r="BP510" s="40"/>
      <c r="BQ510" s="5"/>
      <c r="BS510" s="40"/>
      <c r="BT510" s="5"/>
      <c r="BV510" s="40"/>
      <c r="BW510" s="5"/>
      <c r="BY510" s="40"/>
      <c r="BZ510" s="5"/>
      <c r="CB510" s="40"/>
      <c r="CC510" s="5"/>
      <c r="CE510" s="40"/>
      <c r="CF510" s="5"/>
      <c r="CH510" s="40"/>
      <c r="CI510" s="5"/>
      <c r="CK510" s="40"/>
      <c r="CL510" s="5"/>
      <c r="CN510" s="40"/>
      <c r="CO510" s="5"/>
      <c r="CQ510" s="40"/>
      <c r="CR510" s="5"/>
    </row>
    <row r="511">
      <c r="AO511" s="40"/>
      <c r="AP511" s="5"/>
      <c r="AR511" s="40"/>
      <c r="AS511" s="5"/>
      <c r="AU511" s="40"/>
      <c r="AV511" s="5"/>
      <c r="AX511" s="40"/>
      <c r="AY511" s="5"/>
      <c r="BA511" s="40"/>
      <c r="BB511" s="5"/>
      <c r="BD511" s="40"/>
      <c r="BE511" s="5"/>
      <c r="BG511" s="40"/>
      <c r="BH511" s="5"/>
      <c r="BJ511" s="40"/>
      <c r="BK511" s="5"/>
      <c r="BM511" s="40"/>
      <c r="BN511" s="5"/>
      <c r="BP511" s="40"/>
      <c r="BQ511" s="5"/>
      <c r="BS511" s="40"/>
      <c r="BT511" s="5"/>
      <c r="BV511" s="40"/>
      <c r="BW511" s="5"/>
      <c r="BY511" s="40"/>
      <c r="BZ511" s="5"/>
      <c r="CB511" s="40"/>
      <c r="CC511" s="5"/>
      <c r="CE511" s="40"/>
      <c r="CF511" s="5"/>
      <c r="CH511" s="40"/>
      <c r="CI511" s="5"/>
      <c r="CK511" s="40"/>
      <c r="CL511" s="5"/>
      <c r="CN511" s="40"/>
      <c r="CO511" s="5"/>
      <c r="CQ511" s="40"/>
      <c r="CR511" s="5"/>
    </row>
    <row r="512">
      <c r="AO512" s="40"/>
      <c r="AP512" s="5"/>
      <c r="AR512" s="40"/>
      <c r="AS512" s="5"/>
      <c r="AU512" s="40"/>
      <c r="AV512" s="5"/>
      <c r="AX512" s="40"/>
      <c r="AY512" s="5"/>
      <c r="BA512" s="40"/>
      <c r="BB512" s="5"/>
      <c r="BD512" s="40"/>
      <c r="BE512" s="5"/>
      <c r="BG512" s="40"/>
      <c r="BH512" s="5"/>
      <c r="BJ512" s="40"/>
      <c r="BK512" s="5"/>
      <c r="BM512" s="40"/>
      <c r="BN512" s="5"/>
      <c r="BP512" s="40"/>
      <c r="BQ512" s="5"/>
      <c r="BS512" s="40"/>
      <c r="BT512" s="5"/>
      <c r="BV512" s="40"/>
      <c r="BW512" s="5"/>
      <c r="BY512" s="40"/>
      <c r="BZ512" s="5"/>
      <c r="CB512" s="40"/>
      <c r="CC512" s="5"/>
      <c r="CE512" s="40"/>
      <c r="CF512" s="5"/>
      <c r="CH512" s="40"/>
      <c r="CI512" s="5"/>
      <c r="CK512" s="40"/>
      <c r="CL512" s="5"/>
      <c r="CN512" s="40"/>
      <c r="CO512" s="5"/>
      <c r="CQ512" s="40"/>
      <c r="CR512" s="5"/>
    </row>
    <row r="513">
      <c r="AO513" s="40"/>
      <c r="AP513" s="5"/>
      <c r="AR513" s="40"/>
      <c r="AS513" s="5"/>
      <c r="AU513" s="40"/>
      <c r="AV513" s="5"/>
      <c r="AX513" s="40"/>
      <c r="AY513" s="5"/>
      <c r="BA513" s="40"/>
      <c r="BB513" s="5"/>
      <c r="BD513" s="40"/>
      <c r="BE513" s="5"/>
      <c r="BG513" s="40"/>
      <c r="BH513" s="5"/>
      <c r="BJ513" s="40"/>
      <c r="BK513" s="5"/>
      <c r="BM513" s="40"/>
      <c r="BN513" s="5"/>
      <c r="BP513" s="40"/>
      <c r="BQ513" s="5"/>
      <c r="BS513" s="40"/>
      <c r="BT513" s="5"/>
      <c r="BV513" s="40"/>
      <c r="BW513" s="5"/>
      <c r="BY513" s="40"/>
      <c r="BZ513" s="5"/>
      <c r="CB513" s="40"/>
      <c r="CC513" s="5"/>
      <c r="CE513" s="40"/>
      <c r="CF513" s="5"/>
      <c r="CH513" s="40"/>
      <c r="CI513" s="5"/>
      <c r="CK513" s="40"/>
      <c r="CL513" s="5"/>
      <c r="CN513" s="40"/>
      <c r="CO513" s="5"/>
      <c r="CQ513" s="40"/>
      <c r="CR513" s="5"/>
    </row>
    <row r="514">
      <c r="AO514" s="40"/>
      <c r="AP514" s="5"/>
      <c r="AR514" s="40"/>
      <c r="AS514" s="5"/>
      <c r="AU514" s="40"/>
      <c r="AV514" s="5"/>
      <c r="AX514" s="40"/>
      <c r="AY514" s="5"/>
      <c r="BA514" s="40"/>
      <c r="BB514" s="5"/>
      <c r="BD514" s="40"/>
      <c r="BE514" s="5"/>
      <c r="BG514" s="40"/>
      <c r="BH514" s="5"/>
      <c r="BJ514" s="40"/>
      <c r="BK514" s="5"/>
      <c r="BM514" s="40"/>
      <c r="BN514" s="5"/>
      <c r="BP514" s="40"/>
      <c r="BQ514" s="5"/>
      <c r="BS514" s="40"/>
      <c r="BT514" s="5"/>
      <c r="BV514" s="40"/>
      <c r="BW514" s="5"/>
      <c r="BY514" s="40"/>
      <c r="BZ514" s="5"/>
      <c r="CB514" s="40"/>
      <c r="CC514" s="5"/>
      <c r="CE514" s="40"/>
      <c r="CF514" s="5"/>
      <c r="CH514" s="40"/>
      <c r="CI514" s="5"/>
      <c r="CK514" s="40"/>
      <c r="CL514" s="5"/>
      <c r="CN514" s="40"/>
      <c r="CO514" s="5"/>
      <c r="CQ514" s="40"/>
      <c r="CR514" s="5"/>
    </row>
    <row r="515">
      <c r="AO515" s="40"/>
      <c r="AP515" s="5"/>
      <c r="AR515" s="40"/>
      <c r="AS515" s="5"/>
      <c r="AU515" s="40"/>
      <c r="AV515" s="5"/>
      <c r="AX515" s="40"/>
      <c r="AY515" s="5"/>
      <c r="BA515" s="40"/>
      <c r="BB515" s="5"/>
      <c r="BD515" s="40"/>
      <c r="BE515" s="5"/>
      <c r="BG515" s="40"/>
      <c r="BH515" s="5"/>
      <c r="BJ515" s="40"/>
      <c r="BK515" s="5"/>
      <c r="BM515" s="40"/>
      <c r="BN515" s="5"/>
      <c r="BP515" s="40"/>
      <c r="BQ515" s="5"/>
      <c r="BS515" s="40"/>
      <c r="BT515" s="5"/>
      <c r="BV515" s="40"/>
      <c r="BW515" s="5"/>
      <c r="BY515" s="40"/>
      <c r="BZ515" s="5"/>
      <c r="CB515" s="40"/>
      <c r="CC515" s="5"/>
      <c r="CE515" s="40"/>
      <c r="CF515" s="5"/>
      <c r="CH515" s="40"/>
      <c r="CI515" s="5"/>
      <c r="CK515" s="40"/>
      <c r="CL515" s="5"/>
      <c r="CN515" s="40"/>
      <c r="CO515" s="5"/>
      <c r="CQ515" s="40"/>
      <c r="CR515" s="5"/>
    </row>
    <row r="516">
      <c r="AO516" s="40"/>
      <c r="AP516" s="5"/>
      <c r="AR516" s="40"/>
      <c r="AS516" s="5"/>
      <c r="AU516" s="40"/>
      <c r="AV516" s="5"/>
      <c r="AX516" s="40"/>
      <c r="AY516" s="5"/>
      <c r="BA516" s="40"/>
      <c r="BB516" s="5"/>
      <c r="BD516" s="40"/>
      <c r="BE516" s="5"/>
      <c r="BG516" s="40"/>
      <c r="BH516" s="5"/>
      <c r="BJ516" s="40"/>
      <c r="BK516" s="5"/>
      <c r="BM516" s="40"/>
      <c r="BN516" s="5"/>
      <c r="BP516" s="40"/>
      <c r="BQ516" s="5"/>
      <c r="BS516" s="40"/>
      <c r="BT516" s="5"/>
      <c r="BV516" s="40"/>
      <c r="BW516" s="5"/>
      <c r="BY516" s="40"/>
      <c r="BZ516" s="5"/>
      <c r="CB516" s="40"/>
      <c r="CC516" s="5"/>
      <c r="CE516" s="40"/>
      <c r="CF516" s="5"/>
      <c r="CH516" s="40"/>
      <c r="CI516" s="5"/>
      <c r="CK516" s="40"/>
      <c r="CL516" s="5"/>
      <c r="CN516" s="40"/>
      <c r="CO516" s="5"/>
      <c r="CQ516" s="40"/>
      <c r="CR516" s="5"/>
    </row>
    <row r="517">
      <c r="AO517" s="40"/>
      <c r="AP517" s="5"/>
      <c r="AR517" s="40"/>
      <c r="AS517" s="5"/>
      <c r="AU517" s="40"/>
      <c r="AV517" s="5"/>
      <c r="AX517" s="40"/>
      <c r="AY517" s="5"/>
      <c r="BA517" s="40"/>
      <c r="BB517" s="5"/>
      <c r="BD517" s="40"/>
      <c r="BE517" s="5"/>
      <c r="BG517" s="40"/>
      <c r="BH517" s="5"/>
      <c r="BJ517" s="40"/>
      <c r="BK517" s="5"/>
      <c r="BM517" s="40"/>
      <c r="BN517" s="5"/>
      <c r="BP517" s="40"/>
      <c r="BQ517" s="5"/>
      <c r="BS517" s="40"/>
      <c r="BT517" s="5"/>
      <c r="BV517" s="40"/>
      <c r="BW517" s="5"/>
      <c r="BY517" s="40"/>
      <c r="BZ517" s="5"/>
      <c r="CB517" s="40"/>
      <c r="CC517" s="5"/>
      <c r="CE517" s="40"/>
      <c r="CF517" s="5"/>
      <c r="CH517" s="40"/>
      <c r="CI517" s="5"/>
      <c r="CK517" s="40"/>
      <c r="CL517" s="5"/>
      <c r="CN517" s="40"/>
      <c r="CO517" s="5"/>
      <c r="CQ517" s="40"/>
      <c r="CR517" s="5"/>
    </row>
    <row r="518">
      <c r="AO518" s="40"/>
      <c r="AP518" s="5"/>
      <c r="AR518" s="40"/>
      <c r="AS518" s="5"/>
      <c r="AU518" s="40"/>
      <c r="AV518" s="5"/>
      <c r="AX518" s="40"/>
      <c r="AY518" s="5"/>
      <c r="BA518" s="40"/>
      <c r="BB518" s="5"/>
      <c r="BD518" s="40"/>
      <c r="BE518" s="5"/>
      <c r="BG518" s="40"/>
      <c r="BH518" s="5"/>
      <c r="BJ518" s="40"/>
      <c r="BK518" s="5"/>
      <c r="BM518" s="40"/>
      <c r="BN518" s="5"/>
      <c r="BP518" s="40"/>
      <c r="BQ518" s="5"/>
      <c r="BS518" s="40"/>
      <c r="BT518" s="5"/>
      <c r="BV518" s="40"/>
      <c r="BW518" s="5"/>
      <c r="BY518" s="40"/>
      <c r="BZ518" s="5"/>
      <c r="CB518" s="40"/>
      <c r="CC518" s="5"/>
      <c r="CE518" s="40"/>
      <c r="CF518" s="5"/>
      <c r="CH518" s="40"/>
      <c r="CI518" s="5"/>
      <c r="CK518" s="40"/>
      <c r="CL518" s="5"/>
      <c r="CN518" s="40"/>
      <c r="CO518" s="5"/>
      <c r="CQ518" s="40"/>
      <c r="CR518" s="5"/>
    </row>
    <row r="519">
      <c r="AO519" s="40"/>
      <c r="AP519" s="5"/>
      <c r="AR519" s="40"/>
      <c r="AS519" s="5"/>
      <c r="AU519" s="40"/>
      <c r="AV519" s="5"/>
      <c r="AX519" s="40"/>
      <c r="AY519" s="5"/>
      <c r="BA519" s="40"/>
      <c r="BB519" s="5"/>
      <c r="BD519" s="40"/>
      <c r="BE519" s="5"/>
      <c r="BG519" s="40"/>
      <c r="BH519" s="5"/>
      <c r="BJ519" s="40"/>
      <c r="BK519" s="5"/>
      <c r="BM519" s="40"/>
      <c r="BN519" s="5"/>
      <c r="BP519" s="40"/>
      <c r="BQ519" s="5"/>
      <c r="BS519" s="40"/>
      <c r="BT519" s="5"/>
      <c r="BV519" s="40"/>
      <c r="BW519" s="5"/>
      <c r="BY519" s="40"/>
      <c r="BZ519" s="5"/>
      <c r="CB519" s="40"/>
      <c r="CC519" s="5"/>
      <c r="CE519" s="40"/>
      <c r="CF519" s="5"/>
      <c r="CH519" s="40"/>
      <c r="CI519" s="5"/>
      <c r="CK519" s="40"/>
      <c r="CL519" s="5"/>
      <c r="CN519" s="40"/>
      <c r="CO519" s="5"/>
      <c r="CQ519" s="40"/>
      <c r="CR519" s="5"/>
    </row>
    <row r="520">
      <c r="AO520" s="40"/>
      <c r="AP520" s="5"/>
      <c r="AR520" s="40"/>
      <c r="AS520" s="5"/>
      <c r="AU520" s="40"/>
      <c r="AV520" s="5"/>
      <c r="AX520" s="40"/>
      <c r="AY520" s="5"/>
      <c r="BA520" s="40"/>
      <c r="BB520" s="5"/>
      <c r="BD520" s="40"/>
      <c r="BE520" s="5"/>
      <c r="BG520" s="40"/>
      <c r="BH520" s="5"/>
      <c r="BJ520" s="40"/>
      <c r="BK520" s="5"/>
      <c r="BM520" s="40"/>
      <c r="BN520" s="5"/>
      <c r="BP520" s="40"/>
      <c r="BQ520" s="5"/>
      <c r="BS520" s="40"/>
      <c r="BT520" s="5"/>
      <c r="BV520" s="40"/>
      <c r="BW520" s="5"/>
      <c r="BY520" s="40"/>
      <c r="BZ520" s="5"/>
      <c r="CB520" s="40"/>
      <c r="CC520" s="5"/>
      <c r="CE520" s="40"/>
      <c r="CF520" s="5"/>
      <c r="CH520" s="40"/>
      <c r="CI520" s="5"/>
      <c r="CK520" s="40"/>
      <c r="CL520" s="5"/>
      <c r="CN520" s="40"/>
      <c r="CO520" s="5"/>
      <c r="CQ520" s="40"/>
      <c r="CR520" s="5"/>
    </row>
    <row r="521">
      <c r="AO521" s="40"/>
      <c r="AP521" s="5"/>
      <c r="AR521" s="40"/>
      <c r="AS521" s="5"/>
      <c r="AU521" s="40"/>
      <c r="AV521" s="5"/>
      <c r="AX521" s="40"/>
      <c r="AY521" s="5"/>
      <c r="BA521" s="40"/>
      <c r="BB521" s="5"/>
      <c r="BD521" s="40"/>
      <c r="BE521" s="5"/>
      <c r="BG521" s="40"/>
      <c r="BH521" s="5"/>
      <c r="BJ521" s="40"/>
      <c r="BK521" s="5"/>
      <c r="BM521" s="40"/>
      <c r="BN521" s="5"/>
      <c r="BP521" s="40"/>
      <c r="BQ521" s="5"/>
      <c r="BS521" s="40"/>
      <c r="BT521" s="5"/>
      <c r="BV521" s="40"/>
      <c r="BW521" s="5"/>
      <c r="BY521" s="40"/>
      <c r="BZ521" s="5"/>
      <c r="CB521" s="40"/>
      <c r="CC521" s="5"/>
      <c r="CE521" s="40"/>
      <c r="CF521" s="5"/>
      <c r="CH521" s="40"/>
      <c r="CI521" s="5"/>
      <c r="CK521" s="40"/>
      <c r="CL521" s="5"/>
      <c r="CN521" s="40"/>
      <c r="CO521" s="5"/>
      <c r="CQ521" s="40"/>
      <c r="CR521" s="5"/>
    </row>
    <row r="522">
      <c r="AO522" s="40"/>
      <c r="AP522" s="5"/>
      <c r="AR522" s="40"/>
      <c r="AS522" s="5"/>
      <c r="AU522" s="40"/>
      <c r="AV522" s="5"/>
      <c r="AX522" s="40"/>
      <c r="AY522" s="5"/>
      <c r="BA522" s="40"/>
      <c r="BB522" s="5"/>
      <c r="BD522" s="40"/>
      <c r="BE522" s="5"/>
      <c r="BG522" s="40"/>
      <c r="BH522" s="5"/>
      <c r="BJ522" s="40"/>
      <c r="BK522" s="5"/>
      <c r="BM522" s="40"/>
      <c r="BN522" s="5"/>
      <c r="BP522" s="40"/>
      <c r="BQ522" s="5"/>
      <c r="BS522" s="40"/>
      <c r="BT522" s="5"/>
      <c r="BV522" s="40"/>
      <c r="BW522" s="5"/>
      <c r="BY522" s="40"/>
      <c r="BZ522" s="5"/>
      <c r="CB522" s="40"/>
      <c r="CC522" s="5"/>
      <c r="CE522" s="40"/>
      <c r="CF522" s="5"/>
      <c r="CH522" s="40"/>
      <c r="CI522" s="5"/>
      <c r="CK522" s="40"/>
      <c r="CL522" s="5"/>
      <c r="CN522" s="40"/>
      <c r="CO522" s="5"/>
      <c r="CQ522" s="40"/>
      <c r="CR522" s="5"/>
    </row>
    <row r="523">
      <c r="AO523" s="40"/>
      <c r="AP523" s="5"/>
      <c r="AR523" s="40"/>
      <c r="AS523" s="5"/>
      <c r="AU523" s="40"/>
      <c r="AV523" s="5"/>
      <c r="AX523" s="40"/>
      <c r="AY523" s="5"/>
      <c r="BA523" s="40"/>
      <c r="BB523" s="5"/>
      <c r="BD523" s="40"/>
      <c r="BE523" s="5"/>
      <c r="BG523" s="40"/>
      <c r="BH523" s="5"/>
      <c r="BJ523" s="40"/>
      <c r="BK523" s="5"/>
      <c r="BM523" s="40"/>
      <c r="BN523" s="5"/>
      <c r="BP523" s="40"/>
      <c r="BQ523" s="5"/>
      <c r="BS523" s="40"/>
      <c r="BT523" s="5"/>
      <c r="BV523" s="40"/>
      <c r="BW523" s="5"/>
      <c r="BY523" s="40"/>
      <c r="BZ523" s="5"/>
      <c r="CB523" s="40"/>
      <c r="CC523" s="5"/>
      <c r="CE523" s="40"/>
      <c r="CF523" s="5"/>
      <c r="CH523" s="40"/>
      <c r="CI523" s="5"/>
      <c r="CK523" s="40"/>
      <c r="CL523" s="5"/>
      <c r="CN523" s="40"/>
      <c r="CO523" s="5"/>
      <c r="CQ523" s="40"/>
      <c r="CR523" s="5"/>
    </row>
    <row r="524">
      <c r="AO524" s="40"/>
      <c r="AP524" s="5"/>
      <c r="AR524" s="40"/>
      <c r="AS524" s="5"/>
      <c r="AU524" s="40"/>
      <c r="AV524" s="5"/>
      <c r="AX524" s="40"/>
      <c r="AY524" s="5"/>
      <c r="BA524" s="40"/>
      <c r="BB524" s="5"/>
      <c r="BD524" s="40"/>
      <c r="BE524" s="5"/>
      <c r="BG524" s="40"/>
      <c r="BH524" s="5"/>
      <c r="BJ524" s="40"/>
      <c r="BK524" s="5"/>
      <c r="BM524" s="40"/>
      <c r="BN524" s="5"/>
      <c r="BP524" s="40"/>
      <c r="BQ524" s="5"/>
      <c r="BS524" s="40"/>
      <c r="BT524" s="5"/>
      <c r="BV524" s="40"/>
      <c r="BW524" s="5"/>
      <c r="BY524" s="40"/>
      <c r="BZ524" s="5"/>
      <c r="CB524" s="40"/>
      <c r="CC524" s="5"/>
      <c r="CE524" s="40"/>
      <c r="CF524" s="5"/>
      <c r="CH524" s="40"/>
      <c r="CI524" s="5"/>
      <c r="CK524" s="40"/>
      <c r="CL524" s="5"/>
      <c r="CN524" s="40"/>
      <c r="CO524" s="5"/>
      <c r="CQ524" s="40"/>
      <c r="CR524" s="5"/>
    </row>
    <row r="525">
      <c r="AO525" s="40"/>
      <c r="AP525" s="5"/>
      <c r="AR525" s="40"/>
      <c r="AS525" s="5"/>
      <c r="AU525" s="40"/>
      <c r="AV525" s="5"/>
      <c r="AX525" s="40"/>
      <c r="AY525" s="5"/>
      <c r="BA525" s="40"/>
      <c r="BB525" s="5"/>
      <c r="BD525" s="40"/>
      <c r="BE525" s="5"/>
      <c r="BG525" s="40"/>
      <c r="BH525" s="5"/>
      <c r="BJ525" s="40"/>
      <c r="BK525" s="5"/>
      <c r="BM525" s="40"/>
      <c r="BN525" s="5"/>
      <c r="BP525" s="40"/>
      <c r="BQ525" s="5"/>
      <c r="BS525" s="40"/>
      <c r="BT525" s="5"/>
      <c r="BV525" s="40"/>
      <c r="BW525" s="5"/>
      <c r="BY525" s="40"/>
      <c r="BZ525" s="5"/>
      <c r="CB525" s="40"/>
      <c r="CC525" s="5"/>
      <c r="CE525" s="40"/>
      <c r="CF525" s="5"/>
      <c r="CH525" s="40"/>
      <c r="CI525" s="5"/>
      <c r="CK525" s="40"/>
      <c r="CL525" s="5"/>
      <c r="CN525" s="40"/>
      <c r="CO525" s="5"/>
      <c r="CQ525" s="40"/>
      <c r="CR525" s="5"/>
    </row>
    <row r="526">
      <c r="AO526" s="40"/>
      <c r="AP526" s="5"/>
      <c r="AR526" s="40"/>
      <c r="AS526" s="5"/>
      <c r="AU526" s="40"/>
      <c r="AV526" s="5"/>
      <c r="AX526" s="40"/>
      <c r="AY526" s="5"/>
      <c r="BA526" s="40"/>
      <c r="BB526" s="5"/>
      <c r="BD526" s="40"/>
      <c r="BE526" s="5"/>
      <c r="BG526" s="40"/>
      <c r="BH526" s="5"/>
      <c r="BJ526" s="40"/>
      <c r="BK526" s="5"/>
      <c r="BM526" s="40"/>
      <c r="BN526" s="5"/>
      <c r="BP526" s="40"/>
      <c r="BQ526" s="5"/>
      <c r="BS526" s="40"/>
      <c r="BT526" s="5"/>
      <c r="BV526" s="40"/>
      <c r="BW526" s="5"/>
      <c r="BY526" s="40"/>
      <c r="BZ526" s="5"/>
      <c r="CB526" s="40"/>
      <c r="CC526" s="5"/>
      <c r="CE526" s="40"/>
      <c r="CF526" s="5"/>
      <c r="CH526" s="40"/>
      <c r="CI526" s="5"/>
      <c r="CK526" s="40"/>
      <c r="CL526" s="5"/>
      <c r="CN526" s="40"/>
      <c r="CO526" s="5"/>
      <c r="CQ526" s="40"/>
      <c r="CR526" s="5"/>
    </row>
    <row r="527">
      <c r="AO527" s="40"/>
      <c r="AP527" s="5"/>
      <c r="AR527" s="40"/>
      <c r="AS527" s="5"/>
      <c r="AU527" s="40"/>
      <c r="AV527" s="5"/>
      <c r="AX527" s="40"/>
      <c r="AY527" s="5"/>
      <c r="BA527" s="40"/>
      <c r="BB527" s="5"/>
      <c r="BD527" s="40"/>
      <c r="BE527" s="5"/>
      <c r="BG527" s="40"/>
      <c r="BH527" s="5"/>
      <c r="BJ527" s="40"/>
      <c r="BK527" s="5"/>
      <c r="BM527" s="40"/>
      <c r="BN527" s="5"/>
      <c r="BP527" s="40"/>
      <c r="BQ527" s="5"/>
      <c r="BS527" s="40"/>
      <c r="BT527" s="5"/>
      <c r="BV527" s="40"/>
      <c r="BW527" s="5"/>
      <c r="BY527" s="40"/>
      <c r="BZ527" s="5"/>
      <c r="CB527" s="40"/>
      <c r="CC527" s="5"/>
      <c r="CE527" s="40"/>
      <c r="CF527" s="5"/>
      <c r="CH527" s="40"/>
      <c r="CI527" s="5"/>
      <c r="CK527" s="40"/>
      <c r="CL527" s="5"/>
      <c r="CN527" s="40"/>
      <c r="CO527" s="5"/>
      <c r="CQ527" s="40"/>
      <c r="CR527" s="5"/>
    </row>
    <row r="528">
      <c r="AO528" s="40"/>
      <c r="AP528" s="5"/>
      <c r="AR528" s="40"/>
      <c r="AS528" s="5"/>
      <c r="AU528" s="40"/>
      <c r="AV528" s="5"/>
      <c r="AX528" s="40"/>
      <c r="AY528" s="5"/>
      <c r="BA528" s="40"/>
      <c r="BB528" s="5"/>
      <c r="BD528" s="40"/>
      <c r="BE528" s="5"/>
      <c r="BG528" s="40"/>
      <c r="BH528" s="5"/>
      <c r="BJ528" s="40"/>
      <c r="BK528" s="5"/>
      <c r="BM528" s="40"/>
      <c r="BN528" s="5"/>
      <c r="BP528" s="40"/>
      <c r="BQ528" s="5"/>
      <c r="BS528" s="40"/>
      <c r="BT528" s="5"/>
      <c r="BV528" s="40"/>
      <c r="BW528" s="5"/>
      <c r="BY528" s="40"/>
      <c r="BZ528" s="5"/>
      <c r="CB528" s="40"/>
      <c r="CC528" s="5"/>
      <c r="CE528" s="40"/>
      <c r="CF528" s="5"/>
      <c r="CH528" s="40"/>
      <c r="CI528" s="5"/>
      <c r="CK528" s="40"/>
      <c r="CL528" s="5"/>
      <c r="CN528" s="40"/>
      <c r="CO528" s="5"/>
      <c r="CQ528" s="40"/>
      <c r="CR528" s="5"/>
    </row>
    <row r="529">
      <c r="AO529" s="40"/>
      <c r="AP529" s="5"/>
      <c r="AR529" s="40"/>
      <c r="AS529" s="5"/>
      <c r="AU529" s="40"/>
      <c r="AV529" s="5"/>
      <c r="AX529" s="40"/>
      <c r="AY529" s="5"/>
      <c r="BA529" s="40"/>
      <c r="BB529" s="5"/>
      <c r="BD529" s="40"/>
      <c r="BE529" s="5"/>
      <c r="BG529" s="40"/>
      <c r="BH529" s="5"/>
      <c r="BJ529" s="40"/>
      <c r="BK529" s="5"/>
      <c r="BM529" s="40"/>
      <c r="BN529" s="5"/>
      <c r="BP529" s="40"/>
      <c r="BQ529" s="5"/>
      <c r="BS529" s="40"/>
      <c r="BT529" s="5"/>
      <c r="BV529" s="40"/>
      <c r="BW529" s="5"/>
      <c r="BY529" s="40"/>
      <c r="BZ529" s="5"/>
      <c r="CB529" s="40"/>
      <c r="CC529" s="5"/>
      <c r="CE529" s="40"/>
      <c r="CF529" s="5"/>
      <c r="CH529" s="40"/>
      <c r="CI529" s="5"/>
      <c r="CK529" s="40"/>
      <c r="CL529" s="5"/>
      <c r="CN529" s="40"/>
      <c r="CO529" s="5"/>
      <c r="CQ529" s="40"/>
      <c r="CR529" s="5"/>
    </row>
    <row r="530">
      <c r="AO530" s="40"/>
      <c r="AP530" s="5"/>
      <c r="AR530" s="40"/>
      <c r="AS530" s="5"/>
      <c r="AU530" s="40"/>
      <c r="AV530" s="5"/>
      <c r="AX530" s="40"/>
      <c r="AY530" s="5"/>
      <c r="BA530" s="40"/>
      <c r="BB530" s="5"/>
      <c r="BD530" s="40"/>
      <c r="BE530" s="5"/>
      <c r="BG530" s="40"/>
      <c r="BH530" s="5"/>
      <c r="BJ530" s="40"/>
      <c r="BK530" s="5"/>
      <c r="BM530" s="40"/>
      <c r="BN530" s="5"/>
      <c r="BP530" s="40"/>
      <c r="BQ530" s="5"/>
      <c r="BS530" s="40"/>
      <c r="BT530" s="5"/>
      <c r="BV530" s="40"/>
      <c r="BW530" s="5"/>
      <c r="BY530" s="40"/>
      <c r="BZ530" s="5"/>
      <c r="CB530" s="40"/>
      <c r="CC530" s="5"/>
      <c r="CE530" s="40"/>
      <c r="CF530" s="5"/>
      <c r="CH530" s="40"/>
      <c r="CI530" s="5"/>
      <c r="CK530" s="40"/>
      <c r="CL530" s="5"/>
      <c r="CN530" s="40"/>
      <c r="CO530" s="5"/>
      <c r="CQ530" s="40"/>
      <c r="CR530" s="5"/>
    </row>
    <row r="531">
      <c r="AO531" s="40"/>
      <c r="AP531" s="5"/>
      <c r="AR531" s="40"/>
      <c r="AS531" s="5"/>
      <c r="AU531" s="40"/>
      <c r="AV531" s="5"/>
      <c r="AX531" s="40"/>
      <c r="AY531" s="5"/>
      <c r="BA531" s="40"/>
      <c r="BB531" s="5"/>
      <c r="BD531" s="40"/>
      <c r="BE531" s="5"/>
      <c r="BG531" s="40"/>
      <c r="BH531" s="5"/>
      <c r="BJ531" s="40"/>
      <c r="BK531" s="5"/>
      <c r="BM531" s="40"/>
      <c r="BN531" s="5"/>
      <c r="BP531" s="40"/>
      <c r="BQ531" s="5"/>
      <c r="BS531" s="40"/>
      <c r="BT531" s="5"/>
      <c r="BV531" s="40"/>
      <c r="BW531" s="5"/>
      <c r="BY531" s="40"/>
      <c r="BZ531" s="5"/>
      <c r="CB531" s="40"/>
      <c r="CC531" s="5"/>
      <c r="CE531" s="40"/>
      <c r="CF531" s="5"/>
      <c r="CH531" s="40"/>
      <c r="CI531" s="5"/>
      <c r="CK531" s="40"/>
      <c r="CL531" s="5"/>
      <c r="CN531" s="40"/>
      <c r="CO531" s="5"/>
      <c r="CQ531" s="40"/>
      <c r="CR531" s="5"/>
    </row>
    <row r="532">
      <c r="AO532" s="40"/>
      <c r="AP532" s="5"/>
      <c r="AR532" s="40"/>
      <c r="AS532" s="5"/>
      <c r="AU532" s="40"/>
      <c r="AV532" s="5"/>
      <c r="AX532" s="40"/>
      <c r="AY532" s="5"/>
      <c r="BA532" s="40"/>
      <c r="BB532" s="5"/>
      <c r="BD532" s="40"/>
      <c r="BE532" s="5"/>
      <c r="BG532" s="40"/>
      <c r="BH532" s="5"/>
      <c r="BJ532" s="40"/>
      <c r="BK532" s="5"/>
      <c r="BM532" s="40"/>
      <c r="BN532" s="5"/>
      <c r="BP532" s="40"/>
      <c r="BQ532" s="5"/>
      <c r="BS532" s="40"/>
      <c r="BT532" s="5"/>
      <c r="BV532" s="40"/>
      <c r="BW532" s="5"/>
      <c r="BY532" s="40"/>
      <c r="BZ532" s="5"/>
      <c r="CB532" s="40"/>
      <c r="CC532" s="5"/>
      <c r="CE532" s="40"/>
      <c r="CF532" s="5"/>
      <c r="CH532" s="40"/>
      <c r="CI532" s="5"/>
      <c r="CK532" s="40"/>
      <c r="CL532" s="5"/>
      <c r="CN532" s="40"/>
      <c r="CO532" s="5"/>
      <c r="CQ532" s="40"/>
      <c r="CR532" s="5"/>
    </row>
    <row r="533">
      <c r="AO533" s="40"/>
      <c r="AP533" s="5"/>
      <c r="AR533" s="40"/>
      <c r="AS533" s="5"/>
      <c r="AU533" s="40"/>
      <c r="AV533" s="5"/>
      <c r="AX533" s="40"/>
      <c r="AY533" s="5"/>
      <c r="BA533" s="40"/>
      <c r="BB533" s="5"/>
      <c r="BD533" s="40"/>
      <c r="BE533" s="5"/>
      <c r="BG533" s="40"/>
      <c r="BH533" s="5"/>
      <c r="BJ533" s="40"/>
      <c r="BK533" s="5"/>
      <c r="BM533" s="40"/>
      <c r="BN533" s="5"/>
      <c r="BP533" s="40"/>
      <c r="BQ533" s="5"/>
      <c r="BS533" s="40"/>
      <c r="BT533" s="5"/>
      <c r="BV533" s="40"/>
      <c r="BW533" s="5"/>
      <c r="BY533" s="40"/>
      <c r="BZ533" s="5"/>
      <c r="CB533" s="40"/>
      <c r="CC533" s="5"/>
      <c r="CE533" s="40"/>
      <c r="CF533" s="5"/>
      <c r="CH533" s="40"/>
      <c r="CI533" s="5"/>
      <c r="CK533" s="40"/>
      <c r="CL533" s="5"/>
      <c r="CN533" s="40"/>
      <c r="CO533" s="5"/>
      <c r="CQ533" s="40"/>
      <c r="CR533" s="5"/>
    </row>
    <row r="534">
      <c r="AO534" s="40"/>
      <c r="AP534" s="5"/>
      <c r="AR534" s="40"/>
      <c r="AS534" s="5"/>
      <c r="AU534" s="40"/>
      <c r="AV534" s="5"/>
      <c r="AX534" s="40"/>
      <c r="AY534" s="5"/>
      <c r="BA534" s="40"/>
      <c r="BB534" s="5"/>
      <c r="BD534" s="40"/>
      <c r="BE534" s="5"/>
      <c r="BG534" s="40"/>
      <c r="BH534" s="5"/>
      <c r="BJ534" s="40"/>
      <c r="BK534" s="5"/>
      <c r="BM534" s="40"/>
      <c r="BN534" s="5"/>
      <c r="BP534" s="40"/>
      <c r="BQ534" s="5"/>
      <c r="BS534" s="40"/>
      <c r="BT534" s="5"/>
      <c r="BV534" s="40"/>
      <c r="BW534" s="5"/>
      <c r="BY534" s="40"/>
      <c r="BZ534" s="5"/>
      <c r="CB534" s="40"/>
      <c r="CC534" s="5"/>
      <c r="CE534" s="40"/>
      <c r="CF534" s="5"/>
      <c r="CH534" s="40"/>
      <c r="CI534" s="5"/>
      <c r="CK534" s="40"/>
      <c r="CL534" s="5"/>
      <c r="CN534" s="40"/>
      <c r="CO534" s="5"/>
      <c r="CQ534" s="40"/>
      <c r="CR534" s="5"/>
    </row>
    <row r="535">
      <c r="AO535" s="40"/>
      <c r="AP535" s="5"/>
      <c r="AR535" s="40"/>
      <c r="AS535" s="5"/>
      <c r="AU535" s="40"/>
      <c r="AV535" s="5"/>
      <c r="AX535" s="40"/>
      <c r="AY535" s="5"/>
      <c r="BA535" s="40"/>
      <c r="BB535" s="5"/>
      <c r="BD535" s="40"/>
      <c r="BE535" s="5"/>
      <c r="BG535" s="40"/>
      <c r="BH535" s="5"/>
      <c r="BJ535" s="40"/>
      <c r="BK535" s="5"/>
      <c r="BM535" s="40"/>
      <c r="BN535" s="5"/>
      <c r="BP535" s="40"/>
      <c r="BQ535" s="5"/>
      <c r="BS535" s="40"/>
      <c r="BT535" s="5"/>
      <c r="BV535" s="40"/>
      <c r="BW535" s="5"/>
      <c r="BY535" s="40"/>
      <c r="BZ535" s="5"/>
      <c r="CB535" s="40"/>
      <c r="CC535" s="5"/>
      <c r="CE535" s="40"/>
      <c r="CF535" s="5"/>
      <c r="CH535" s="40"/>
      <c r="CI535" s="5"/>
      <c r="CK535" s="40"/>
      <c r="CL535" s="5"/>
      <c r="CN535" s="40"/>
      <c r="CO535" s="5"/>
      <c r="CQ535" s="40"/>
      <c r="CR535" s="5"/>
    </row>
    <row r="536">
      <c r="AO536" s="40"/>
      <c r="AP536" s="5"/>
      <c r="AR536" s="40"/>
      <c r="AS536" s="5"/>
      <c r="AU536" s="40"/>
      <c r="AV536" s="5"/>
      <c r="AX536" s="40"/>
      <c r="AY536" s="5"/>
      <c r="BA536" s="40"/>
      <c r="BB536" s="5"/>
      <c r="BD536" s="40"/>
      <c r="BE536" s="5"/>
      <c r="BG536" s="40"/>
      <c r="BH536" s="5"/>
      <c r="BJ536" s="40"/>
      <c r="BK536" s="5"/>
      <c r="BM536" s="40"/>
      <c r="BN536" s="5"/>
      <c r="BP536" s="40"/>
      <c r="BQ536" s="5"/>
      <c r="BS536" s="40"/>
      <c r="BT536" s="5"/>
      <c r="BV536" s="40"/>
      <c r="BW536" s="5"/>
      <c r="BY536" s="40"/>
      <c r="BZ536" s="5"/>
      <c r="CB536" s="40"/>
      <c r="CC536" s="5"/>
      <c r="CE536" s="40"/>
      <c r="CF536" s="5"/>
      <c r="CH536" s="40"/>
      <c r="CI536" s="5"/>
      <c r="CK536" s="40"/>
      <c r="CL536" s="5"/>
      <c r="CN536" s="40"/>
      <c r="CO536" s="5"/>
      <c r="CQ536" s="40"/>
      <c r="CR536" s="5"/>
    </row>
    <row r="537">
      <c r="AO537" s="40"/>
      <c r="AP537" s="5"/>
      <c r="AR537" s="40"/>
      <c r="AS537" s="5"/>
      <c r="AU537" s="40"/>
      <c r="AV537" s="5"/>
      <c r="AX537" s="40"/>
      <c r="AY537" s="5"/>
      <c r="BA537" s="40"/>
      <c r="BB537" s="5"/>
      <c r="BD537" s="40"/>
      <c r="BE537" s="5"/>
      <c r="BG537" s="40"/>
      <c r="BH537" s="5"/>
      <c r="BJ537" s="40"/>
      <c r="BK537" s="5"/>
      <c r="BM537" s="40"/>
      <c r="BN537" s="5"/>
      <c r="BP537" s="40"/>
      <c r="BQ537" s="5"/>
      <c r="BS537" s="40"/>
      <c r="BT537" s="5"/>
      <c r="BV537" s="40"/>
      <c r="BW537" s="5"/>
      <c r="BY537" s="40"/>
      <c r="BZ537" s="5"/>
      <c r="CB537" s="40"/>
      <c r="CC537" s="5"/>
      <c r="CE537" s="40"/>
      <c r="CF537" s="5"/>
      <c r="CH537" s="40"/>
      <c r="CI537" s="5"/>
      <c r="CK537" s="40"/>
      <c r="CL537" s="5"/>
      <c r="CN537" s="40"/>
      <c r="CO537" s="5"/>
      <c r="CQ537" s="40"/>
      <c r="CR537" s="5"/>
    </row>
    <row r="538">
      <c r="AO538" s="40"/>
      <c r="AP538" s="5"/>
      <c r="AR538" s="40"/>
      <c r="AS538" s="5"/>
      <c r="AU538" s="40"/>
      <c r="AV538" s="5"/>
      <c r="AX538" s="40"/>
      <c r="AY538" s="5"/>
      <c r="BA538" s="40"/>
      <c r="BB538" s="5"/>
      <c r="BD538" s="40"/>
      <c r="BE538" s="5"/>
      <c r="BG538" s="40"/>
      <c r="BH538" s="5"/>
      <c r="BJ538" s="40"/>
      <c r="BK538" s="5"/>
      <c r="BM538" s="40"/>
      <c r="BN538" s="5"/>
      <c r="BP538" s="40"/>
      <c r="BQ538" s="5"/>
      <c r="BS538" s="40"/>
      <c r="BT538" s="5"/>
      <c r="BV538" s="40"/>
      <c r="BW538" s="5"/>
      <c r="BY538" s="40"/>
      <c r="BZ538" s="5"/>
      <c r="CB538" s="40"/>
      <c r="CC538" s="5"/>
      <c r="CE538" s="40"/>
      <c r="CF538" s="5"/>
      <c r="CH538" s="40"/>
      <c r="CI538" s="5"/>
      <c r="CK538" s="40"/>
      <c r="CL538" s="5"/>
      <c r="CN538" s="40"/>
      <c r="CO538" s="5"/>
      <c r="CQ538" s="40"/>
      <c r="CR538" s="5"/>
    </row>
    <row r="539">
      <c r="AO539" s="40"/>
      <c r="AP539" s="5"/>
      <c r="AR539" s="40"/>
      <c r="AS539" s="5"/>
      <c r="AU539" s="40"/>
      <c r="AV539" s="5"/>
      <c r="AX539" s="40"/>
      <c r="AY539" s="5"/>
      <c r="BA539" s="40"/>
      <c r="BB539" s="5"/>
      <c r="BD539" s="40"/>
      <c r="BE539" s="5"/>
      <c r="BG539" s="40"/>
      <c r="BH539" s="5"/>
      <c r="BJ539" s="40"/>
      <c r="BK539" s="5"/>
      <c r="BM539" s="40"/>
      <c r="BN539" s="5"/>
      <c r="BP539" s="40"/>
      <c r="BQ539" s="5"/>
      <c r="BS539" s="40"/>
      <c r="BT539" s="5"/>
      <c r="BV539" s="40"/>
      <c r="BW539" s="5"/>
      <c r="BY539" s="40"/>
      <c r="BZ539" s="5"/>
      <c r="CB539" s="40"/>
      <c r="CC539" s="5"/>
      <c r="CE539" s="40"/>
      <c r="CF539" s="5"/>
      <c r="CH539" s="40"/>
      <c r="CI539" s="5"/>
      <c r="CK539" s="40"/>
      <c r="CL539" s="5"/>
      <c r="CN539" s="40"/>
      <c r="CO539" s="5"/>
      <c r="CQ539" s="40"/>
      <c r="CR539" s="5"/>
    </row>
    <row r="540">
      <c r="AO540" s="40"/>
      <c r="AP540" s="5"/>
      <c r="AR540" s="40"/>
      <c r="AS540" s="5"/>
      <c r="AU540" s="40"/>
      <c r="AV540" s="5"/>
      <c r="AX540" s="40"/>
      <c r="AY540" s="5"/>
      <c r="BA540" s="40"/>
      <c r="BB540" s="5"/>
      <c r="BD540" s="40"/>
      <c r="BE540" s="5"/>
      <c r="BG540" s="40"/>
      <c r="BH540" s="5"/>
      <c r="BJ540" s="40"/>
      <c r="BK540" s="5"/>
      <c r="BM540" s="40"/>
      <c r="BN540" s="5"/>
      <c r="BP540" s="40"/>
      <c r="BQ540" s="5"/>
      <c r="BS540" s="40"/>
      <c r="BT540" s="5"/>
      <c r="BV540" s="40"/>
      <c r="BW540" s="5"/>
      <c r="BY540" s="40"/>
      <c r="BZ540" s="5"/>
      <c r="CB540" s="40"/>
      <c r="CC540" s="5"/>
      <c r="CE540" s="40"/>
      <c r="CF540" s="5"/>
      <c r="CH540" s="40"/>
      <c r="CI540" s="5"/>
      <c r="CK540" s="40"/>
      <c r="CL540" s="5"/>
      <c r="CN540" s="40"/>
      <c r="CO540" s="5"/>
      <c r="CQ540" s="40"/>
      <c r="CR540" s="5"/>
    </row>
    <row r="541">
      <c r="AO541" s="40"/>
      <c r="AP541" s="5"/>
      <c r="AR541" s="40"/>
      <c r="AS541" s="5"/>
      <c r="AU541" s="40"/>
      <c r="AV541" s="5"/>
      <c r="AX541" s="40"/>
      <c r="AY541" s="5"/>
      <c r="BA541" s="40"/>
      <c r="BB541" s="5"/>
      <c r="BD541" s="40"/>
      <c r="BE541" s="5"/>
      <c r="BG541" s="40"/>
      <c r="BH541" s="5"/>
      <c r="BJ541" s="40"/>
      <c r="BK541" s="5"/>
      <c r="BM541" s="40"/>
      <c r="BN541" s="5"/>
      <c r="BP541" s="40"/>
      <c r="BQ541" s="5"/>
      <c r="BS541" s="40"/>
      <c r="BT541" s="5"/>
      <c r="BV541" s="40"/>
      <c r="BW541" s="5"/>
      <c r="BY541" s="40"/>
      <c r="BZ541" s="5"/>
      <c r="CB541" s="40"/>
      <c r="CC541" s="5"/>
      <c r="CE541" s="40"/>
      <c r="CF541" s="5"/>
      <c r="CH541" s="40"/>
      <c r="CI541" s="5"/>
      <c r="CK541" s="40"/>
      <c r="CL541" s="5"/>
      <c r="CN541" s="40"/>
      <c r="CO541" s="5"/>
      <c r="CQ541" s="40"/>
      <c r="CR541" s="5"/>
    </row>
    <row r="542">
      <c r="AO542" s="40"/>
      <c r="AP542" s="5"/>
      <c r="AR542" s="40"/>
      <c r="AS542" s="5"/>
      <c r="AU542" s="40"/>
      <c r="AV542" s="5"/>
      <c r="AX542" s="40"/>
      <c r="AY542" s="5"/>
      <c r="BA542" s="40"/>
      <c r="BB542" s="5"/>
      <c r="BD542" s="40"/>
      <c r="BE542" s="5"/>
      <c r="BG542" s="40"/>
      <c r="BH542" s="5"/>
      <c r="BJ542" s="40"/>
      <c r="BK542" s="5"/>
      <c r="BM542" s="40"/>
      <c r="BN542" s="5"/>
      <c r="BP542" s="40"/>
      <c r="BQ542" s="5"/>
      <c r="BS542" s="40"/>
      <c r="BT542" s="5"/>
      <c r="BV542" s="40"/>
      <c r="BW542" s="5"/>
      <c r="BY542" s="40"/>
      <c r="BZ542" s="5"/>
      <c r="CB542" s="40"/>
      <c r="CC542" s="5"/>
      <c r="CE542" s="40"/>
      <c r="CF542" s="5"/>
      <c r="CH542" s="40"/>
      <c r="CI542" s="5"/>
      <c r="CK542" s="40"/>
      <c r="CL542" s="5"/>
      <c r="CN542" s="40"/>
      <c r="CO542" s="5"/>
      <c r="CQ542" s="40"/>
      <c r="CR542" s="5"/>
    </row>
    <row r="543">
      <c r="AO543" s="40"/>
      <c r="AP543" s="5"/>
      <c r="AR543" s="40"/>
      <c r="AS543" s="5"/>
      <c r="AU543" s="40"/>
      <c r="AV543" s="5"/>
      <c r="AX543" s="40"/>
      <c r="AY543" s="5"/>
      <c r="BA543" s="40"/>
      <c r="BB543" s="5"/>
      <c r="BD543" s="40"/>
      <c r="BE543" s="5"/>
      <c r="BG543" s="40"/>
      <c r="BH543" s="5"/>
      <c r="BJ543" s="40"/>
      <c r="BK543" s="5"/>
      <c r="BM543" s="40"/>
      <c r="BN543" s="5"/>
      <c r="BP543" s="40"/>
      <c r="BQ543" s="5"/>
      <c r="BS543" s="40"/>
      <c r="BT543" s="5"/>
      <c r="BV543" s="40"/>
      <c r="BW543" s="5"/>
      <c r="BY543" s="40"/>
      <c r="BZ543" s="5"/>
      <c r="CB543" s="40"/>
      <c r="CC543" s="5"/>
      <c r="CE543" s="40"/>
      <c r="CF543" s="5"/>
      <c r="CH543" s="40"/>
      <c r="CI543" s="5"/>
      <c r="CK543" s="40"/>
      <c r="CL543" s="5"/>
      <c r="CN543" s="40"/>
      <c r="CO543" s="5"/>
      <c r="CQ543" s="40"/>
      <c r="CR543" s="5"/>
    </row>
    <row r="544">
      <c r="AO544" s="40"/>
      <c r="AP544" s="5"/>
      <c r="AR544" s="40"/>
      <c r="AS544" s="5"/>
      <c r="AU544" s="40"/>
      <c r="AV544" s="5"/>
      <c r="AX544" s="40"/>
      <c r="AY544" s="5"/>
      <c r="BA544" s="40"/>
      <c r="BB544" s="5"/>
      <c r="BD544" s="40"/>
      <c r="BE544" s="5"/>
      <c r="BG544" s="40"/>
      <c r="BH544" s="5"/>
      <c r="BJ544" s="40"/>
      <c r="BK544" s="5"/>
      <c r="BM544" s="40"/>
      <c r="BN544" s="5"/>
      <c r="BP544" s="40"/>
      <c r="BQ544" s="5"/>
      <c r="BS544" s="40"/>
      <c r="BT544" s="5"/>
      <c r="BV544" s="40"/>
      <c r="BW544" s="5"/>
      <c r="BY544" s="40"/>
      <c r="BZ544" s="5"/>
      <c r="CB544" s="40"/>
      <c r="CC544" s="5"/>
      <c r="CE544" s="40"/>
      <c r="CF544" s="5"/>
      <c r="CH544" s="40"/>
      <c r="CI544" s="5"/>
      <c r="CK544" s="40"/>
      <c r="CL544" s="5"/>
      <c r="CN544" s="40"/>
      <c r="CO544" s="5"/>
      <c r="CQ544" s="40"/>
      <c r="CR544" s="5"/>
    </row>
    <row r="545">
      <c r="AO545" s="40"/>
      <c r="AP545" s="5"/>
      <c r="AR545" s="40"/>
      <c r="AS545" s="5"/>
      <c r="AU545" s="40"/>
      <c r="AV545" s="5"/>
      <c r="AX545" s="40"/>
      <c r="AY545" s="5"/>
      <c r="BA545" s="40"/>
      <c r="BB545" s="5"/>
      <c r="BD545" s="40"/>
      <c r="BE545" s="5"/>
      <c r="BG545" s="40"/>
      <c r="BH545" s="5"/>
      <c r="BJ545" s="40"/>
      <c r="BK545" s="5"/>
      <c r="BM545" s="40"/>
      <c r="BN545" s="5"/>
      <c r="BP545" s="40"/>
      <c r="BQ545" s="5"/>
      <c r="BS545" s="40"/>
      <c r="BT545" s="5"/>
      <c r="BV545" s="40"/>
      <c r="BW545" s="5"/>
      <c r="BY545" s="40"/>
      <c r="BZ545" s="5"/>
      <c r="CB545" s="40"/>
      <c r="CC545" s="5"/>
      <c r="CE545" s="40"/>
      <c r="CF545" s="5"/>
      <c r="CH545" s="40"/>
      <c r="CI545" s="5"/>
      <c r="CK545" s="40"/>
      <c r="CL545" s="5"/>
      <c r="CN545" s="40"/>
      <c r="CO545" s="5"/>
      <c r="CQ545" s="40"/>
      <c r="CR545" s="5"/>
    </row>
    <row r="546">
      <c r="AO546" s="40"/>
      <c r="AP546" s="5"/>
      <c r="AR546" s="40"/>
      <c r="AS546" s="5"/>
      <c r="AU546" s="40"/>
      <c r="AV546" s="5"/>
      <c r="AX546" s="40"/>
      <c r="AY546" s="5"/>
      <c r="BA546" s="40"/>
      <c r="BB546" s="5"/>
      <c r="BD546" s="40"/>
      <c r="BE546" s="5"/>
      <c r="BG546" s="40"/>
      <c r="BH546" s="5"/>
      <c r="BJ546" s="40"/>
      <c r="BK546" s="5"/>
      <c r="BM546" s="40"/>
      <c r="BN546" s="5"/>
      <c r="BP546" s="40"/>
      <c r="BQ546" s="5"/>
      <c r="BS546" s="40"/>
      <c r="BT546" s="5"/>
      <c r="BV546" s="40"/>
      <c r="BW546" s="5"/>
      <c r="BY546" s="40"/>
      <c r="BZ546" s="5"/>
      <c r="CB546" s="40"/>
      <c r="CC546" s="5"/>
      <c r="CE546" s="40"/>
      <c r="CF546" s="5"/>
      <c r="CH546" s="40"/>
      <c r="CI546" s="5"/>
      <c r="CK546" s="40"/>
      <c r="CL546" s="5"/>
      <c r="CN546" s="40"/>
      <c r="CO546" s="5"/>
      <c r="CQ546" s="40"/>
      <c r="CR546" s="5"/>
    </row>
    <row r="547">
      <c r="AO547" s="40"/>
      <c r="AP547" s="5"/>
      <c r="AR547" s="40"/>
      <c r="AS547" s="5"/>
      <c r="AU547" s="40"/>
      <c r="AV547" s="5"/>
      <c r="AX547" s="40"/>
      <c r="AY547" s="5"/>
      <c r="BA547" s="40"/>
      <c r="BB547" s="5"/>
      <c r="BD547" s="40"/>
      <c r="BE547" s="5"/>
      <c r="BG547" s="40"/>
      <c r="BH547" s="5"/>
      <c r="BJ547" s="40"/>
      <c r="BK547" s="5"/>
      <c r="BM547" s="40"/>
      <c r="BN547" s="5"/>
      <c r="BP547" s="40"/>
      <c r="BQ547" s="5"/>
      <c r="BS547" s="40"/>
      <c r="BT547" s="5"/>
      <c r="BV547" s="40"/>
      <c r="BW547" s="5"/>
      <c r="BY547" s="40"/>
      <c r="BZ547" s="5"/>
      <c r="CB547" s="40"/>
      <c r="CC547" s="5"/>
      <c r="CE547" s="40"/>
      <c r="CF547" s="5"/>
      <c r="CH547" s="40"/>
      <c r="CI547" s="5"/>
      <c r="CK547" s="40"/>
      <c r="CL547" s="5"/>
      <c r="CN547" s="40"/>
      <c r="CO547" s="5"/>
      <c r="CQ547" s="40"/>
      <c r="CR547" s="5"/>
    </row>
    <row r="548">
      <c r="AO548" s="40"/>
      <c r="AP548" s="5"/>
      <c r="AR548" s="40"/>
      <c r="AS548" s="5"/>
      <c r="AU548" s="40"/>
      <c r="AV548" s="5"/>
      <c r="AX548" s="40"/>
      <c r="AY548" s="5"/>
      <c r="BA548" s="40"/>
      <c r="BB548" s="5"/>
      <c r="BD548" s="40"/>
      <c r="BE548" s="5"/>
      <c r="BG548" s="40"/>
      <c r="BH548" s="5"/>
      <c r="BJ548" s="40"/>
      <c r="BK548" s="5"/>
      <c r="BM548" s="40"/>
      <c r="BN548" s="5"/>
      <c r="BP548" s="40"/>
      <c r="BQ548" s="5"/>
      <c r="BS548" s="40"/>
      <c r="BT548" s="5"/>
      <c r="BV548" s="40"/>
      <c r="BW548" s="5"/>
      <c r="BY548" s="40"/>
      <c r="BZ548" s="5"/>
      <c r="CB548" s="40"/>
      <c r="CC548" s="5"/>
      <c r="CE548" s="40"/>
      <c r="CF548" s="5"/>
      <c r="CH548" s="40"/>
      <c r="CI548" s="5"/>
      <c r="CK548" s="40"/>
      <c r="CL548" s="5"/>
      <c r="CN548" s="40"/>
      <c r="CO548" s="5"/>
      <c r="CQ548" s="40"/>
      <c r="CR548" s="5"/>
    </row>
    <row r="549">
      <c r="AO549" s="40"/>
      <c r="AP549" s="5"/>
      <c r="AR549" s="40"/>
      <c r="AS549" s="5"/>
      <c r="AU549" s="40"/>
      <c r="AV549" s="5"/>
      <c r="AX549" s="40"/>
      <c r="AY549" s="5"/>
      <c r="BA549" s="40"/>
      <c r="BB549" s="5"/>
      <c r="BD549" s="40"/>
      <c r="BE549" s="5"/>
      <c r="BG549" s="40"/>
      <c r="BH549" s="5"/>
      <c r="BJ549" s="40"/>
      <c r="BK549" s="5"/>
      <c r="BM549" s="40"/>
      <c r="BN549" s="5"/>
      <c r="BP549" s="40"/>
      <c r="BQ549" s="5"/>
      <c r="BS549" s="40"/>
      <c r="BT549" s="5"/>
      <c r="BV549" s="40"/>
      <c r="BW549" s="5"/>
      <c r="BY549" s="40"/>
      <c r="BZ549" s="5"/>
      <c r="CB549" s="40"/>
      <c r="CC549" s="5"/>
      <c r="CE549" s="40"/>
      <c r="CF549" s="5"/>
      <c r="CH549" s="40"/>
      <c r="CI549" s="5"/>
      <c r="CK549" s="40"/>
      <c r="CL549" s="5"/>
      <c r="CN549" s="40"/>
      <c r="CO549" s="5"/>
      <c r="CQ549" s="40"/>
      <c r="CR549" s="5"/>
    </row>
    <row r="550">
      <c r="AO550" s="40"/>
      <c r="AP550" s="5"/>
      <c r="AR550" s="40"/>
      <c r="AS550" s="5"/>
      <c r="AU550" s="40"/>
      <c r="AV550" s="5"/>
      <c r="AX550" s="40"/>
      <c r="AY550" s="5"/>
      <c r="BA550" s="40"/>
      <c r="BB550" s="5"/>
      <c r="BD550" s="40"/>
      <c r="BE550" s="5"/>
      <c r="BG550" s="40"/>
      <c r="BH550" s="5"/>
      <c r="BJ550" s="40"/>
      <c r="BK550" s="5"/>
      <c r="BM550" s="40"/>
      <c r="BN550" s="5"/>
      <c r="BP550" s="40"/>
      <c r="BQ550" s="5"/>
      <c r="BS550" s="40"/>
      <c r="BT550" s="5"/>
      <c r="BV550" s="40"/>
      <c r="BW550" s="5"/>
      <c r="BY550" s="40"/>
      <c r="BZ550" s="5"/>
      <c r="CB550" s="40"/>
      <c r="CC550" s="5"/>
      <c r="CE550" s="40"/>
      <c r="CF550" s="5"/>
      <c r="CH550" s="40"/>
      <c r="CI550" s="5"/>
      <c r="CK550" s="40"/>
      <c r="CL550" s="5"/>
      <c r="CN550" s="40"/>
      <c r="CO550" s="5"/>
      <c r="CQ550" s="40"/>
      <c r="CR550" s="5"/>
    </row>
    <row r="551">
      <c r="AO551" s="40"/>
      <c r="AP551" s="5"/>
      <c r="AR551" s="40"/>
      <c r="AS551" s="5"/>
      <c r="AU551" s="40"/>
      <c r="AV551" s="5"/>
      <c r="AX551" s="40"/>
      <c r="AY551" s="5"/>
      <c r="BA551" s="40"/>
      <c r="BB551" s="5"/>
      <c r="BD551" s="40"/>
      <c r="BE551" s="5"/>
      <c r="BG551" s="40"/>
      <c r="BH551" s="5"/>
      <c r="BJ551" s="40"/>
      <c r="BK551" s="5"/>
      <c r="BM551" s="40"/>
      <c r="BN551" s="5"/>
      <c r="BP551" s="40"/>
      <c r="BQ551" s="5"/>
      <c r="BS551" s="40"/>
      <c r="BT551" s="5"/>
      <c r="BV551" s="40"/>
      <c r="BW551" s="5"/>
      <c r="BY551" s="40"/>
      <c r="BZ551" s="5"/>
      <c r="CB551" s="40"/>
      <c r="CC551" s="5"/>
      <c r="CE551" s="40"/>
      <c r="CF551" s="5"/>
      <c r="CH551" s="40"/>
      <c r="CI551" s="5"/>
      <c r="CK551" s="40"/>
      <c r="CL551" s="5"/>
      <c r="CN551" s="40"/>
      <c r="CO551" s="5"/>
      <c r="CQ551" s="40"/>
      <c r="CR551" s="5"/>
    </row>
    <row r="552">
      <c r="AO552" s="40"/>
      <c r="AP552" s="5"/>
      <c r="AR552" s="40"/>
      <c r="AS552" s="5"/>
      <c r="AU552" s="40"/>
      <c r="AV552" s="5"/>
      <c r="AX552" s="40"/>
      <c r="AY552" s="5"/>
      <c r="BA552" s="40"/>
      <c r="BB552" s="5"/>
      <c r="BD552" s="40"/>
      <c r="BE552" s="5"/>
      <c r="BG552" s="40"/>
      <c r="BH552" s="5"/>
      <c r="BJ552" s="40"/>
      <c r="BK552" s="5"/>
      <c r="BM552" s="40"/>
      <c r="BN552" s="5"/>
      <c r="BP552" s="40"/>
      <c r="BQ552" s="5"/>
      <c r="BS552" s="40"/>
      <c r="BT552" s="5"/>
      <c r="BV552" s="40"/>
      <c r="BW552" s="5"/>
      <c r="BY552" s="40"/>
      <c r="BZ552" s="5"/>
      <c r="CB552" s="40"/>
      <c r="CC552" s="5"/>
      <c r="CE552" s="40"/>
      <c r="CF552" s="5"/>
      <c r="CH552" s="40"/>
      <c r="CI552" s="5"/>
      <c r="CK552" s="40"/>
      <c r="CL552" s="5"/>
      <c r="CN552" s="40"/>
      <c r="CO552" s="5"/>
      <c r="CQ552" s="40"/>
      <c r="CR552" s="5"/>
    </row>
    <row r="553">
      <c r="AO553" s="40"/>
      <c r="AP553" s="5"/>
      <c r="AR553" s="40"/>
      <c r="AS553" s="5"/>
      <c r="AU553" s="40"/>
      <c r="AV553" s="5"/>
      <c r="AX553" s="40"/>
      <c r="AY553" s="5"/>
      <c r="BA553" s="40"/>
      <c r="BB553" s="5"/>
      <c r="BD553" s="40"/>
      <c r="BE553" s="5"/>
      <c r="BG553" s="40"/>
      <c r="BH553" s="5"/>
      <c r="BJ553" s="40"/>
      <c r="BK553" s="5"/>
      <c r="BM553" s="40"/>
      <c r="BN553" s="5"/>
      <c r="BP553" s="40"/>
      <c r="BQ553" s="5"/>
      <c r="BS553" s="40"/>
      <c r="BT553" s="5"/>
      <c r="BV553" s="40"/>
      <c r="BW553" s="5"/>
      <c r="BY553" s="40"/>
      <c r="BZ553" s="5"/>
      <c r="CB553" s="40"/>
      <c r="CC553" s="5"/>
      <c r="CE553" s="40"/>
      <c r="CF553" s="5"/>
      <c r="CH553" s="40"/>
      <c r="CI553" s="5"/>
      <c r="CK553" s="40"/>
      <c r="CL553" s="5"/>
      <c r="CN553" s="40"/>
      <c r="CO553" s="5"/>
      <c r="CQ553" s="40"/>
      <c r="CR553" s="5"/>
    </row>
    <row r="554">
      <c r="AO554" s="40"/>
      <c r="AP554" s="5"/>
      <c r="AR554" s="40"/>
      <c r="AS554" s="5"/>
      <c r="AU554" s="40"/>
      <c r="AV554" s="5"/>
      <c r="AX554" s="40"/>
      <c r="AY554" s="5"/>
      <c r="BA554" s="40"/>
      <c r="BB554" s="5"/>
      <c r="BD554" s="40"/>
      <c r="BE554" s="5"/>
      <c r="BG554" s="40"/>
      <c r="BH554" s="5"/>
      <c r="BJ554" s="40"/>
      <c r="BK554" s="5"/>
      <c r="BM554" s="40"/>
      <c r="BN554" s="5"/>
      <c r="BP554" s="40"/>
      <c r="BQ554" s="5"/>
      <c r="BS554" s="40"/>
      <c r="BT554" s="5"/>
      <c r="BV554" s="40"/>
      <c r="BW554" s="5"/>
      <c r="BY554" s="40"/>
      <c r="BZ554" s="5"/>
      <c r="CB554" s="40"/>
      <c r="CC554" s="5"/>
      <c r="CE554" s="40"/>
      <c r="CF554" s="5"/>
      <c r="CH554" s="40"/>
      <c r="CI554" s="5"/>
      <c r="CK554" s="40"/>
      <c r="CL554" s="5"/>
      <c r="CN554" s="40"/>
      <c r="CO554" s="5"/>
      <c r="CQ554" s="40"/>
      <c r="CR554" s="5"/>
    </row>
    <row r="555">
      <c r="AO555" s="40"/>
      <c r="AP555" s="5"/>
      <c r="AR555" s="40"/>
      <c r="AS555" s="5"/>
      <c r="AU555" s="40"/>
      <c r="AV555" s="5"/>
      <c r="AX555" s="40"/>
      <c r="AY555" s="5"/>
      <c r="BA555" s="40"/>
      <c r="BB555" s="5"/>
      <c r="BD555" s="40"/>
      <c r="BE555" s="5"/>
      <c r="BG555" s="40"/>
      <c r="BH555" s="5"/>
      <c r="BJ555" s="40"/>
      <c r="BK555" s="5"/>
      <c r="BM555" s="40"/>
      <c r="BN555" s="5"/>
      <c r="BP555" s="40"/>
      <c r="BQ555" s="5"/>
      <c r="BS555" s="40"/>
      <c r="BT555" s="5"/>
      <c r="BV555" s="40"/>
      <c r="BW555" s="5"/>
      <c r="BY555" s="40"/>
      <c r="BZ555" s="5"/>
      <c r="CB555" s="40"/>
      <c r="CC555" s="5"/>
      <c r="CE555" s="40"/>
      <c r="CF555" s="5"/>
      <c r="CH555" s="40"/>
      <c r="CI555" s="5"/>
      <c r="CK555" s="40"/>
      <c r="CL555" s="5"/>
      <c r="CN555" s="40"/>
      <c r="CO555" s="5"/>
      <c r="CQ555" s="40"/>
      <c r="CR555" s="5"/>
    </row>
    <row r="556">
      <c r="AO556" s="40"/>
      <c r="AP556" s="5"/>
      <c r="AR556" s="40"/>
      <c r="AS556" s="5"/>
      <c r="AU556" s="40"/>
      <c r="AV556" s="5"/>
      <c r="AX556" s="40"/>
      <c r="AY556" s="5"/>
      <c r="BA556" s="40"/>
      <c r="BB556" s="5"/>
      <c r="BD556" s="40"/>
      <c r="BE556" s="5"/>
      <c r="BG556" s="40"/>
      <c r="BH556" s="5"/>
      <c r="BJ556" s="40"/>
      <c r="BK556" s="5"/>
      <c r="BM556" s="40"/>
      <c r="BN556" s="5"/>
      <c r="BP556" s="40"/>
      <c r="BQ556" s="5"/>
      <c r="BS556" s="40"/>
      <c r="BT556" s="5"/>
      <c r="BV556" s="40"/>
      <c r="BW556" s="5"/>
      <c r="BY556" s="40"/>
      <c r="BZ556" s="5"/>
      <c r="CB556" s="40"/>
      <c r="CC556" s="5"/>
      <c r="CE556" s="40"/>
      <c r="CF556" s="5"/>
      <c r="CH556" s="40"/>
      <c r="CI556" s="5"/>
      <c r="CK556" s="40"/>
      <c r="CL556" s="5"/>
      <c r="CN556" s="40"/>
      <c r="CO556" s="5"/>
      <c r="CQ556" s="40"/>
      <c r="CR556" s="5"/>
    </row>
    <row r="557">
      <c r="AO557" s="40"/>
      <c r="AP557" s="5"/>
      <c r="AR557" s="40"/>
      <c r="AS557" s="5"/>
      <c r="AU557" s="40"/>
      <c r="AV557" s="5"/>
      <c r="AX557" s="40"/>
      <c r="AY557" s="5"/>
      <c r="BA557" s="40"/>
      <c r="BB557" s="5"/>
      <c r="BD557" s="40"/>
      <c r="BE557" s="5"/>
      <c r="BG557" s="40"/>
      <c r="BH557" s="5"/>
      <c r="BJ557" s="40"/>
      <c r="BK557" s="5"/>
      <c r="BM557" s="40"/>
      <c r="BN557" s="5"/>
      <c r="BP557" s="40"/>
      <c r="BQ557" s="5"/>
      <c r="BS557" s="40"/>
      <c r="BT557" s="5"/>
      <c r="BV557" s="40"/>
      <c r="BW557" s="5"/>
      <c r="BY557" s="40"/>
      <c r="BZ557" s="5"/>
      <c r="CB557" s="40"/>
      <c r="CC557" s="5"/>
      <c r="CE557" s="40"/>
      <c r="CF557" s="5"/>
      <c r="CH557" s="40"/>
      <c r="CI557" s="5"/>
      <c r="CK557" s="40"/>
      <c r="CL557" s="5"/>
      <c r="CN557" s="40"/>
      <c r="CO557" s="5"/>
      <c r="CQ557" s="40"/>
      <c r="CR557" s="5"/>
    </row>
    <row r="558">
      <c r="AO558" s="40"/>
      <c r="AP558" s="5"/>
      <c r="AR558" s="40"/>
      <c r="AS558" s="5"/>
      <c r="AU558" s="40"/>
      <c r="AV558" s="5"/>
      <c r="AX558" s="40"/>
      <c r="AY558" s="5"/>
      <c r="BA558" s="40"/>
      <c r="BB558" s="5"/>
      <c r="BD558" s="40"/>
      <c r="BE558" s="5"/>
      <c r="BG558" s="40"/>
      <c r="BH558" s="5"/>
      <c r="BJ558" s="40"/>
      <c r="BK558" s="5"/>
      <c r="BM558" s="40"/>
      <c r="BN558" s="5"/>
      <c r="BP558" s="40"/>
      <c r="BQ558" s="5"/>
      <c r="BS558" s="40"/>
      <c r="BT558" s="5"/>
      <c r="BV558" s="40"/>
      <c r="BW558" s="5"/>
      <c r="BY558" s="40"/>
      <c r="BZ558" s="5"/>
      <c r="CB558" s="40"/>
      <c r="CC558" s="5"/>
      <c r="CE558" s="40"/>
      <c r="CF558" s="5"/>
      <c r="CH558" s="40"/>
      <c r="CI558" s="5"/>
      <c r="CK558" s="40"/>
      <c r="CL558" s="5"/>
      <c r="CN558" s="40"/>
      <c r="CO558" s="5"/>
      <c r="CQ558" s="40"/>
      <c r="CR558" s="5"/>
    </row>
    <row r="559">
      <c r="AO559" s="40"/>
      <c r="AP559" s="5"/>
      <c r="AR559" s="40"/>
      <c r="AS559" s="5"/>
      <c r="AU559" s="40"/>
      <c r="AV559" s="5"/>
      <c r="AX559" s="40"/>
      <c r="AY559" s="5"/>
      <c r="BA559" s="40"/>
      <c r="BB559" s="5"/>
      <c r="BD559" s="40"/>
      <c r="BE559" s="5"/>
      <c r="BG559" s="40"/>
      <c r="BH559" s="5"/>
      <c r="BJ559" s="40"/>
      <c r="BK559" s="5"/>
      <c r="BM559" s="40"/>
      <c r="BN559" s="5"/>
      <c r="BP559" s="40"/>
      <c r="BQ559" s="5"/>
      <c r="BS559" s="40"/>
      <c r="BT559" s="5"/>
      <c r="BV559" s="40"/>
      <c r="BW559" s="5"/>
      <c r="BY559" s="40"/>
      <c r="BZ559" s="5"/>
      <c r="CB559" s="40"/>
      <c r="CC559" s="5"/>
      <c r="CE559" s="40"/>
      <c r="CF559" s="5"/>
      <c r="CH559" s="40"/>
      <c r="CI559" s="5"/>
      <c r="CK559" s="40"/>
      <c r="CL559" s="5"/>
      <c r="CN559" s="40"/>
      <c r="CO559" s="5"/>
      <c r="CQ559" s="40"/>
      <c r="CR559" s="5"/>
    </row>
    <row r="560">
      <c r="AO560" s="40"/>
      <c r="AP560" s="5"/>
      <c r="AR560" s="40"/>
      <c r="AS560" s="5"/>
      <c r="AU560" s="40"/>
      <c r="AV560" s="5"/>
      <c r="AX560" s="40"/>
      <c r="AY560" s="5"/>
      <c r="BA560" s="40"/>
      <c r="BB560" s="5"/>
      <c r="BD560" s="40"/>
      <c r="BE560" s="5"/>
      <c r="BG560" s="40"/>
      <c r="BH560" s="5"/>
      <c r="BJ560" s="40"/>
      <c r="BK560" s="5"/>
      <c r="BM560" s="40"/>
      <c r="BN560" s="5"/>
      <c r="BP560" s="40"/>
      <c r="BQ560" s="5"/>
      <c r="BS560" s="40"/>
      <c r="BT560" s="5"/>
      <c r="BV560" s="40"/>
      <c r="BW560" s="5"/>
      <c r="BY560" s="40"/>
      <c r="BZ560" s="5"/>
      <c r="CB560" s="40"/>
      <c r="CC560" s="5"/>
      <c r="CE560" s="40"/>
      <c r="CF560" s="5"/>
      <c r="CH560" s="40"/>
      <c r="CI560" s="5"/>
      <c r="CK560" s="40"/>
      <c r="CL560" s="5"/>
      <c r="CN560" s="40"/>
      <c r="CO560" s="5"/>
      <c r="CQ560" s="40"/>
      <c r="CR560" s="5"/>
    </row>
    <row r="561">
      <c r="AO561" s="40"/>
      <c r="AP561" s="5"/>
      <c r="AR561" s="40"/>
      <c r="AS561" s="5"/>
      <c r="AU561" s="40"/>
      <c r="AV561" s="5"/>
      <c r="AX561" s="40"/>
      <c r="AY561" s="5"/>
      <c r="BA561" s="40"/>
      <c r="BB561" s="5"/>
      <c r="BD561" s="40"/>
      <c r="BE561" s="5"/>
      <c r="BG561" s="40"/>
      <c r="BH561" s="5"/>
      <c r="BJ561" s="40"/>
      <c r="BK561" s="5"/>
      <c r="BM561" s="40"/>
      <c r="BN561" s="5"/>
      <c r="BP561" s="40"/>
      <c r="BQ561" s="5"/>
      <c r="BS561" s="40"/>
      <c r="BT561" s="5"/>
      <c r="BV561" s="40"/>
      <c r="BW561" s="5"/>
      <c r="BY561" s="40"/>
      <c r="BZ561" s="5"/>
      <c r="CB561" s="40"/>
      <c r="CC561" s="5"/>
      <c r="CE561" s="40"/>
      <c r="CF561" s="5"/>
      <c r="CH561" s="40"/>
      <c r="CI561" s="5"/>
      <c r="CK561" s="40"/>
      <c r="CL561" s="5"/>
      <c r="CN561" s="40"/>
      <c r="CO561" s="5"/>
      <c r="CQ561" s="40"/>
      <c r="CR561" s="5"/>
    </row>
    <row r="562">
      <c r="AO562" s="40"/>
      <c r="AP562" s="5"/>
      <c r="AR562" s="40"/>
      <c r="AS562" s="5"/>
      <c r="AU562" s="40"/>
      <c r="AV562" s="5"/>
      <c r="AX562" s="40"/>
      <c r="AY562" s="5"/>
      <c r="BA562" s="40"/>
      <c r="BB562" s="5"/>
      <c r="BD562" s="40"/>
      <c r="BE562" s="5"/>
      <c r="BG562" s="40"/>
      <c r="BH562" s="5"/>
      <c r="BJ562" s="40"/>
      <c r="BK562" s="5"/>
      <c r="BM562" s="40"/>
      <c r="BN562" s="5"/>
      <c r="BP562" s="40"/>
      <c r="BQ562" s="5"/>
      <c r="BS562" s="40"/>
      <c r="BT562" s="5"/>
      <c r="BV562" s="40"/>
      <c r="BW562" s="5"/>
      <c r="BY562" s="40"/>
      <c r="BZ562" s="5"/>
      <c r="CB562" s="40"/>
      <c r="CC562" s="5"/>
      <c r="CE562" s="40"/>
      <c r="CF562" s="5"/>
      <c r="CH562" s="40"/>
      <c r="CI562" s="5"/>
      <c r="CK562" s="40"/>
      <c r="CL562" s="5"/>
      <c r="CN562" s="40"/>
      <c r="CO562" s="5"/>
      <c r="CQ562" s="40"/>
      <c r="CR562" s="5"/>
    </row>
    <row r="563">
      <c r="AO563" s="40"/>
      <c r="AP563" s="5"/>
      <c r="AR563" s="40"/>
      <c r="AS563" s="5"/>
      <c r="AU563" s="40"/>
      <c r="AV563" s="5"/>
      <c r="AX563" s="40"/>
      <c r="AY563" s="5"/>
      <c r="BA563" s="40"/>
      <c r="BB563" s="5"/>
      <c r="BD563" s="40"/>
      <c r="BE563" s="5"/>
      <c r="BG563" s="40"/>
      <c r="BH563" s="5"/>
      <c r="BJ563" s="40"/>
      <c r="BK563" s="5"/>
      <c r="BM563" s="40"/>
      <c r="BN563" s="5"/>
      <c r="BP563" s="40"/>
      <c r="BQ563" s="5"/>
      <c r="BS563" s="40"/>
      <c r="BT563" s="5"/>
      <c r="BV563" s="40"/>
      <c r="BW563" s="5"/>
      <c r="BY563" s="40"/>
      <c r="BZ563" s="5"/>
      <c r="CB563" s="40"/>
      <c r="CC563" s="5"/>
      <c r="CE563" s="40"/>
      <c r="CF563" s="5"/>
      <c r="CH563" s="40"/>
      <c r="CI563" s="5"/>
      <c r="CK563" s="40"/>
      <c r="CL563" s="5"/>
      <c r="CN563" s="40"/>
      <c r="CO563" s="5"/>
      <c r="CQ563" s="40"/>
      <c r="CR563" s="5"/>
    </row>
    <row r="564">
      <c r="AO564" s="40"/>
      <c r="AP564" s="5"/>
      <c r="AR564" s="40"/>
      <c r="AS564" s="5"/>
      <c r="AU564" s="40"/>
      <c r="AV564" s="5"/>
      <c r="AX564" s="40"/>
      <c r="AY564" s="5"/>
      <c r="BA564" s="40"/>
      <c r="BB564" s="5"/>
      <c r="BD564" s="40"/>
      <c r="BE564" s="5"/>
      <c r="BG564" s="40"/>
      <c r="BH564" s="5"/>
      <c r="BJ564" s="40"/>
      <c r="BK564" s="5"/>
      <c r="BM564" s="40"/>
      <c r="BN564" s="5"/>
      <c r="BP564" s="40"/>
      <c r="BQ564" s="5"/>
      <c r="BS564" s="40"/>
      <c r="BT564" s="5"/>
      <c r="BV564" s="40"/>
      <c r="BW564" s="5"/>
      <c r="BY564" s="40"/>
      <c r="BZ564" s="5"/>
      <c r="CB564" s="40"/>
      <c r="CC564" s="5"/>
      <c r="CE564" s="40"/>
      <c r="CF564" s="5"/>
      <c r="CH564" s="40"/>
      <c r="CI564" s="5"/>
      <c r="CK564" s="40"/>
      <c r="CL564" s="5"/>
      <c r="CN564" s="40"/>
      <c r="CO564" s="5"/>
      <c r="CQ564" s="40"/>
      <c r="CR564" s="5"/>
    </row>
    <row r="565">
      <c r="AO565" s="40"/>
      <c r="AP565" s="5"/>
      <c r="AR565" s="40"/>
      <c r="AS565" s="5"/>
      <c r="AU565" s="40"/>
      <c r="AV565" s="5"/>
      <c r="AX565" s="40"/>
      <c r="AY565" s="5"/>
      <c r="BA565" s="40"/>
      <c r="BB565" s="5"/>
      <c r="BD565" s="40"/>
      <c r="BE565" s="5"/>
      <c r="BG565" s="40"/>
      <c r="BH565" s="5"/>
      <c r="BJ565" s="40"/>
      <c r="BK565" s="5"/>
      <c r="BM565" s="40"/>
      <c r="BN565" s="5"/>
      <c r="BP565" s="40"/>
      <c r="BQ565" s="5"/>
      <c r="BS565" s="40"/>
      <c r="BT565" s="5"/>
      <c r="BV565" s="40"/>
      <c r="BW565" s="5"/>
      <c r="BY565" s="40"/>
      <c r="BZ565" s="5"/>
      <c r="CB565" s="40"/>
      <c r="CC565" s="5"/>
      <c r="CE565" s="40"/>
      <c r="CF565" s="5"/>
      <c r="CH565" s="40"/>
      <c r="CI565" s="5"/>
      <c r="CK565" s="40"/>
      <c r="CL565" s="5"/>
      <c r="CN565" s="40"/>
      <c r="CO565" s="5"/>
      <c r="CQ565" s="40"/>
      <c r="CR565" s="5"/>
    </row>
    <row r="566">
      <c r="AO566" s="40"/>
      <c r="AP566" s="5"/>
      <c r="AR566" s="40"/>
      <c r="AS566" s="5"/>
      <c r="AU566" s="40"/>
      <c r="AV566" s="5"/>
      <c r="AX566" s="40"/>
      <c r="AY566" s="5"/>
      <c r="BA566" s="40"/>
      <c r="BB566" s="5"/>
      <c r="BD566" s="40"/>
      <c r="BE566" s="5"/>
      <c r="BG566" s="40"/>
      <c r="BH566" s="5"/>
      <c r="BJ566" s="40"/>
      <c r="BK566" s="5"/>
      <c r="BM566" s="40"/>
      <c r="BN566" s="5"/>
      <c r="BP566" s="40"/>
      <c r="BQ566" s="5"/>
      <c r="BS566" s="40"/>
      <c r="BT566" s="5"/>
      <c r="BV566" s="40"/>
      <c r="BW566" s="5"/>
      <c r="BY566" s="40"/>
      <c r="BZ566" s="5"/>
      <c r="CB566" s="40"/>
      <c r="CC566" s="5"/>
      <c r="CE566" s="40"/>
      <c r="CF566" s="5"/>
      <c r="CH566" s="40"/>
      <c r="CI566" s="5"/>
      <c r="CK566" s="40"/>
      <c r="CL566" s="5"/>
      <c r="CN566" s="40"/>
      <c r="CO566" s="5"/>
      <c r="CQ566" s="40"/>
      <c r="CR566" s="5"/>
    </row>
    <row r="567">
      <c r="AO567" s="40"/>
      <c r="AP567" s="5"/>
      <c r="AR567" s="40"/>
      <c r="AS567" s="5"/>
      <c r="AU567" s="40"/>
      <c r="AV567" s="5"/>
      <c r="AX567" s="40"/>
      <c r="AY567" s="5"/>
      <c r="BA567" s="40"/>
      <c r="BB567" s="5"/>
      <c r="BD567" s="40"/>
      <c r="BE567" s="5"/>
      <c r="BG567" s="40"/>
      <c r="BH567" s="5"/>
      <c r="BJ567" s="40"/>
      <c r="BK567" s="5"/>
      <c r="BM567" s="40"/>
      <c r="BN567" s="5"/>
      <c r="BP567" s="40"/>
      <c r="BQ567" s="5"/>
      <c r="BS567" s="40"/>
      <c r="BT567" s="5"/>
      <c r="BV567" s="40"/>
      <c r="BW567" s="5"/>
      <c r="BY567" s="40"/>
      <c r="BZ567" s="5"/>
      <c r="CB567" s="40"/>
      <c r="CC567" s="5"/>
      <c r="CE567" s="40"/>
      <c r="CF567" s="5"/>
      <c r="CH567" s="40"/>
      <c r="CI567" s="5"/>
      <c r="CK567" s="40"/>
      <c r="CL567" s="5"/>
      <c r="CN567" s="40"/>
      <c r="CO567" s="5"/>
      <c r="CQ567" s="40"/>
      <c r="CR567" s="5"/>
    </row>
    <row r="568">
      <c r="AO568" s="40"/>
      <c r="AP568" s="5"/>
      <c r="AR568" s="40"/>
      <c r="AS568" s="5"/>
      <c r="AU568" s="40"/>
      <c r="AV568" s="5"/>
      <c r="AX568" s="40"/>
      <c r="AY568" s="5"/>
      <c r="BA568" s="40"/>
      <c r="BB568" s="5"/>
      <c r="BD568" s="40"/>
      <c r="BE568" s="5"/>
      <c r="BG568" s="40"/>
      <c r="BH568" s="5"/>
      <c r="BJ568" s="40"/>
      <c r="BK568" s="5"/>
      <c r="BM568" s="40"/>
      <c r="BN568" s="5"/>
      <c r="BP568" s="40"/>
      <c r="BQ568" s="5"/>
      <c r="BS568" s="40"/>
      <c r="BT568" s="5"/>
      <c r="BV568" s="40"/>
      <c r="BW568" s="5"/>
      <c r="BY568" s="40"/>
      <c r="BZ568" s="5"/>
      <c r="CB568" s="40"/>
      <c r="CC568" s="5"/>
      <c r="CE568" s="40"/>
      <c r="CF568" s="5"/>
      <c r="CH568" s="40"/>
      <c r="CI568" s="5"/>
      <c r="CK568" s="40"/>
      <c r="CL568" s="5"/>
      <c r="CN568" s="40"/>
      <c r="CO568" s="5"/>
      <c r="CQ568" s="40"/>
      <c r="CR568" s="5"/>
    </row>
    <row r="569">
      <c r="AO569" s="40"/>
      <c r="AP569" s="5"/>
      <c r="AR569" s="40"/>
      <c r="AS569" s="5"/>
      <c r="AU569" s="40"/>
      <c r="AV569" s="5"/>
      <c r="AX569" s="40"/>
      <c r="AY569" s="5"/>
      <c r="BA569" s="40"/>
      <c r="BB569" s="5"/>
      <c r="BD569" s="40"/>
      <c r="BE569" s="5"/>
      <c r="BG569" s="40"/>
      <c r="BH569" s="5"/>
      <c r="BJ569" s="40"/>
      <c r="BK569" s="5"/>
      <c r="BM569" s="40"/>
      <c r="BN569" s="5"/>
      <c r="BP569" s="40"/>
      <c r="BQ569" s="5"/>
      <c r="BS569" s="40"/>
      <c r="BT569" s="5"/>
      <c r="BV569" s="40"/>
      <c r="BW569" s="5"/>
      <c r="BY569" s="40"/>
      <c r="BZ569" s="5"/>
      <c r="CB569" s="40"/>
      <c r="CC569" s="5"/>
      <c r="CE569" s="40"/>
      <c r="CF569" s="5"/>
      <c r="CH569" s="40"/>
      <c r="CI569" s="5"/>
      <c r="CK569" s="40"/>
      <c r="CL569" s="5"/>
      <c r="CN569" s="40"/>
      <c r="CO569" s="5"/>
      <c r="CQ569" s="40"/>
      <c r="CR569" s="5"/>
    </row>
    <row r="570">
      <c r="AO570" s="40"/>
      <c r="AP570" s="5"/>
      <c r="AR570" s="40"/>
      <c r="AS570" s="5"/>
      <c r="AU570" s="40"/>
      <c r="AV570" s="5"/>
      <c r="AX570" s="40"/>
      <c r="AY570" s="5"/>
      <c r="BA570" s="40"/>
      <c r="BB570" s="5"/>
      <c r="BD570" s="40"/>
      <c r="BE570" s="5"/>
      <c r="BG570" s="40"/>
      <c r="BH570" s="5"/>
      <c r="BJ570" s="40"/>
      <c r="BK570" s="5"/>
      <c r="BM570" s="40"/>
      <c r="BN570" s="5"/>
      <c r="BP570" s="40"/>
      <c r="BQ570" s="5"/>
      <c r="BS570" s="40"/>
      <c r="BT570" s="5"/>
      <c r="BV570" s="40"/>
      <c r="BW570" s="5"/>
      <c r="BY570" s="40"/>
      <c r="BZ570" s="5"/>
      <c r="CB570" s="40"/>
      <c r="CC570" s="5"/>
      <c r="CE570" s="40"/>
      <c r="CF570" s="5"/>
      <c r="CH570" s="40"/>
      <c r="CI570" s="5"/>
      <c r="CK570" s="40"/>
      <c r="CL570" s="5"/>
      <c r="CN570" s="40"/>
      <c r="CO570" s="5"/>
      <c r="CQ570" s="40"/>
      <c r="CR570" s="5"/>
    </row>
    <row r="571">
      <c r="AO571" s="40"/>
      <c r="AP571" s="5"/>
      <c r="AR571" s="40"/>
      <c r="AS571" s="5"/>
      <c r="AU571" s="40"/>
      <c r="AV571" s="5"/>
      <c r="AX571" s="40"/>
      <c r="AY571" s="5"/>
      <c r="BA571" s="40"/>
      <c r="BB571" s="5"/>
      <c r="BD571" s="40"/>
      <c r="BE571" s="5"/>
      <c r="BG571" s="40"/>
      <c r="BH571" s="5"/>
      <c r="BJ571" s="40"/>
      <c r="BK571" s="5"/>
      <c r="BM571" s="40"/>
      <c r="BN571" s="5"/>
      <c r="BP571" s="40"/>
      <c r="BQ571" s="5"/>
      <c r="BS571" s="40"/>
      <c r="BT571" s="5"/>
      <c r="BV571" s="40"/>
      <c r="BW571" s="5"/>
      <c r="BY571" s="40"/>
      <c r="BZ571" s="5"/>
      <c r="CB571" s="40"/>
      <c r="CC571" s="5"/>
      <c r="CE571" s="40"/>
      <c r="CF571" s="5"/>
      <c r="CH571" s="40"/>
      <c r="CI571" s="5"/>
      <c r="CK571" s="40"/>
      <c r="CL571" s="5"/>
      <c r="CN571" s="40"/>
      <c r="CO571" s="5"/>
      <c r="CQ571" s="40"/>
      <c r="CR571" s="5"/>
    </row>
    <row r="572">
      <c r="AO572" s="40"/>
      <c r="AP572" s="5"/>
      <c r="AR572" s="40"/>
      <c r="AS572" s="5"/>
      <c r="AU572" s="40"/>
      <c r="AV572" s="5"/>
      <c r="AX572" s="40"/>
      <c r="AY572" s="5"/>
      <c r="BA572" s="40"/>
      <c r="BB572" s="5"/>
      <c r="BD572" s="40"/>
      <c r="BE572" s="5"/>
      <c r="BG572" s="40"/>
      <c r="BH572" s="5"/>
      <c r="BJ572" s="40"/>
      <c r="BK572" s="5"/>
      <c r="BM572" s="40"/>
      <c r="BN572" s="5"/>
      <c r="BP572" s="40"/>
      <c r="BQ572" s="5"/>
      <c r="BS572" s="40"/>
      <c r="BT572" s="5"/>
      <c r="BV572" s="40"/>
      <c r="BW572" s="5"/>
      <c r="BY572" s="40"/>
      <c r="BZ572" s="5"/>
      <c r="CB572" s="40"/>
      <c r="CC572" s="5"/>
      <c r="CE572" s="40"/>
      <c r="CF572" s="5"/>
      <c r="CH572" s="40"/>
      <c r="CI572" s="5"/>
      <c r="CK572" s="40"/>
      <c r="CL572" s="5"/>
      <c r="CN572" s="40"/>
      <c r="CO572" s="5"/>
      <c r="CQ572" s="40"/>
      <c r="CR572" s="5"/>
    </row>
    <row r="573">
      <c r="AO573" s="40"/>
      <c r="AP573" s="5"/>
      <c r="AR573" s="40"/>
      <c r="AS573" s="5"/>
      <c r="AU573" s="40"/>
      <c r="AV573" s="5"/>
      <c r="AX573" s="40"/>
      <c r="AY573" s="5"/>
      <c r="BA573" s="40"/>
      <c r="BB573" s="5"/>
      <c r="BD573" s="40"/>
      <c r="BE573" s="5"/>
      <c r="BG573" s="40"/>
      <c r="BH573" s="5"/>
      <c r="BJ573" s="40"/>
      <c r="BK573" s="5"/>
      <c r="BM573" s="40"/>
      <c r="BN573" s="5"/>
      <c r="BP573" s="40"/>
      <c r="BQ573" s="5"/>
      <c r="BS573" s="40"/>
      <c r="BT573" s="5"/>
      <c r="BV573" s="40"/>
      <c r="BW573" s="5"/>
      <c r="BY573" s="40"/>
      <c r="BZ573" s="5"/>
      <c r="CB573" s="40"/>
      <c r="CC573" s="5"/>
      <c r="CE573" s="40"/>
      <c r="CF573" s="5"/>
      <c r="CH573" s="40"/>
      <c r="CI573" s="5"/>
      <c r="CK573" s="40"/>
      <c r="CL573" s="5"/>
      <c r="CN573" s="40"/>
      <c r="CO573" s="5"/>
      <c r="CQ573" s="40"/>
      <c r="CR573" s="5"/>
    </row>
    <row r="574">
      <c r="AO574" s="40"/>
      <c r="AP574" s="5"/>
      <c r="AR574" s="40"/>
      <c r="AS574" s="5"/>
      <c r="AU574" s="40"/>
      <c r="AV574" s="5"/>
      <c r="AX574" s="40"/>
      <c r="AY574" s="5"/>
      <c r="BA574" s="40"/>
      <c r="BB574" s="5"/>
      <c r="BD574" s="40"/>
      <c r="BE574" s="5"/>
      <c r="BG574" s="40"/>
      <c r="BH574" s="5"/>
      <c r="BJ574" s="40"/>
      <c r="BK574" s="5"/>
      <c r="BM574" s="40"/>
      <c r="BN574" s="5"/>
      <c r="BP574" s="40"/>
      <c r="BQ574" s="5"/>
      <c r="BS574" s="40"/>
      <c r="BT574" s="5"/>
      <c r="BV574" s="40"/>
      <c r="BW574" s="5"/>
      <c r="BY574" s="40"/>
      <c r="BZ574" s="5"/>
      <c r="CB574" s="40"/>
      <c r="CC574" s="5"/>
      <c r="CE574" s="40"/>
      <c r="CF574" s="5"/>
      <c r="CH574" s="40"/>
      <c r="CI574" s="5"/>
      <c r="CK574" s="40"/>
      <c r="CL574" s="5"/>
      <c r="CN574" s="40"/>
      <c r="CO574" s="5"/>
      <c r="CQ574" s="40"/>
      <c r="CR574" s="5"/>
    </row>
    <row r="575">
      <c r="AO575" s="40"/>
      <c r="AP575" s="5"/>
      <c r="AR575" s="40"/>
      <c r="AS575" s="5"/>
      <c r="AU575" s="40"/>
      <c r="AV575" s="5"/>
      <c r="AX575" s="40"/>
      <c r="AY575" s="5"/>
      <c r="BA575" s="40"/>
      <c r="BB575" s="5"/>
      <c r="BD575" s="40"/>
      <c r="BE575" s="5"/>
      <c r="BG575" s="40"/>
      <c r="BH575" s="5"/>
      <c r="BJ575" s="40"/>
      <c r="BK575" s="5"/>
      <c r="BM575" s="40"/>
      <c r="BN575" s="5"/>
      <c r="BP575" s="40"/>
      <c r="BQ575" s="5"/>
      <c r="BS575" s="40"/>
      <c r="BT575" s="5"/>
      <c r="BV575" s="40"/>
      <c r="BW575" s="5"/>
      <c r="BY575" s="40"/>
      <c r="BZ575" s="5"/>
      <c r="CB575" s="40"/>
      <c r="CC575" s="5"/>
      <c r="CE575" s="40"/>
      <c r="CF575" s="5"/>
      <c r="CH575" s="40"/>
      <c r="CI575" s="5"/>
      <c r="CK575" s="40"/>
      <c r="CL575" s="5"/>
      <c r="CN575" s="40"/>
      <c r="CO575" s="5"/>
      <c r="CQ575" s="40"/>
      <c r="CR575" s="5"/>
    </row>
    <row r="576">
      <c r="AO576" s="40"/>
      <c r="AP576" s="5"/>
      <c r="AR576" s="40"/>
      <c r="AS576" s="5"/>
      <c r="AU576" s="40"/>
      <c r="AV576" s="5"/>
      <c r="AX576" s="40"/>
      <c r="AY576" s="5"/>
      <c r="BA576" s="40"/>
      <c r="BB576" s="5"/>
      <c r="BD576" s="40"/>
      <c r="BE576" s="5"/>
      <c r="BG576" s="40"/>
      <c r="BH576" s="5"/>
      <c r="BJ576" s="40"/>
      <c r="BK576" s="5"/>
      <c r="BM576" s="40"/>
      <c r="BN576" s="5"/>
      <c r="BP576" s="40"/>
      <c r="BQ576" s="5"/>
      <c r="BS576" s="40"/>
      <c r="BT576" s="5"/>
      <c r="BV576" s="40"/>
      <c r="BW576" s="5"/>
      <c r="BY576" s="40"/>
      <c r="BZ576" s="5"/>
      <c r="CB576" s="40"/>
      <c r="CC576" s="5"/>
      <c r="CE576" s="40"/>
      <c r="CF576" s="5"/>
      <c r="CH576" s="40"/>
      <c r="CI576" s="5"/>
      <c r="CK576" s="40"/>
      <c r="CL576" s="5"/>
      <c r="CN576" s="40"/>
      <c r="CO576" s="5"/>
      <c r="CQ576" s="40"/>
      <c r="CR576" s="5"/>
    </row>
    <row r="577">
      <c r="AO577" s="40"/>
      <c r="AP577" s="5"/>
      <c r="AR577" s="40"/>
      <c r="AS577" s="5"/>
      <c r="AU577" s="40"/>
      <c r="AV577" s="5"/>
      <c r="AX577" s="40"/>
      <c r="AY577" s="5"/>
      <c r="BA577" s="40"/>
      <c r="BB577" s="5"/>
      <c r="BD577" s="40"/>
      <c r="BE577" s="5"/>
      <c r="BG577" s="40"/>
      <c r="BH577" s="5"/>
      <c r="BJ577" s="40"/>
      <c r="BK577" s="5"/>
      <c r="BM577" s="40"/>
      <c r="BN577" s="5"/>
      <c r="BP577" s="40"/>
      <c r="BQ577" s="5"/>
      <c r="BS577" s="40"/>
      <c r="BT577" s="5"/>
      <c r="BV577" s="40"/>
      <c r="BW577" s="5"/>
      <c r="BY577" s="40"/>
      <c r="BZ577" s="5"/>
      <c r="CB577" s="40"/>
      <c r="CC577" s="5"/>
      <c r="CE577" s="40"/>
      <c r="CF577" s="5"/>
      <c r="CH577" s="40"/>
      <c r="CI577" s="5"/>
      <c r="CK577" s="40"/>
      <c r="CL577" s="5"/>
      <c r="CN577" s="40"/>
      <c r="CO577" s="5"/>
      <c r="CQ577" s="40"/>
      <c r="CR577" s="5"/>
    </row>
    <row r="578">
      <c r="AO578" s="40"/>
      <c r="AP578" s="5"/>
      <c r="AR578" s="40"/>
      <c r="AS578" s="5"/>
      <c r="AU578" s="40"/>
      <c r="AV578" s="5"/>
      <c r="AX578" s="40"/>
      <c r="AY578" s="5"/>
      <c r="BA578" s="40"/>
      <c r="BB578" s="5"/>
      <c r="BD578" s="40"/>
      <c r="BE578" s="5"/>
      <c r="BG578" s="40"/>
      <c r="BH578" s="5"/>
      <c r="BJ578" s="40"/>
      <c r="BK578" s="5"/>
      <c r="BM578" s="40"/>
      <c r="BN578" s="5"/>
      <c r="BP578" s="40"/>
      <c r="BQ578" s="5"/>
      <c r="BS578" s="40"/>
      <c r="BT578" s="5"/>
      <c r="BV578" s="40"/>
      <c r="BW578" s="5"/>
      <c r="BY578" s="40"/>
      <c r="BZ578" s="5"/>
      <c r="CB578" s="40"/>
      <c r="CC578" s="5"/>
      <c r="CE578" s="40"/>
      <c r="CF578" s="5"/>
      <c r="CH578" s="40"/>
      <c r="CI578" s="5"/>
      <c r="CK578" s="40"/>
      <c r="CL578" s="5"/>
      <c r="CN578" s="40"/>
      <c r="CO578" s="5"/>
      <c r="CQ578" s="40"/>
      <c r="CR578" s="5"/>
    </row>
    <row r="579">
      <c r="AO579" s="40"/>
      <c r="AP579" s="5"/>
      <c r="AR579" s="40"/>
      <c r="AS579" s="5"/>
      <c r="AU579" s="40"/>
      <c r="AV579" s="5"/>
      <c r="AX579" s="40"/>
      <c r="AY579" s="5"/>
      <c r="BA579" s="40"/>
      <c r="BB579" s="5"/>
      <c r="BD579" s="40"/>
      <c r="BE579" s="5"/>
      <c r="BG579" s="40"/>
      <c r="BH579" s="5"/>
      <c r="BJ579" s="40"/>
      <c r="BK579" s="5"/>
      <c r="BM579" s="40"/>
      <c r="BN579" s="5"/>
      <c r="BP579" s="40"/>
      <c r="BQ579" s="5"/>
      <c r="BS579" s="40"/>
      <c r="BT579" s="5"/>
      <c r="BV579" s="40"/>
      <c r="BW579" s="5"/>
      <c r="BY579" s="40"/>
      <c r="BZ579" s="5"/>
      <c r="CB579" s="40"/>
      <c r="CC579" s="5"/>
      <c r="CE579" s="40"/>
      <c r="CF579" s="5"/>
      <c r="CH579" s="40"/>
      <c r="CI579" s="5"/>
      <c r="CK579" s="40"/>
      <c r="CL579" s="5"/>
      <c r="CN579" s="40"/>
      <c r="CO579" s="5"/>
      <c r="CQ579" s="40"/>
      <c r="CR579" s="5"/>
    </row>
    <row r="580">
      <c r="AO580" s="40"/>
      <c r="AP580" s="5"/>
      <c r="AR580" s="40"/>
      <c r="AS580" s="5"/>
      <c r="AU580" s="40"/>
      <c r="AV580" s="5"/>
      <c r="AX580" s="40"/>
      <c r="AY580" s="5"/>
      <c r="BA580" s="40"/>
      <c r="BB580" s="5"/>
      <c r="BD580" s="40"/>
      <c r="BE580" s="5"/>
      <c r="BG580" s="40"/>
      <c r="BH580" s="5"/>
      <c r="BJ580" s="40"/>
      <c r="BK580" s="5"/>
      <c r="BM580" s="40"/>
      <c r="BN580" s="5"/>
      <c r="BP580" s="40"/>
      <c r="BQ580" s="5"/>
      <c r="BS580" s="40"/>
      <c r="BT580" s="5"/>
      <c r="BV580" s="40"/>
      <c r="BW580" s="5"/>
      <c r="BY580" s="40"/>
      <c r="BZ580" s="5"/>
      <c r="CB580" s="40"/>
      <c r="CC580" s="5"/>
      <c r="CE580" s="40"/>
      <c r="CF580" s="5"/>
      <c r="CH580" s="40"/>
      <c r="CI580" s="5"/>
      <c r="CK580" s="40"/>
      <c r="CL580" s="5"/>
      <c r="CN580" s="40"/>
      <c r="CO580" s="5"/>
      <c r="CQ580" s="40"/>
      <c r="CR580" s="5"/>
    </row>
    <row r="581">
      <c r="AO581" s="40"/>
      <c r="AP581" s="5"/>
      <c r="AR581" s="40"/>
      <c r="AS581" s="5"/>
      <c r="AU581" s="40"/>
      <c r="AV581" s="5"/>
      <c r="AX581" s="40"/>
      <c r="AY581" s="5"/>
      <c r="BA581" s="40"/>
      <c r="BB581" s="5"/>
      <c r="BD581" s="40"/>
      <c r="BE581" s="5"/>
      <c r="BG581" s="40"/>
      <c r="BH581" s="5"/>
      <c r="BJ581" s="40"/>
      <c r="BK581" s="5"/>
      <c r="BM581" s="40"/>
      <c r="BN581" s="5"/>
      <c r="BP581" s="40"/>
      <c r="BQ581" s="5"/>
      <c r="BS581" s="40"/>
      <c r="BT581" s="5"/>
      <c r="BV581" s="40"/>
      <c r="BW581" s="5"/>
      <c r="BY581" s="40"/>
      <c r="BZ581" s="5"/>
      <c r="CB581" s="40"/>
      <c r="CC581" s="5"/>
      <c r="CE581" s="40"/>
      <c r="CF581" s="5"/>
      <c r="CH581" s="40"/>
      <c r="CI581" s="5"/>
      <c r="CK581" s="40"/>
      <c r="CL581" s="5"/>
      <c r="CN581" s="40"/>
      <c r="CO581" s="5"/>
      <c r="CQ581" s="40"/>
      <c r="CR581" s="5"/>
    </row>
    <row r="582">
      <c r="AO582" s="40"/>
      <c r="AP582" s="5"/>
      <c r="AR582" s="40"/>
      <c r="AS582" s="5"/>
      <c r="AU582" s="40"/>
      <c r="AV582" s="5"/>
      <c r="AX582" s="40"/>
      <c r="AY582" s="5"/>
      <c r="BA582" s="40"/>
      <c r="BB582" s="5"/>
      <c r="BD582" s="40"/>
      <c r="BE582" s="5"/>
      <c r="BG582" s="40"/>
      <c r="BH582" s="5"/>
      <c r="BJ582" s="40"/>
      <c r="BK582" s="5"/>
      <c r="BM582" s="40"/>
      <c r="BN582" s="5"/>
      <c r="BP582" s="40"/>
      <c r="BQ582" s="5"/>
      <c r="BS582" s="40"/>
      <c r="BT582" s="5"/>
      <c r="BV582" s="40"/>
      <c r="BW582" s="5"/>
      <c r="BY582" s="40"/>
      <c r="BZ582" s="5"/>
      <c r="CB582" s="40"/>
      <c r="CC582" s="5"/>
      <c r="CE582" s="40"/>
      <c r="CF582" s="5"/>
      <c r="CH582" s="40"/>
      <c r="CI582" s="5"/>
      <c r="CK582" s="40"/>
      <c r="CL582" s="5"/>
      <c r="CN582" s="40"/>
      <c r="CO582" s="5"/>
      <c r="CQ582" s="40"/>
      <c r="CR582" s="5"/>
    </row>
    <row r="583">
      <c r="AO583" s="40"/>
      <c r="AP583" s="5"/>
      <c r="AR583" s="40"/>
      <c r="AS583" s="5"/>
      <c r="AU583" s="40"/>
      <c r="AV583" s="5"/>
      <c r="AX583" s="40"/>
      <c r="AY583" s="5"/>
      <c r="BA583" s="40"/>
      <c r="BB583" s="5"/>
      <c r="BD583" s="40"/>
      <c r="BE583" s="5"/>
      <c r="BG583" s="40"/>
      <c r="BH583" s="5"/>
      <c r="BJ583" s="40"/>
      <c r="BK583" s="5"/>
      <c r="BM583" s="40"/>
      <c r="BN583" s="5"/>
      <c r="BP583" s="40"/>
      <c r="BQ583" s="5"/>
      <c r="BS583" s="40"/>
      <c r="BT583" s="5"/>
      <c r="BV583" s="40"/>
      <c r="BW583" s="5"/>
      <c r="BY583" s="40"/>
      <c r="BZ583" s="5"/>
      <c r="CB583" s="40"/>
      <c r="CC583" s="5"/>
      <c r="CE583" s="40"/>
      <c r="CF583" s="5"/>
      <c r="CH583" s="40"/>
      <c r="CI583" s="5"/>
      <c r="CK583" s="40"/>
      <c r="CL583" s="5"/>
      <c r="CN583" s="40"/>
      <c r="CO583" s="5"/>
      <c r="CQ583" s="40"/>
      <c r="CR583" s="5"/>
    </row>
    <row r="584">
      <c r="AO584" s="40"/>
      <c r="AP584" s="5"/>
      <c r="AR584" s="40"/>
      <c r="AS584" s="5"/>
      <c r="AU584" s="40"/>
      <c r="AV584" s="5"/>
      <c r="AX584" s="40"/>
      <c r="AY584" s="5"/>
      <c r="BA584" s="40"/>
      <c r="BB584" s="5"/>
      <c r="BD584" s="40"/>
      <c r="BE584" s="5"/>
      <c r="BG584" s="40"/>
      <c r="BH584" s="5"/>
      <c r="BJ584" s="40"/>
      <c r="BK584" s="5"/>
      <c r="BM584" s="40"/>
      <c r="BN584" s="5"/>
      <c r="BP584" s="40"/>
      <c r="BQ584" s="5"/>
      <c r="BS584" s="40"/>
      <c r="BT584" s="5"/>
      <c r="BV584" s="40"/>
      <c r="BW584" s="5"/>
      <c r="BY584" s="40"/>
      <c r="BZ584" s="5"/>
      <c r="CB584" s="40"/>
      <c r="CC584" s="5"/>
      <c r="CE584" s="40"/>
      <c r="CF584" s="5"/>
      <c r="CH584" s="40"/>
      <c r="CI584" s="5"/>
      <c r="CK584" s="40"/>
      <c r="CL584" s="5"/>
      <c r="CN584" s="40"/>
      <c r="CO584" s="5"/>
      <c r="CQ584" s="40"/>
      <c r="CR584" s="5"/>
    </row>
    <row r="585">
      <c r="AO585" s="40"/>
      <c r="AP585" s="5"/>
      <c r="AR585" s="40"/>
      <c r="AS585" s="5"/>
      <c r="AU585" s="40"/>
      <c r="AV585" s="5"/>
      <c r="AX585" s="40"/>
      <c r="AY585" s="5"/>
      <c r="BA585" s="40"/>
      <c r="BB585" s="5"/>
      <c r="BD585" s="40"/>
      <c r="BE585" s="5"/>
      <c r="BG585" s="40"/>
      <c r="BH585" s="5"/>
      <c r="BJ585" s="40"/>
      <c r="BK585" s="5"/>
      <c r="BM585" s="40"/>
      <c r="BN585" s="5"/>
      <c r="BP585" s="40"/>
      <c r="BQ585" s="5"/>
      <c r="BS585" s="40"/>
      <c r="BT585" s="5"/>
      <c r="BV585" s="40"/>
      <c r="BW585" s="5"/>
      <c r="BY585" s="40"/>
      <c r="BZ585" s="5"/>
      <c r="CB585" s="40"/>
      <c r="CC585" s="5"/>
      <c r="CE585" s="40"/>
      <c r="CF585" s="5"/>
      <c r="CH585" s="40"/>
      <c r="CI585" s="5"/>
      <c r="CK585" s="40"/>
      <c r="CL585" s="5"/>
      <c r="CN585" s="40"/>
      <c r="CO585" s="5"/>
      <c r="CQ585" s="40"/>
      <c r="CR585" s="5"/>
    </row>
    <row r="586">
      <c r="AO586" s="40"/>
      <c r="AP586" s="5"/>
      <c r="AR586" s="40"/>
      <c r="AS586" s="5"/>
      <c r="AU586" s="40"/>
      <c r="AV586" s="5"/>
      <c r="AX586" s="40"/>
      <c r="AY586" s="5"/>
      <c r="BA586" s="40"/>
      <c r="BB586" s="5"/>
      <c r="BD586" s="40"/>
      <c r="BE586" s="5"/>
      <c r="BG586" s="40"/>
      <c r="BH586" s="5"/>
      <c r="BJ586" s="40"/>
      <c r="BK586" s="5"/>
      <c r="BM586" s="40"/>
      <c r="BN586" s="5"/>
      <c r="BP586" s="40"/>
      <c r="BQ586" s="5"/>
      <c r="BS586" s="40"/>
      <c r="BT586" s="5"/>
      <c r="BV586" s="40"/>
      <c r="BW586" s="5"/>
      <c r="BY586" s="40"/>
      <c r="BZ586" s="5"/>
      <c r="CB586" s="40"/>
      <c r="CC586" s="5"/>
      <c r="CE586" s="40"/>
      <c r="CF586" s="5"/>
      <c r="CH586" s="40"/>
      <c r="CI586" s="5"/>
      <c r="CK586" s="40"/>
      <c r="CL586" s="5"/>
      <c r="CN586" s="40"/>
      <c r="CO586" s="5"/>
      <c r="CQ586" s="40"/>
      <c r="CR586" s="5"/>
    </row>
    <row r="587">
      <c r="AO587" s="40"/>
      <c r="AP587" s="5"/>
      <c r="AR587" s="40"/>
      <c r="AS587" s="5"/>
      <c r="AU587" s="40"/>
      <c r="AV587" s="5"/>
      <c r="AX587" s="40"/>
      <c r="AY587" s="5"/>
      <c r="BA587" s="40"/>
      <c r="BB587" s="5"/>
      <c r="BD587" s="40"/>
      <c r="BE587" s="5"/>
      <c r="BG587" s="40"/>
      <c r="BH587" s="5"/>
      <c r="BJ587" s="40"/>
      <c r="BK587" s="5"/>
      <c r="BM587" s="40"/>
      <c r="BN587" s="5"/>
      <c r="BP587" s="40"/>
      <c r="BQ587" s="5"/>
      <c r="BS587" s="40"/>
      <c r="BT587" s="5"/>
      <c r="BV587" s="40"/>
      <c r="BW587" s="5"/>
      <c r="BY587" s="40"/>
      <c r="BZ587" s="5"/>
      <c r="CB587" s="40"/>
      <c r="CC587" s="5"/>
      <c r="CE587" s="40"/>
      <c r="CF587" s="5"/>
      <c r="CH587" s="40"/>
      <c r="CI587" s="5"/>
      <c r="CK587" s="40"/>
      <c r="CL587" s="5"/>
      <c r="CN587" s="40"/>
      <c r="CO587" s="5"/>
      <c r="CQ587" s="40"/>
      <c r="CR587" s="5"/>
    </row>
    <row r="588">
      <c r="AO588" s="40"/>
      <c r="AP588" s="5"/>
      <c r="AR588" s="40"/>
      <c r="AS588" s="5"/>
      <c r="AU588" s="40"/>
      <c r="AV588" s="5"/>
      <c r="AX588" s="40"/>
      <c r="AY588" s="5"/>
      <c r="BA588" s="40"/>
      <c r="BB588" s="5"/>
      <c r="BD588" s="40"/>
      <c r="BE588" s="5"/>
      <c r="BG588" s="40"/>
      <c r="BH588" s="5"/>
      <c r="BJ588" s="40"/>
      <c r="BK588" s="5"/>
      <c r="BM588" s="40"/>
      <c r="BN588" s="5"/>
      <c r="BP588" s="40"/>
      <c r="BQ588" s="5"/>
      <c r="BS588" s="40"/>
      <c r="BT588" s="5"/>
      <c r="BV588" s="40"/>
      <c r="BW588" s="5"/>
      <c r="BY588" s="40"/>
      <c r="BZ588" s="5"/>
      <c r="CB588" s="40"/>
      <c r="CC588" s="5"/>
      <c r="CE588" s="40"/>
      <c r="CF588" s="5"/>
      <c r="CH588" s="40"/>
      <c r="CI588" s="5"/>
      <c r="CK588" s="40"/>
      <c r="CL588" s="5"/>
      <c r="CN588" s="40"/>
      <c r="CO588" s="5"/>
      <c r="CQ588" s="40"/>
      <c r="CR588" s="5"/>
    </row>
    <row r="589">
      <c r="AO589" s="40"/>
      <c r="AP589" s="5"/>
      <c r="AR589" s="40"/>
      <c r="AS589" s="5"/>
      <c r="AU589" s="40"/>
      <c r="AV589" s="5"/>
      <c r="AX589" s="40"/>
      <c r="AY589" s="5"/>
      <c r="BA589" s="40"/>
      <c r="BB589" s="5"/>
      <c r="BD589" s="40"/>
      <c r="BE589" s="5"/>
      <c r="BG589" s="40"/>
      <c r="BH589" s="5"/>
      <c r="BJ589" s="40"/>
      <c r="BK589" s="5"/>
      <c r="BM589" s="40"/>
      <c r="BN589" s="5"/>
      <c r="BP589" s="40"/>
      <c r="BQ589" s="5"/>
      <c r="BS589" s="40"/>
      <c r="BT589" s="5"/>
      <c r="BV589" s="40"/>
      <c r="BW589" s="5"/>
      <c r="BY589" s="40"/>
      <c r="BZ589" s="5"/>
      <c r="CB589" s="40"/>
      <c r="CC589" s="5"/>
      <c r="CE589" s="40"/>
      <c r="CF589" s="5"/>
      <c r="CH589" s="40"/>
      <c r="CI589" s="5"/>
      <c r="CK589" s="40"/>
      <c r="CL589" s="5"/>
      <c r="CN589" s="40"/>
      <c r="CO589" s="5"/>
      <c r="CQ589" s="40"/>
      <c r="CR589" s="5"/>
    </row>
    <row r="590">
      <c r="AO590" s="40"/>
      <c r="AP590" s="5"/>
      <c r="AR590" s="40"/>
      <c r="AS590" s="5"/>
      <c r="AU590" s="40"/>
      <c r="AV590" s="5"/>
      <c r="AX590" s="40"/>
      <c r="AY590" s="5"/>
      <c r="BA590" s="40"/>
      <c r="BB590" s="5"/>
      <c r="BD590" s="40"/>
      <c r="BE590" s="5"/>
      <c r="BG590" s="40"/>
      <c r="BH590" s="5"/>
      <c r="BJ590" s="40"/>
      <c r="BK590" s="5"/>
      <c r="BM590" s="40"/>
      <c r="BN590" s="5"/>
      <c r="BP590" s="40"/>
      <c r="BQ590" s="5"/>
      <c r="BS590" s="40"/>
      <c r="BT590" s="5"/>
      <c r="BV590" s="40"/>
      <c r="BW590" s="5"/>
      <c r="BY590" s="40"/>
      <c r="BZ590" s="5"/>
      <c r="CB590" s="40"/>
      <c r="CC590" s="5"/>
      <c r="CE590" s="40"/>
      <c r="CF590" s="5"/>
      <c r="CH590" s="40"/>
      <c r="CI590" s="5"/>
      <c r="CK590" s="40"/>
      <c r="CL590" s="5"/>
      <c r="CN590" s="40"/>
      <c r="CO590" s="5"/>
      <c r="CQ590" s="40"/>
      <c r="CR590" s="5"/>
    </row>
    <row r="591">
      <c r="AO591" s="40"/>
      <c r="AP591" s="5"/>
      <c r="AR591" s="40"/>
      <c r="AS591" s="5"/>
      <c r="AU591" s="40"/>
      <c r="AV591" s="5"/>
      <c r="AX591" s="40"/>
      <c r="AY591" s="5"/>
      <c r="BA591" s="40"/>
      <c r="BB591" s="5"/>
      <c r="BD591" s="40"/>
      <c r="BE591" s="5"/>
      <c r="BG591" s="40"/>
      <c r="BH591" s="5"/>
      <c r="BJ591" s="40"/>
      <c r="BK591" s="5"/>
      <c r="BM591" s="40"/>
      <c r="BN591" s="5"/>
      <c r="BP591" s="40"/>
      <c r="BQ591" s="5"/>
      <c r="BS591" s="40"/>
      <c r="BT591" s="5"/>
      <c r="BV591" s="40"/>
      <c r="BW591" s="5"/>
      <c r="BY591" s="40"/>
      <c r="BZ591" s="5"/>
      <c r="CB591" s="40"/>
      <c r="CC591" s="5"/>
      <c r="CE591" s="40"/>
      <c r="CF591" s="5"/>
      <c r="CH591" s="40"/>
      <c r="CI591" s="5"/>
      <c r="CK591" s="40"/>
      <c r="CL591" s="5"/>
      <c r="CN591" s="40"/>
      <c r="CO591" s="5"/>
      <c r="CQ591" s="40"/>
      <c r="CR591" s="5"/>
    </row>
    <row r="592">
      <c r="AO592" s="40"/>
      <c r="AP592" s="5"/>
      <c r="AR592" s="40"/>
      <c r="AS592" s="5"/>
      <c r="AU592" s="40"/>
      <c r="AV592" s="5"/>
      <c r="AX592" s="40"/>
      <c r="AY592" s="5"/>
      <c r="BA592" s="40"/>
      <c r="BB592" s="5"/>
      <c r="BD592" s="40"/>
      <c r="BE592" s="5"/>
      <c r="BG592" s="40"/>
      <c r="BH592" s="5"/>
      <c r="BJ592" s="40"/>
      <c r="BK592" s="5"/>
      <c r="BM592" s="40"/>
      <c r="BN592" s="5"/>
      <c r="BP592" s="40"/>
      <c r="BQ592" s="5"/>
      <c r="BS592" s="40"/>
      <c r="BT592" s="5"/>
      <c r="BV592" s="40"/>
      <c r="BW592" s="5"/>
      <c r="BY592" s="40"/>
      <c r="BZ592" s="5"/>
      <c r="CB592" s="40"/>
      <c r="CC592" s="5"/>
      <c r="CE592" s="40"/>
      <c r="CF592" s="5"/>
      <c r="CH592" s="40"/>
      <c r="CI592" s="5"/>
      <c r="CK592" s="40"/>
      <c r="CL592" s="5"/>
      <c r="CN592" s="40"/>
      <c r="CO592" s="5"/>
      <c r="CQ592" s="40"/>
      <c r="CR592" s="5"/>
    </row>
    <row r="593">
      <c r="AO593" s="40"/>
      <c r="AP593" s="5"/>
      <c r="AR593" s="40"/>
      <c r="AS593" s="5"/>
      <c r="AU593" s="40"/>
      <c r="AV593" s="5"/>
      <c r="AX593" s="40"/>
      <c r="AY593" s="5"/>
      <c r="BA593" s="40"/>
      <c r="BB593" s="5"/>
      <c r="BD593" s="40"/>
      <c r="BE593" s="5"/>
      <c r="BG593" s="40"/>
      <c r="BH593" s="5"/>
      <c r="BJ593" s="40"/>
      <c r="BK593" s="5"/>
      <c r="BM593" s="40"/>
      <c r="BN593" s="5"/>
      <c r="BP593" s="40"/>
      <c r="BQ593" s="5"/>
      <c r="BS593" s="40"/>
      <c r="BT593" s="5"/>
      <c r="BV593" s="40"/>
      <c r="BW593" s="5"/>
      <c r="BY593" s="40"/>
      <c r="BZ593" s="5"/>
      <c r="CB593" s="40"/>
      <c r="CC593" s="5"/>
      <c r="CE593" s="40"/>
      <c r="CF593" s="5"/>
      <c r="CH593" s="40"/>
      <c r="CI593" s="5"/>
      <c r="CK593" s="40"/>
      <c r="CL593" s="5"/>
      <c r="CN593" s="40"/>
      <c r="CO593" s="5"/>
      <c r="CQ593" s="40"/>
      <c r="CR593" s="5"/>
    </row>
    <row r="594">
      <c r="AO594" s="40"/>
      <c r="AP594" s="5"/>
      <c r="AR594" s="40"/>
      <c r="AS594" s="5"/>
      <c r="AU594" s="40"/>
      <c r="AV594" s="5"/>
      <c r="AX594" s="40"/>
      <c r="AY594" s="5"/>
      <c r="BA594" s="40"/>
      <c r="BB594" s="5"/>
      <c r="BD594" s="40"/>
      <c r="BE594" s="5"/>
      <c r="BG594" s="40"/>
      <c r="BH594" s="5"/>
      <c r="BJ594" s="40"/>
      <c r="BK594" s="5"/>
      <c r="BM594" s="40"/>
      <c r="BN594" s="5"/>
      <c r="BP594" s="40"/>
      <c r="BQ594" s="5"/>
      <c r="BS594" s="40"/>
      <c r="BT594" s="5"/>
      <c r="BV594" s="40"/>
      <c r="BW594" s="5"/>
      <c r="BY594" s="40"/>
      <c r="BZ594" s="5"/>
      <c r="CB594" s="40"/>
      <c r="CC594" s="5"/>
      <c r="CE594" s="40"/>
      <c r="CF594" s="5"/>
      <c r="CH594" s="40"/>
      <c r="CI594" s="5"/>
      <c r="CK594" s="40"/>
      <c r="CL594" s="5"/>
      <c r="CN594" s="40"/>
      <c r="CO594" s="5"/>
      <c r="CQ594" s="40"/>
      <c r="CR594" s="5"/>
    </row>
    <row r="595">
      <c r="AO595" s="40"/>
      <c r="AP595" s="5"/>
      <c r="AR595" s="40"/>
      <c r="AS595" s="5"/>
      <c r="AU595" s="40"/>
      <c r="AV595" s="5"/>
      <c r="AX595" s="40"/>
      <c r="AY595" s="5"/>
      <c r="BA595" s="40"/>
      <c r="BB595" s="5"/>
      <c r="BD595" s="40"/>
      <c r="BE595" s="5"/>
      <c r="BG595" s="40"/>
      <c r="BH595" s="5"/>
      <c r="BJ595" s="40"/>
      <c r="BK595" s="5"/>
      <c r="BM595" s="40"/>
      <c r="BN595" s="5"/>
      <c r="BP595" s="40"/>
      <c r="BQ595" s="5"/>
      <c r="BS595" s="40"/>
      <c r="BT595" s="5"/>
      <c r="BV595" s="40"/>
      <c r="BW595" s="5"/>
      <c r="BY595" s="40"/>
      <c r="BZ595" s="5"/>
      <c r="CB595" s="40"/>
      <c r="CC595" s="5"/>
      <c r="CE595" s="40"/>
      <c r="CF595" s="5"/>
      <c r="CH595" s="40"/>
      <c r="CI595" s="5"/>
      <c r="CK595" s="40"/>
      <c r="CL595" s="5"/>
      <c r="CN595" s="40"/>
      <c r="CO595" s="5"/>
      <c r="CQ595" s="40"/>
      <c r="CR595" s="5"/>
    </row>
    <row r="596">
      <c r="AO596" s="40"/>
      <c r="AP596" s="5"/>
      <c r="AR596" s="40"/>
      <c r="AS596" s="5"/>
      <c r="AU596" s="40"/>
      <c r="AV596" s="5"/>
      <c r="AX596" s="40"/>
      <c r="AY596" s="5"/>
      <c r="BA596" s="40"/>
      <c r="BB596" s="5"/>
      <c r="BD596" s="40"/>
      <c r="BE596" s="5"/>
      <c r="BG596" s="40"/>
      <c r="BH596" s="5"/>
      <c r="BJ596" s="40"/>
      <c r="BK596" s="5"/>
      <c r="BM596" s="40"/>
      <c r="BN596" s="5"/>
      <c r="BP596" s="40"/>
      <c r="BQ596" s="5"/>
      <c r="BS596" s="40"/>
      <c r="BT596" s="5"/>
      <c r="BV596" s="40"/>
      <c r="BW596" s="5"/>
      <c r="BY596" s="40"/>
      <c r="BZ596" s="5"/>
      <c r="CB596" s="40"/>
      <c r="CC596" s="5"/>
      <c r="CE596" s="40"/>
      <c r="CF596" s="5"/>
      <c r="CH596" s="40"/>
      <c r="CI596" s="5"/>
      <c r="CK596" s="40"/>
      <c r="CL596" s="5"/>
      <c r="CN596" s="40"/>
      <c r="CO596" s="5"/>
      <c r="CQ596" s="40"/>
      <c r="CR596" s="5"/>
    </row>
    <row r="597">
      <c r="AO597" s="40"/>
      <c r="AP597" s="5"/>
      <c r="AR597" s="40"/>
      <c r="AS597" s="5"/>
      <c r="AU597" s="40"/>
      <c r="AV597" s="5"/>
      <c r="AX597" s="40"/>
      <c r="AY597" s="5"/>
      <c r="BA597" s="40"/>
      <c r="BB597" s="5"/>
      <c r="BD597" s="40"/>
      <c r="BE597" s="5"/>
      <c r="BG597" s="40"/>
      <c r="BH597" s="5"/>
      <c r="BJ597" s="40"/>
      <c r="BK597" s="5"/>
      <c r="BM597" s="40"/>
      <c r="BN597" s="5"/>
      <c r="BP597" s="40"/>
      <c r="BQ597" s="5"/>
      <c r="BS597" s="40"/>
      <c r="BT597" s="5"/>
      <c r="BV597" s="40"/>
      <c r="BW597" s="5"/>
      <c r="BY597" s="40"/>
      <c r="BZ597" s="5"/>
      <c r="CB597" s="40"/>
      <c r="CC597" s="5"/>
      <c r="CE597" s="40"/>
      <c r="CF597" s="5"/>
      <c r="CH597" s="40"/>
      <c r="CI597" s="5"/>
      <c r="CK597" s="40"/>
      <c r="CL597" s="5"/>
      <c r="CN597" s="40"/>
      <c r="CO597" s="5"/>
      <c r="CQ597" s="40"/>
      <c r="CR597" s="5"/>
    </row>
    <row r="598">
      <c r="AO598" s="40"/>
      <c r="AP598" s="5"/>
      <c r="AR598" s="40"/>
      <c r="AS598" s="5"/>
      <c r="AU598" s="40"/>
      <c r="AV598" s="5"/>
      <c r="AX598" s="40"/>
      <c r="AY598" s="5"/>
      <c r="BA598" s="40"/>
      <c r="BB598" s="5"/>
      <c r="BD598" s="40"/>
      <c r="BE598" s="5"/>
      <c r="BG598" s="40"/>
      <c r="BH598" s="5"/>
      <c r="BJ598" s="40"/>
      <c r="BK598" s="5"/>
      <c r="BM598" s="40"/>
      <c r="BN598" s="5"/>
      <c r="BP598" s="40"/>
      <c r="BQ598" s="5"/>
      <c r="BS598" s="40"/>
      <c r="BT598" s="5"/>
      <c r="BV598" s="40"/>
      <c r="BW598" s="5"/>
      <c r="BY598" s="40"/>
      <c r="BZ598" s="5"/>
      <c r="CB598" s="40"/>
      <c r="CC598" s="5"/>
      <c r="CE598" s="40"/>
      <c r="CF598" s="5"/>
      <c r="CH598" s="40"/>
      <c r="CI598" s="5"/>
      <c r="CK598" s="40"/>
      <c r="CL598" s="5"/>
      <c r="CN598" s="40"/>
      <c r="CO598" s="5"/>
      <c r="CQ598" s="40"/>
      <c r="CR598" s="5"/>
    </row>
    <row r="599">
      <c r="AO599" s="40"/>
      <c r="AP599" s="5"/>
      <c r="AR599" s="40"/>
      <c r="AS599" s="5"/>
      <c r="AU599" s="40"/>
      <c r="AV599" s="5"/>
      <c r="AX599" s="40"/>
      <c r="AY599" s="5"/>
      <c r="BA599" s="40"/>
      <c r="BB599" s="5"/>
      <c r="BD599" s="40"/>
      <c r="BE599" s="5"/>
      <c r="BG599" s="40"/>
      <c r="BH599" s="5"/>
      <c r="BJ599" s="40"/>
      <c r="BK599" s="5"/>
      <c r="BM599" s="40"/>
      <c r="BN599" s="5"/>
      <c r="BP599" s="40"/>
      <c r="BQ599" s="5"/>
      <c r="BS599" s="40"/>
      <c r="BT599" s="5"/>
      <c r="BV599" s="40"/>
      <c r="BW599" s="5"/>
      <c r="BY599" s="40"/>
      <c r="BZ599" s="5"/>
      <c r="CB599" s="40"/>
      <c r="CC599" s="5"/>
      <c r="CE599" s="40"/>
      <c r="CF599" s="5"/>
      <c r="CH599" s="40"/>
      <c r="CI599" s="5"/>
      <c r="CK599" s="40"/>
      <c r="CL599" s="5"/>
      <c r="CN599" s="40"/>
      <c r="CO599" s="5"/>
      <c r="CQ599" s="40"/>
      <c r="CR599" s="5"/>
    </row>
    <row r="600">
      <c r="AO600" s="40"/>
      <c r="AP600" s="5"/>
      <c r="AR600" s="40"/>
      <c r="AS600" s="5"/>
      <c r="AU600" s="40"/>
      <c r="AV600" s="5"/>
      <c r="AX600" s="40"/>
      <c r="AY600" s="5"/>
      <c r="BA600" s="40"/>
      <c r="BB600" s="5"/>
      <c r="BD600" s="40"/>
      <c r="BE600" s="5"/>
      <c r="BG600" s="40"/>
      <c r="BH600" s="5"/>
      <c r="BJ600" s="40"/>
      <c r="BK600" s="5"/>
      <c r="BM600" s="40"/>
      <c r="BN600" s="5"/>
      <c r="BP600" s="40"/>
      <c r="BQ600" s="5"/>
      <c r="BS600" s="40"/>
      <c r="BT600" s="5"/>
      <c r="BV600" s="40"/>
      <c r="BW600" s="5"/>
      <c r="BY600" s="40"/>
      <c r="BZ600" s="5"/>
      <c r="CB600" s="40"/>
      <c r="CC600" s="5"/>
      <c r="CE600" s="40"/>
      <c r="CF600" s="5"/>
      <c r="CH600" s="40"/>
      <c r="CI600" s="5"/>
      <c r="CK600" s="40"/>
      <c r="CL600" s="5"/>
      <c r="CN600" s="40"/>
      <c r="CO600" s="5"/>
      <c r="CQ600" s="40"/>
      <c r="CR600" s="5"/>
    </row>
    <row r="601">
      <c r="AO601" s="40"/>
      <c r="AP601" s="5"/>
      <c r="AR601" s="40"/>
      <c r="AS601" s="5"/>
      <c r="AU601" s="40"/>
      <c r="AV601" s="5"/>
      <c r="AX601" s="40"/>
      <c r="AY601" s="5"/>
      <c r="BA601" s="40"/>
      <c r="BB601" s="5"/>
      <c r="BD601" s="40"/>
      <c r="BE601" s="5"/>
      <c r="BG601" s="40"/>
      <c r="BH601" s="5"/>
      <c r="BJ601" s="40"/>
      <c r="BK601" s="5"/>
      <c r="BM601" s="40"/>
      <c r="BN601" s="5"/>
      <c r="BP601" s="40"/>
      <c r="BQ601" s="5"/>
      <c r="BS601" s="40"/>
      <c r="BT601" s="5"/>
      <c r="BV601" s="40"/>
      <c r="BW601" s="5"/>
      <c r="BY601" s="40"/>
      <c r="BZ601" s="5"/>
      <c r="CB601" s="40"/>
      <c r="CC601" s="5"/>
      <c r="CE601" s="40"/>
      <c r="CF601" s="5"/>
      <c r="CH601" s="40"/>
      <c r="CI601" s="5"/>
      <c r="CK601" s="40"/>
      <c r="CL601" s="5"/>
      <c r="CN601" s="40"/>
      <c r="CO601" s="5"/>
      <c r="CQ601" s="40"/>
      <c r="CR601" s="5"/>
    </row>
    <row r="602">
      <c r="AO602" s="40"/>
      <c r="AP602" s="5"/>
      <c r="AR602" s="40"/>
      <c r="AS602" s="5"/>
      <c r="AU602" s="40"/>
      <c r="AV602" s="5"/>
      <c r="AX602" s="40"/>
      <c r="AY602" s="5"/>
      <c r="BA602" s="40"/>
      <c r="BB602" s="5"/>
      <c r="BD602" s="40"/>
      <c r="BE602" s="5"/>
      <c r="BG602" s="40"/>
      <c r="BH602" s="5"/>
      <c r="BJ602" s="40"/>
      <c r="BK602" s="5"/>
      <c r="BM602" s="40"/>
      <c r="BN602" s="5"/>
      <c r="BP602" s="40"/>
      <c r="BQ602" s="5"/>
      <c r="BS602" s="40"/>
      <c r="BT602" s="5"/>
      <c r="BV602" s="40"/>
      <c r="BW602" s="5"/>
      <c r="BY602" s="40"/>
      <c r="BZ602" s="5"/>
      <c r="CB602" s="40"/>
      <c r="CC602" s="5"/>
      <c r="CE602" s="40"/>
      <c r="CF602" s="5"/>
      <c r="CH602" s="40"/>
      <c r="CI602" s="5"/>
      <c r="CK602" s="40"/>
      <c r="CL602" s="5"/>
      <c r="CN602" s="40"/>
      <c r="CO602" s="5"/>
      <c r="CQ602" s="40"/>
      <c r="CR602" s="5"/>
    </row>
    <row r="603">
      <c r="AO603" s="40"/>
      <c r="AP603" s="5"/>
      <c r="AR603" s="40"/>
      <c r="AS603" s="5"/>
      <c r="AU603" s="40"/>
      <c r="AV603" s="5"/>
      <c r="AX603" s="40"/>
      <c r="AY603" s="5"/>
      <c r="BA603" s="40"/>
      <c r="BB603" s="5"/>
      <c r="BD603" s="40"/>
      <c r="BE603" s="5"/>
      <c r="BG603" s="40"/>
      <c r="BH603" s="5"/>
      <c r="BJ603" s="40"/>
      <c r="BK603" s="5"/>
      <c r="BM603" s="40"/>
      <c r="BN603" s="5"/>
      <c r="BP603" s="40"/>
      <c r="BQ603" s="5"/>
      <c r="BS603" s="40"/>
      <c r="BT603" s="5"/>
      <c r="BV603" s="40"/>
      <c r="BW603" s="5"/>
      <c r="BY603" s="40"/>
      <c r="BZ603" s="5"/>
      <c r="CB603" s="40"/>
      <c r="CC603" s="5"/>
      <c r="CE603" s="40"/>
      <c r="CF603" s="5"/>
      <c r="CH603" s="40"/>
      <c r="CI603" s="5"/>
      <c r="CK603" s="40"/>
      <c r="CL603" s="5"/>
      <c r="CN603" s="40"/>
      <c r="CO603" s="5"/>
      <c r="CQ603" s="40"/>
      <c r="CR603" s="5"/>
    </row>
    <row r="604">
      <c r="AO604" s="40"/>
      <c r="AP604" s="5"/>
      <c r="AR604" s="40"/>
      <c r="AS604" s="5"/>
      <c r="AU604" s="40"/>
      <c r="AV604" s="5"/>
      <c r="AX604" s="40"/>
      <c r="AY604" s="5"/>
      <c r="BA604" s="40"/>
      <c r="BB604" s="5"/>
      <c r="BD604" s="40"/>
      <c r="BE604" s="5"/>
      <c r="BG604" s="40"/>
      <c r="BH604" s="5"/>
      <c r="BJ604" s="40"/>
      <c r="BK604" s="5"/>
      <c r="BM604" s="40"/>
      <c r="BN604" s="5"/>
      <c r="BP604" s="40"/>
      <c r="BQ604" s="5"/>
      <c r="BS604" s="40"/>
      <c r="BT604" s="5"/>
      <c r="BV604" s="40"/>
      <c r="BW604" s="5"/>
      <c r="BY604" s="40"/>
      <c r="BZ604" s="5"/>
      <c r="CB604" s="40"/>
      <c r="CC604" s="5"/>
      <c r="CE604" s="40"/>
      <c r="CF604" s="5"/>
      <c r="CH604" s="40"/>
      <c r="CI604" s="5"/>
      <c r="CK604" s="40"/>
      <c r="CL604" s="5"/>
      <c r="CN604" s="40"/>
      <c r="CO604" s="5"/>
      <c r="CQ604" s="40"/>
      <c r="CR604" s="5"/>
    </row>
    <row r="605">
      <c r="AO605" s="40"/>
      <c r="AP605" s="5"/>
      <c r="AR605" s="40"/>
      <c r="AS605" s="5"/>
      <c r="AU605" s="40"/>
      <c r="AV605" s="5"/>
      <c r="AX605" s="40"/>
      <c r="AY605" s="5"/>
      <c r="BA605" s="40"/>
      <c r="BB605" s="5"/>
      <c r="BD605" s="40"/>
      <c r="BE605" s="5"/>
      <c r="BG605" s="40"/>
      <c r="BH605" s="5"/>
      <c r="BJ605" s="40"/>
      <c r="BK605" s="5"/>
      <c r="BM605" s="40"/>
      <c r="BN605" s="5"/>
      <c r="BP605" s="40"/>
      <c r="BQ605" s="5"/>
      <c r="BS605" s="40"/>
      <c r="BT605" s="5"/>
      <c r="BV605" s="40"/>
      <c r="BW605" s="5"/>
      <c r="BY605" s="40"/>
      <c r="BZ605" s="5"/>
      <c r="CB605" s="40"/>
      <c r="CC605" s="5"/>
      <c r="CE605" s="40"/>
      <c r="CF605" s="5"/>
      <c r="CH605" s="40"/>
      <c r="CI605" s="5"/>
      <c r="CK605" s="40"/>
      <c r="CL605" s="5"/>
      <c r="CN605" s="40"/>
      <c r="CO605" s="5"/>
      <c r="CQ605" s="40"/>
      <c r="CR605" s="5"/>
    </row>
    <row r="606">
      <c r="AO606" s="40"/>
      <c r="AP606" s="5"/>
      <c r="AR606" s="40"/>
      <c r="AS606" s="5"/>
      <c r="AU606" s="40"/>
      <c r="AV606" s="5"/>
      <c r="AX606" s="40"/>
      <c r="AY606" s="5"/>
      <c r="BA606" s="40"/>
      <c r="BB606" s="5"/>
      <c r="BD606" s="40"/>
      <c r="BE606" s="5"/>
      <c r="BG606" s="40"/>
      <c r="BH606" s="5"/>
      <c r="BJ606" s="40"/>
      <c r="BK606" s="5"/>
      <c r="BM606" s="40"/>
      <c r="BN606" s="5"/>
      <c r="BP606" s="40"/>
      <c r="BQ606" s="5"/>
      <c r="BS606" s="40"/>
      <c r="BT606" s="5"/>
      <c r="BV606" s="40"/>
      <c r="BW606" s="5"/>
      <c r="BY606" s="40"/>
      <c r="BZ606" s="5"/>
      <c r="CB606" s="40"/>
      <c r="CC606" s="5"/>
      <c r="CE606" s="40"/>
      <c r="CF606" s="5"/>
      <c r="CH606" s="40"/>
      <c r="CI606" s="5"/>
      <c r="CK606" s="40"/>
      <c r="CL606" s="5"/>
      <c r="CN606" s="40"/>
      <c r="CO606" s="5"/>
      <c r="CQ606" s="40"/>
      <c r="CR606" s="5"/>
    </row>
    <row r="607">
      <c r="AO607" s="40"/>
      <c r="AP607" s="5"/>
      <c r="AR607" s="40"/>
      <c r="AS607" s="5"/>
      <c r="AU607" s="40"/>
      <c r="AV607" s="5"/>
      <c r="AX607" s="40"/>
      <c r="AY607" s="5"/>
      <c r="BA607" s="40"/>
      <c r="BB607" s="5"/>
      <c r="BD607" s="40"/>
      <c r="BE607" s="5"/>
      <c r="BG607" s="40"/>
      <c r="BH607" s="5"/>
      <c r="BJ607" s="40"/>
      <c r="BK607" s="5"/>
      <c r="BM607" s="40"/>
      <c r="BN607" s="5"/>
      <c r="BP607" s="40"/>
      <c r="BQ607" s="5"/>
      <c r="BS607" s="40"/>
      <c r="BT607" s="5"/>
      <c r="BV607" s="40"/>
      <c r="BW607" s="5"/>
      <c r="BY607" s="40"/>
      <c r="BZ607" s="5"/>
      <c r="CB607" s="40"/>
      <c r="CC607" s="5"/>
      <c r="CE607" s="40"/>
      <c r="CF607" s="5"/>
      <c r="CH607" s="40"/>
      <c r="CI607" s="5"/>
      <c r="CK607" s="40"/>
      <c r="CL607" s="5"/>
      <c r="CN607" s="40"/>
      <c r="CO607" s="5"/>
      <c r="CQ607" s="40"/>
      <c r="CR607" s="5"/>
    </row>
    <row r="608">
      <c r="AO608" s="40"/>
      <c r="AP608" s="5"/>
      <c r="AR608" s="40"/>
      <c r="AS608" s="5"/>
      <c r="AU608" s="40"/>
      <c r="AV608" s="5"/>
      <c r="AX608" s="40"/>
      <c r="AY608" s="5"/>
      <c r="BA608" s="40"/>
      <c r="BB608" s="5"/>
      <c r="BD608" s="40"/>
      <c r="BE608" s="5"/>
      <c r="BG608" s="40"/>
      <c r="BH608" s="5"/>
      <c r="BJ608" s="40"/>
      <c r="BK608" s="5"/>
      <c r="BM608" s="40"/>
      <c r="BN608" s="5"/>
      <c r="BP608" s="40"/>
      <c r="BQ608" s="5"/>
      <c r="BS608" s="40"/>
      <c r="BT608" s="5"/>
      <c r="BV608" s="40"/>
      <c r="BW608" s="5"/>
      <c r="BY608" s="40"/>
      <c r="BZ608" s="5"/>
      <c r="CB608" s="40"/>
      <c r="CC608" s="5"/>
      <c r="CE608" s="40"/>
      <c r="CF608" s="5"/>
      <c r="CH608" s="40"/>
      <c r="CI608" s="5"/>
      <c r="CK608" s="40"/>
      <c r="CL608" s="5"/>
      <c r="CN608" s="40"/>
      <c r="CO608" s="5"/>
      <c r="CQ608" s="40"/>
      <c r="CR608" s="5"/>
    </row>
    <row r="609">
      <c r="AO609" s="40"/>
      <c r="AP609" s="5"/>
      <c r="AR609" s="40"/>
      <c r="AS609" s="5"/>
      <c r="AU609" s="40"/>
      <c r="AV609" s="5"/>
      <c r="AX609" s="40"/>
      <c r="AY609" s="5"/>
      <c r="BA609" s="40"/>
      <c r="BB609" s="5"/>
      <c r="BD609" s="40"/>
      <c r="BE609" s="5"/>
      <c r="BG609" s="40"/>
      <c r="BH609" s="5"/>
      <c r="BJ609" s="40"/>
      <c r="BK609" s="5"/>
      <c r="BM609" s="40"/>
      <c r="BN609" s="5"/>
      <c r="BP609" s="40"/>
      <c r="BQ609" s="5"/>
      <c r="BS609" s="40"/>
      <c r="BT609" s="5"/>
      <c r="BV609" s="40"/>
      <c r="BW609" s="5"/>
      <c r="BY609" s="40"/>
      <c r="BZ609" s="5"/>
      <c r="CB609" s="40"/>
      <c r="CC609" s="5"/>
      <c r="CE609" s="40"/>
      <c r="CF609" s="5"/>
      <c r="CH609" s="40"/>
      <c r="CI609" s="5"/>
      <c r="CK609" s="40"/>
      <c r="CL609" s="5"/>
      <c r="CN609" s="40"/>
      <c r="CO609" s="5"/>
      <c r="CQ609" s="40"/>
      <c r="CR609" s="5"/>
    </row>
    <row r="610">
      <c r="AO610" s="40"/>
      <c r="AP610" s="5"/>
      <c r="AR610" s="40"/>
      <c r="AS610" s="5"/>
      <c r="AU610" s="40"/>
      <c r="AV610" s="5"/>
      <c r="AX610" s="40"/>
      <c r="AY610" s="5"/>
      <c r="BA610" s="40"/>
      <c r="BB610" s="5"/>
      <c r="BD610" s="40"/>
      <c r="BE610" s="5"/>
      <c r="BG610" s="40"/>
      <c r="BH610" s="5"/>
      <c r="BJ610" s="40"/>
      <c r="BK610" s="5"/>
      <c r="BM610" s="40"/>
      <c r="BN610" s="5"/>
      <c r="BP610" s="40"/>
      <c r="BQ610" s="5"/>
      <c r="BS610" s="40"/>
      <c r="BT610" s="5"/>
      <c r="BV610" s="40"/>
      <c r="BW610" s="5"/>
      <c r="BY610" s="40"/>
      <c r="BZ610" s="5"/>
      <c r="CB610" s="40"/>
      <c r="CC610" s="5"/>
      <c r="CE610" s="40"/>
      <c r="CF610" s="5"/>
      <c r="CH610" s="40"/>
      <c r="CI610" s="5"/>
      <c r="CK610" s="40"/>
      <c r="CL610" s="5"/>
      <c r="CN610" s="40"/>
      <c r="CO610" s="5"/>
      <c r="CQ610" s="40"/>
      <c r="CR610" s="5"/>
    </row>
    <row r="611">
      <c r="AO611" s="40"/>
      <c r="AP611" s="5"/>
      <c r="AR611" s="40"/>
      <c r="AS611" s="5"/>
      <c r="AU611" s="40"/>
      <c r="AV611" s="5"/>
      <c r="AX611" s="40"/>
      <c r="AY611" s="5"/>
      <c r="BA611" s="40"/>
      <c r="BB611" s="5"/>
      <c r="BD611" s="40"/>
      <c r="BE611" s="5"/>
      <c r="BG611" s="40"/>
      <c r="BH611" s="5"/>
      <c r="BJ611" s="40"/>
      <c r="BK611" s="5"/>
      <c r="BM611" s="40"/>
      <c r="BN611" s="5"/>
      <c r="BP611" s="40"/>
      <c r="BQ611" s="5"/>
      <c r="BS611" s="40"/>
      <c r="BT611" s="5"/>
      <c r="BV611" s="40"/>
      <c r="BW611" s="5"/>
      <c r="BY611" s="40"/>
      <c r="BZ611" s="5"/>
      <c r="CB611" s="40"/>
      <c r="CC611" s="5"/>
      <c r="CE611" s="40"/>
      <c r="CF611" s="5"/>
      <c r="CH611" s="40"/>
      <c r="CI611" s="5"/>
      <c r="CK611" s="40"/>
      <c r="CL611" s="5"/>
      <c r="CN611" s="40"/>
      <c r="CO611" s="5"/>
      <c r="CQ611" s="40"/>
      <c r="CR611" s="5"/>
    </row>
    <row r="612">
      <c r="AO612" s="40"/>
      <c r="AP612" s="5"/>
      <c r="AR612" s="40"/>
      <c r="AS612" s="5"/>
      <c r="AU612" s="40"/>
      <c r="AV612" s="5"/>
      <c r="AX612" s="40"/>
      <c r="AY612" s="5"/>
      <c r="BA612" s="40"/>
      <c r="BB612" s="5"/>
      <c r="BD612" s="40"/>
      <c r="BE612" s="5"/>
      <c r="BG612" s="40"/>
      <c r="BH612" s="5"/>
      <c r="BJ612" s="40"/>
      <c r="BK612" s="5"/>
      <c r="BM612" s="40"/>
      <c r="BN612" s="5"/>
      <c r="BP612" s="40"/>
      <c r="BQ612" s="5"/>
      <c r="BS612" s="40"/>
      <c r="BT612" s="5"/>
      <c r="BV612" s="40"/>
      <c r="BW612" s="5"/>
      <c r="BY612" s="40"/>
      <c r="BZ612" s="5"/>
      <c r="CB612" s="40"/>
      <c r="CC612" s="5"/>
      <c r="CE612" s="40"/>
      <c r="CF612" s="5"/>
      <c r="CH612" s="40"/>
      <c r="CI612" s="5"/>
      <c r="CK612" s="40"/>
      <c r="CL612" s="5"/>
      <c r="CN612" s="40"/>
      <c r="CO612" s="5"/>
      <c r="CQ612" s="40"/>
      <c r="CR612" s="5"/>
    </row>
    <row r="613">
      <c r="AO613" s="40"/>
      <c r="AP613" s="5"/>
      <c r="AR613" s="40"/>
      <c r="AS613" s="5"/>
      <c r="AU613" s="40"/>
      <c r="AV613" s="5"/>
      <c r="AX613" s="40"/>
      <c r="AY613" s="5"/>
      <c r="BA613" s="40"/>
      <c r="BB613" s="5"/>
      <c r="BD613" s="40"/>
      <c r="BE613" s="5"/>
      <c r="BG613" s="40"/>
      <c r="BH613" s="5"/>
      <c r="BJ613" s="40"/>
      <c r="BK613" s="5"/>
      <c r="BM613" s="40"/>
      <c r="BN613" s="5"/>
      <c r="BP613" s="40"/>
      <c r="BQ613" s="5"/>
      <c r="BS613" s="40"/>
      <c r="BT613" s="5"/>
      <c r="BV613" s="40"/>
      <c r="BW613" s="5"/>
      <c r="BY613" s="40"/>
      <c r="BZ613" s="5"/>
      <c r="CB613" s="40"/>
      <c r="CC613" s="5"/>
      <c r="CE613" s="40"/>
      <c r="CF613" s="5"/>
      <c r="CH613" s="40"/>
      <c r="CI613" s="5"/>
      <c r="CK613" s="40"/>
      <c r="CL613" s="5"/>
      <c r="CN613" s="40"/>
      <c r="CO613" s="5"/>
      <c r="CQ613" s="40"/>
      <c r="CR613" s="5"/>
    </row>
    <row r="614">
      <c r="AO614" s="40"/>
      <c r="AP614" s="5"/>
      <c r="AR614" s="40"/>
      <c r="AS614" s="5"/>
      <c r="AU614" s="40"/>
      <c r="AV614" s="5"/>
      <c r="AX614" s="40"/>
      <c r="AY614" s="5"/>
      <c r="BA614" s="40"/>
      <c r="BB614" s="5"/>
      <c r="BD614" s="40"/>
      <c r="BE614" s="5"/>
      <c r="BG614" s="40"/>
      <c r="BH614" s="5"/>
      <c r="BJ614" s="40"/>
      <c r="BK614" s="5"/>
      <c r="BM614" s="40"/>
      <c r="BN614" s="5"/>
      <c r="BP614" s="40"/>
      <c r="BQ614" s="5"/>
      <c r="BS614" s="40"/>
      <c r="BT614" s="5"/>
      <c r="BV614" s="40"/>
      <c r="BW614" s="5"/>
      <c r="BY614" s="40"/>
      <c r="BZ614" s="5"/>
      <c r="CB614" s="40"/>
      <c r="CC614" s="5"/>
      <c r="CE614" s="40"/>
      <c r="CF614" s="5"/>
      <c r="CH614" s="40"/>
      <c r="CI614" s="5"/>
      <c r="CK614" s="40"/>
      <c r="CL614" s="5"/>
      <c r="CN614" s="40"/>
      <c r="CO614" s="5"/>
      <c r="CQ614" s="40"/>
      <c r="CR614" s="5"/>
    </row>
    <row r="615">
      <c r="AO615" s="40"/>
      <c r="AP615" s="5"/>
      <c r="AR615" s="40"/>
      <c r="AS615" s="5"/>
      <c r="AU615" s="40"/>
      <c r="AV615" s="5"/>
      <c r="AX615" s="40"/>
      <c r="AY615" s="5"/>
      <c r="BA615" s="40"/>
      <c r="BB615" s="5"/>
      <c r="BD615" s="40"/>
      <c r="BE615" s="5"/>
      <c r="BG615" s="40"/>
      <c r="BH615" s="5"/>
      <c r="BJ615" s="40"/>
      <c r="BK615" s="5"/>
      <c r="BM615" s="40"/>
      <c r="BN615" s="5"/>
      <c r="BP615" s="40"/>
      <c r="BQ615" s="5"/>
      <c r="BS615" s="40"/>
      <c r="BT615" s="5"/>
      <c r="BV615" s="40"/>
      <c r="BW615" s="5"/>
      <c r="BY615" s="40"/>
      <c r="BZ615" s="5"/>
      <c r="CB615" s="40"/>
      <c r="CC615" s="5"/>
      <c r="CE615" s="40"/>
      <c r="CF615" s="5"/>
      <c r="CH615" s="40"/>
      <c r="CI615" s="5"/>
      <c r="CK615" s="40"/>
      <c r="CL615" s="5"/>
      <c r="CN615" s="40"/>
      <c r="CO615" s="5"/>
      <c r="CQ615" s="40"/>
      <c r="CR615" s="5"/>
    </row>
    <row r="616">
      <c r="AO616" s="40"/>
      <c r="AP616" s="5"/>
      <c r="AR616" s="40"/>
      <c r="AS616" s="5"/>
      <c r="AU616" s="40"/>
      <c r="AV616" s="5"/>
      <c r="AX616" s="40"/>
      <c r="AY616" s="5"/>
      <c r="BA616" s="40"/>
      <c r="BB616" s="5"/>
      <c r="BD616" s="40"/>
      <c r="BE616" s="5"/>
      <c r="BG616" s="40"/>
      <c r="BH616" s="5"/>
      <c r="BJ616" s="40"/>
      <c r="BK616" s="5"/>
      <c r="BM616" s="40"/>
      <c r="BN616" s="5"/>
      <c r="BP616" s="40"/>
      <c r="BQ616" s="5"/>
      <c r="BS616" s="40"/>
      <c r="BT616" s="5"/>
      <c r="BV616" s="40"/>
      <c r="BW616" s="5"/>
      <c r="BY616" s="40"/>
      <c r="BZ616" s="5"/>
      <c r="CB616" s="40"/>
      <c r="CC616" s="5"/>
      <c r="CE616" s="40"/>
      <c r="CF616" s="5"/>
      <c r="CH616" s="40"/>
      <c r="CI616" s="5"/>
      <c r="CK616" s="40"/>
      <c r="CL616" s="5"/>
      <c r="CN616" s="40"/>
      <c r="CO616" s="5"/>
      <c r="CQ616" s="40"/>
      <c r="CR616" s="5"/>
    </row>
    <row r="617">
      <c r="AO617" s="40"/>
      <c r="AP617" s="5"/>
      <c r="AR617" s="40"/>
      <c r="AS617" s="5"/>
      <c r="AU617" s="40"/>
      <c r="AV617" s="5"/>
      <c r="AX617" s="40"/>
      <c r="AY617" s="5"/>
      <c r="BA617" s="40"/>
      <c r="BB617" s="5"/>
      <c r="BD617" s="40"/>
      <c r="BE617" s="5"/>
      <c r="BG617" s="40"/>
      <c r="BH617" s="5"/>
      <c r="BJ617" s="40"/>
      <c r="BK617" s="5"/>
      <c r="BM617" s="40"/>
      <c r="BN617" s="5"/>
      <c r="BP617" s="40"/>
      <c r="BQ617" s="5"/>
      <c r="BS617" s="40"/>
      <c r="BT617" s="5"/>
      <c r="BV617" s="40"/>
      <c r="BW617" s="5"/>
      <c r="BY617" s="40"/>
      <c r="BZ617" s="5"/>
      <c r="CB617" s="40"/>
      <c r="CC617" s="5"/>
      <c r="CE617" s="40"/>
      <c r="CF617" s="5"/>
      <c r="CH617" s="40"/>
      <c r="CI617" s="5"/>
      <c r="CK617" s="40"/>
      <c r="CL617" s="5"/>
      <c r="CN617" s="40"/>
      <c r="CO617" s="5"/>
      <c r="CQ617" s="40"/>
      <c r="CR617" s="5"/>
    </row>
    <row r="618">
      <c r="AO618" s="40"/>
      <c r="AP618" s="5"/>
      <c r="AR618" s="40"/>
      <c r="AS618" s="5"/>
      <c r="AU618" s="40"/>
      <c r="AV618" s="5"/>
      <c r="AX618" s="40"/>
      <c r="AY618" s="5"/>
      <c r="BA618" s="40"/>
      <c r="BB618" s="5"/>
      <c r="BD618" s="40"/>
      <c r="BE618" s="5"/>
      <c r="BG618" s="40"/>
      <c r="BH618" s="5"/>
      <c r="BJ618" s="40"/>
      <c r="BK618" s="5"/>
      <c r="BM618" s="40"/>
      <c r="BN618" s="5"/>
      <c r="BP618" s="40"/>
      <c r="BQ618" s="5"/>
      <c r="BS618" s="40"/>
      <c r="BT618" s="5"/>
      <c r="BV618" s="40"/>
      <c r="BW618" s="5"/>
      <c r="BY618" s="40"/>
      <c r="BZ618" s="5"/>
      <c r="CB618" s="40"/>
      <c r="CC618" s="5"/>
      <c r="CE618" s="40"/>
      <c r="CF618" s="5"/>
      <c r="CH618" s="40"/>
      <c r="CI618" s="5"/>
      <c r="CK618" s="40"/>
      <c r="CL618" s="5"/>
      <c r="CN618" s="40"/>
      <c r="CO618" s="5"/>
      <c r="CQ618" s="40"/>
      <c r="CR618" s="5"/>
    </row>
    <row r="619">
      <c r="AO619" s="40"/>
      <c r="AP619" s="5"/>
      <c r="AR619" s="40"/>
      <c r="AS619" s="5"/>
      <c r="AU619" s="40"/>
      <c r="AV619" s="5"/>
      <c r="AX619" s="40"/>
      <c r="AY619" s="5"/>
      <c r="BA619" s="40"/>
      <c r="BB619" s="5"/>
      <c r="BD619" s="40"/>
      <c r="BE619" s="5"/>
      <c r="BG619" s="40"/>
      <c r="BH619" s="5"/>
      <c r="BJ619" s="40"/>
      <c r="BK619" s="5"/>
      <c r="BM619" s="40"/>
      <c r="BN619" s="5"/>
      <c r="BP619" s="40"/>
      <c r="BQ619" s="5"/>
      <c r="BS619" s="40"/>
      <c r="BT619" s="5"/>
      <c r="BV619" s="40"/>
      <c r="BW619" s="5"/>
      <c r="BY619" s="40"/>
      <c r="BZ619" s="5"/>
      <c r="CB619" s="40"/>
      <c r="CC619" s="5"/>
      <c r="CE619" s="40"/>
      <c r="CF619" s="5"/>
      <c r="CH619" s="40"/>
      <c r="CI619" s="5"/>
      <c r="CK619" s="40"/>
      <c r="CL619" s="5"/>
      <c r="CN619" s="40"/>
      <c r="CO619" s="5"/>
      <c r="CQ619" s="40"/>
      <c r="CR619" s="5"/>
    </row>
    <row r="620">
      <c r="AO620" s="40"/>
      <c r="AP620" s="5"/>
      <c r="AR620" s="40"/>
      <c r="AS620" s="5"/>
      <c r="AU620" s="40"/>
      <c r="AV620" s="5"/>
      <c r="AX620" s="40"/>
      <c r="AY620" s="5"/>
      <c r="BA620" s="40"/>
      <c r="BB620" s="5"/>
      <c r="BD620" s="40"/>
      <c r="BE620" s="5"/>
      <c r="BG620" s="40"/>
      <c r="BH620" s="5"/>
      <c r="BJ620" s="40"/>
      <c r="BK620" s="5"/>
      <c r="BM620" s="40"/>
      <c r="BN620" s="5"/>
      <c r="BP620" s="40"/>
      <c r="BQ620" s="5"/>
      <c r="BS620" s="40"/>
      <c r="BT620" s="5"/>
      <c r="BV620" s="40"/>
      <c r="BW620" s="5"/>
      <c r="BY620" s="40"/>
      <c r="BZ620" s="5"/>
      <c r="CB620" s="40"/>
      <c r="CC620" s="5"/>
      <c r="CE620" s="40"/>
      <c r="CF620" s="5"/>
      <c r="CH620" s="40"/>
      <c r="CI620" s="5"/>
      <c r="CK620" s="40"/>
      <c r="CL620" s="5"/>
      <c r="CN620" s="40"/>
      <c r="CO620" s="5"/>
      <c r="CQ620" s="40"/>
      <c r="CR620" s="5"/>
    </row>
    <row r="621">
      <c r="AO621" s="40"/>
      <c r="AP621" s="5"/>
      <c r="AR621" s="40"/>
      <c r="AS621" s="5"/>
      <c r="AU621" s="40"/>
      <c r="AV621" s="5"/>
      <c r="AX621" s="40"/>
      <c r="AY621" s="5"/>
      <c r="BA621" s="40"/>
      <c r="BB621" s="5"/>
      <c r="BD621" s="40"/>
      <c r="BE621" s="5"/>
      <c r="BG621" s="40"/>
      <c r="BH621" s="5"/>
      <c r="BJ621" s="40"/>
      <c r="BK621" s="5"/>
      <c r="BM621" s="40"/>
      <c r="BN621" s="5"/>
      <c r="BP621" s="40"/>
      <c r="BQ621" s="5"/>
      <c r="BS621" s="40"/>
      <c r="BT621" s="5"/>
      <c r="BV621" s="40"/>
      <c r="BW621" s="5"/>
      <c r="BY621" s="40"/>
      <c r="BZ621" s="5"/>
      <c r="CB621" s="40"/>
      <c r="CC621" s="5"/>
      <c r="CE621" s="40"/>
      <c r="CF621" s="5"/>
      <c r="CH621" s="40"/>
      <c r="CI621" s="5"/>
      <c r="CK621" s="40"/>
      <c r="CL621" s="5"/>
      <c r="CN621" s="40"/>
      <c r="CO621" s="5"/>
      <c r="CQ621" s="40"/>
      <c r="CR621" s="5"/>
    </row>
    <row r="622">
      <c r="AO622" s="40"/>
      <c r="AP622" s="5"/>
      <c r="AR622" s="40"/>
      <c r="AS622" s="5"/>
      <c r="AU622" s="40"/>
      <c r="AV622" s="5"/>
      <c r="AX622" s="40"/>
      <c r="AY622" s="5"/>
      <c r="BA622" s="40"/>
      <c r="BB622" s="5"/>
      <c r="BD622" s="40"/>
      <c r="BE622" s="5"/>
      <c r="BG622" s="40"/>
      <c r="BH622" s="5"/>
      <c r="BJ622" s="40"/>
      <c r="BK622" s="5"/>
      <c r="BM622" s="40"/>
      <c r="BN622" s="5"/>
      <c r="BP622" s="40"/>
      <c r="BQ622" s="5"/>
      <c r="BS622" s="40"/>
      <c r="BT622" s="5"/>
      <c r="BV622" s="40"/>
      <c r="BW622" s="5"/>
      <c r="BY622" s="40"/>
      <c r="BZ622" s="5"/>
      <c r="CB622" s="40"/>
      <c r="CC622" s="5"/>
      <c r="CE622" s="40"/>
      <c r="CF622" s="5"/>
      <c r="CH622" s="40"/>
      <c r="CI622" s="5"/>
      <c r="CK622" s="40"/>
      <c r="CL622" s="5"/>
      <c r="CN622" s="40"/>
      <c r="CO622" s="5"/>
      <c r="CQ622" s="40"/>
      <c r="CR622" s="5"/>
    </row>
    <row r="623">
      <c r="AO623" s="40"/>
      <c r="AP623" s="5"/>
      <c r="AR623" s="40"/>
      <c r="AS623" s="5"/>
      <c r="AU623" s="40"/>
      <c r="AV623" s="5"/>
      <c r="AX623" s="40"/>
      <c r="AY623" s="5"/>
      <c r="BA623" s="40"/>
      <c r="BB623" s="5"/>
      <c r="BD623" s="40"/>
      <c r="BE623" s="5"/>
      <c r="BG623" s="40"/>
      <c r="BH623" s="5"/>
      <c r="BJ623" s="40"/>
      <c r="BK623" s="5"/>
      <c r="BM623" s="40"/>
      <c r="BN623" s="5"/>
      <c r="BP623" s="40"/>
      <c r="BQ623" s="5"/>
      <c r="BS623" s="40"/>
      <c r="BT623" s="5"/>
      <c r="BV623" s="40"/>
      <c r="BW623" s="5"/>
      <c r="BY623" s="40"/>
      <c r="BZ623" s="5"/>
      <c r="CB623" s="40"/>
      <c r="CC623" s="5"/>
      <c r="CE623" s="40"/>
      <c r="CF623" s="5"/>
      <c r="CH623" s="40"/>
      <c r="CI623" s="5"/>
      <c r="CK623" s="40"/>
      <c r="CL623" s="5"/>
      <c r="CN623" s="40"/>
      <c r="CO623" s="5"/>
      <c r="CQ623" s="40"/>
      <c r="CR623" s="5"/>
    </row>
    <row r="624">
      <c r="AO624" s="40"/>
      <c r="AP624" s="5"/>
      <c r="AR624" s="40"/>
      <c r="AS624" s="5"/>
      <c r="AU624" s="40"/>
      <c r="AV624" s="5"/>
      <c r="AX624" s="40"/>
      <c r="AY624" s="5"/>
      <c r="BA624" s="40"/>
      <c r="BB624" s="5"/>
      <c r="BD624" s="40"/>
      <c r="BE624" s="5"/>
      <c r="BG624" s="40"/>
      <c r="BH624" s="5"/>
      <c r="BJ624" s="40"/>
      <c r="BK624" s="5"/>
      <c r="BM624" s="40"/>
      <c r="BN624" s="5"/>
      <c r="BP624" s="40"/>
      <c r="BQ624" s="5"/>
      <c r="BS624" s="40"/>
      <c r="BT624" s="5"/>
      <c r="BV624" s="40"/>
      <c r="BW624" s="5"/>
      <c r="BY624" s="40"/>
      <c r="BZ624" s="5"/>
      <c r="CB624" s="40"/>
      <c r="CC624" s="5"/>
      <c r="CE624" s="40"/>
      <c r="CF624" s="5"/>
      <c r="CH624" s="40"/>
      <c r="CI624" s="5"/>
      <c r="CK624" s="40"/>
      <c r="CL624" s="5"/>
      <c r="CN624" s="40"/>
      <c r="CO624" s="5"/>
      <c r="CQ624" s="40"/>
      <c r="CR624" s="5"/>
    </row>
    <row r="625">
      <c r="AO625" s="40"/>
      <c r="AP625" s="5"/>
      <c r="AR625" s="40"/>
      <c r="AS625" s="5"/>
      <c r="AU625" s="40"/>
      <c r="AV625" s="5"/>
      <c r="AX625" s="40"/>
      <c r="AY625" s="5"/>
      <c r="BA625" s="40"/>
      <c r="BB625" s="5"/>
      <c r="BD625" s="40"/>
      <c r="BE625" s="5"/>
      <c r="BG625" s="40"/>
      <c r="BH625" s="5"/>
      <c r="BJ625" s="40"/>
      <c r="BK625" s="5"/>
      <c r="BM625" s="40"/>
      <c r="BN625" s="5"/>
      <c r="BP625" s="40"/>
      <c r="BQ625" s="5"/>
      <c r="BS625" s="40"/>
      <c r="BT625" s="5"/>
      <c r="BV625" s="40"/>
      <c r="BW625" s="5"/>
      <c r="BY625" s="40"/>
      <c r="BZ625" s="5"/>
      <c r="CB625" s="40"/>
      <c r="CC625" s="5"/>
      <c r="CE625" s="40"/>
      <c r="CF625" s="5"/>
      <c r="CH625" s="40"/>
      <c r="CI625" s="5"/>
      <c r="CK625" s="40"/>
      <c r="CL625" s="5"/>
      <c r="CN625" s="40"/>
      <c r="CO625" s="5"/>
      <c r="CQ625" s="40"/>
      <c r="CR625" s="5"/>
    </row>
    <row r="626">
      <c r="AO626" s="40"/>
      <c r="AP626" s="5"/>
      <c r="AR626" s="40"/>
      <c r="AS626" s="5"/>
      <c r="AU626" s="40"/>
      <c r="AV626" s="5"/>
      <c r="AX626" s="40"/>
      <c r="AY626" s="5"/>
      <c r="BA626" s="40"/>
      <c r="BB626" s="5"/>
      <c r="BD626" s="40"/>
      <c r="BE626" s="5"/>
      <c r="BG626" s="40"/>
      <c r="BH626" s="5"/>
      <c r="BJ626" s="40"/>
      <c r="BK626" s="5"/>
      <c r="BM626" s="40"/>
      <c r="BN626" s="5"/>
      <c r="BP626" s="40"/>
      <c r="BQ626" s="5"/>
      <c r="BS626" s="40"/>
      <c r="BT626" s="5"/>
      <c r="BV626" s="40"/>
      <c r="BW626" s="5"/>
      <c r="BY626" s="40"/>
      <c r="BZ626" s="5"/>
      <c r="CB626" s="40"/>
      <c r="CC626" s="5"/>
      <c r="CE626" s="40"/>
      <c r="CF626" s="5"/>
      <c r="CH626" s="40"/>
      <c r="CI626" s="5"/>
      <c r="CK626" s="40"/>
      <c r="CL626" s="5"/>
      <c r="CN626" s="40"/>
      <c r="CO626" s="5"/>
      <c r="CQ626" s="40"/>
      <c r="CR626" s="5"/>
    </row>
    <row r="627">
      <c r="AO627" s="40"/>
      <c r="AP627" s="5"/>
      <c r="AR627" s="40"/>
      <c r="AS627" s="5"/>
      <c r="AU627" s="40"/>
      <c r="AV627" s="5"/>
      <c r="AX627" s="40"/>
      <c r="AY627" s="5"/>
      <c r="BA627" s="40"/>
      <c r="BB627" s="5"/>
      <c r="BD627" s="40"/>
      <c r="BE627" s="5"/>
      <c r="BG627" s="40"/>
      <c r="BH627" s="5"/>
      <c r="BJ627" s="40"/>
      <c r="BK627" s="5"/>
      <c r="BM627" s="40"/>
      <c r="BN627" s="5"/>
      <c r="BP627" s="40"/>
      <c r="BQ627" s="5"/>
      <c r="BS627" s="40"/>
      <c r="BT627" s="5"/>
      <c r="BV627" s="40"/>
      <c r="BW627" s="5"/>
      <c r="BY627" s="40"/>
      <c r="BZ627" s="5"/>
      <c r="CB627" s="40"/>
      <c r="CC627" s="5"/>
      <c r="CE627" s="40"/>
      <c r="CF627" s="5"/>
      <c r="CH627" s="40"/>
      <c r="CI627" s="5"/>
      <c r="CK627" s="40"/>
      <c r="CL627" s="5"/>
      <c r="CN627" s="40"/>
      <c r="CO627" s="5"/>
      <c r="CQ627" s="40"/>
      <c r="CR627" s="5"/>
    </row>
    <row r="628">
      <c r="AO628" s="40"/>
      <c r="AP628" s="5"/>
      <c r="AR628" s="40"/>
      <c r="AS628" s="5"/>
      <c r="AU628" s="40"/>
      <c r="AV628" s="5"/>
      <c r="AX628" s="40"/>
      <c r="AY628" s="5"/>
      <c r="BA628" s="40"/>
      <c r="BB628" s="5"/>
      <c r="BD628" s="40"/>
      <c r="BE628" s="5"/>
      <c r="BG628" s="40"/>
      <c r="BH628" s="5"/>
      <c r="BJ628" s="40"/>
      <c r="BK628" s="5"/>
      <c r="BM628" s="40"/>
      <c r="BN628" s="5"/>
      <c r="BP628" s="40"/>
      <c r="BQ628" s="5"/>
      <c r="BS628" s="40"/>
      <c r="BT628" s="5"/>
      <c r="BV628" s="40"/>
      <c r="BW628" s="5"/>
      <c r="BY628" s="40"/>
      <c r="BZ628" s="5"/>
      <c r="CB628" s="40"/>
      <c r="CC628" s="5"/>
      <c r="CE628" s="40"/>
      <c r="CF628" s="5"/>
      <c r="CH628" s="40"/>
      <c r="CI628" s="5"/>
      <c r="CK628" s="40"/>
      <c r="CL628" s="5"/>
      <c r="CN628" s="40"/>
      <c r="CO628" s="5"/>
      <c r="CQ628" s="40"/>
      <c r="CR628" s="5"/>
    </row>
    <row r="629">
      <c r="AO629" s="40"/>
      <c r="AP629" s="5"/>
      <c r="AR629" s="40"/>
      <c r="AS629" s="5"/>
      <c r="AU629" s="40"/>
      <c r="AV629" s="5"/>
      <c r="AX629" s="40"/>
      <c r="AY629" s="5"/>
      <c r="BA629" s="40"/>
      <c r="BB629" s="5"/>
      <c r="BD629" s="40"/>
      <c r="BE629" s="5"/>
      <c r="BG629" s="40"/>
      <c r="BH629" s="5"/>
      <c r="BJ629" s="40"/>
      <c r="BK629" s="5"/>
      <c r="BM629" s="40"/>
      <c r="BN629" s="5"/>
      <c r="BP629" s="40"/>
      <c r="BQ629" s="5"/>
      <c r="BS629" s="40"/>
      <c r="BT629" s="5"/>
      <c r="BV629" s="40"/>
      <c r="BW629" s="5"/>
      <c r="BY629" s="40"/>
      <c r="BZ629" s="5"/>
      <c r="CB629" s="40"/>
      <c r="CC629" s="5"/>
      <c r="CE629" s="40"/>
      <c r="CF629" s="5"/>
      <c r="CH629" s="40"/>
      <c r="CI629" s="5"/>
      <c r="CK629" s="40"/>
      <c r="CL629" s="5"/>
      <c r="CN629" s="40"/>
      <c r="CO629" s="5"/>
      <c r="CQ629" s="40"/>
      <c r="CR629" s="5"/>
    </row>
    <row r="630">
      <c r="AO630" s="40"/>
      <c r="AP630" s="5"/>
      <c r="AR630" s="40"/>
      <c r="AS630" s="5"/>
      <c r="AU630" s="40"/>
      <c r="AV630" s="5"/>
      <c r="AX630" s="40"/>
      <c r="AY630" s="5"/>
      <c r="BA630" s="40"/>
      <c r="BB630" s="5"/>
      <c r="BD630" s="40"/>
      <c r="BE630" s="5"/>
      <c r="BG630" s="40"/>
      <c r="BH630" s="5"/>
      <c r="BJ630" s="40"/>
      <c r="BK630" s="5"/>
      <c r="BM630" s="40"/>
      <c r="BN630" s="5"/>
      <c r="BP630" s="40"/>
      <c r="BQ630" s="5"/>
      <c r="BS630" s="40"/>
      <c r="BT630" s="5"/>
      <c r="BV630" s="40"/>
      <c r="BW630" s="5"/>
      <c r="BY630" s="40"/>
      <c r="BZ630" s="5"/>
      <c r="CB630" s="40"/>
      <c r="CC630" s="5"/>
      <c r="CE630" s="40"/>
      <c r="CF630" s="5"/>
      <c r="CH630" s="40"/>
      <c r="CI630" s="5"/>
      <c r="CK630" s="40"/>
      <c r="CL630" s="5"/>
      <c r="CN630" s="40"/>
      <c r="CO630" s="5"/>
      <c r="CQ630" s="40"/>
      <c r="CR630" s="5"/>
    </row>
    <row r="631">
      <c r="AO631" s="40"/>
      <c r="AP631" s="5"/>
      <c r="AR631" s="40"/>
      <c r="AS631" s="5"/>
      <c r="AU631" s="40"/>
      <c r="AV631" s="5"/>
      <c r="AX631" s="40"/>
      <c r="AY631" s="5"/>
      <c r="BA631" s="40"/>
      <c r="BB631" s="5"/>
      <c r="BD631" s="40"/>
      <c r="BE631" s="5"/>
      <c r="BG631" s="40"/>
      <c r="BH631" s="5"/>
      <c r="BJ631" s="40"/>
      <c r="BK631" s="5"/>
      <c r="BM631" s="40"/>
      <c r="BN631" s="5"/>
      <c r="BP631" s="40"/>
      <c r="BQ631" s="5"/>
      <c r="BS631" s="40"/>
      <c r="BT631" s="5"/>
      <c r="BV631" s="40"/>
      <c r="BW631" s="5"/>
      <c r="BY631" s="40"/>
      <c r="BZ631" s="5"/>
      <c r="CB631" s="40"/>
      <c r="CC631" s="5"/>
      <c r="CE631" s="40"/>
      <c r="CF631" s="5"/>
      <c r="CH631" s="40"/>
      <c r="CI631" s="5"/>
      <c r="CK631" s="40"/>
      <c r="CL631" s="5"/>
      <c r="CN631" s="40"/>
      <c r="CO631" s="5"/>
      <c r="CQ631" s="40"/>
      <c r="CR631" s="5"/>
    </row>
    <row r="632">
      <c r="AO632" s="40"/>
      <c r="AP632" s="5"/>
      <c r="AR632" s="40"/>
      <c r="AS632" s="5"/>
      <c r="AU632" s="40"/>
      <c r="AV632" s="5"/>
      <c r="AX632" s="40"/>
      <c r="AY632" s="5"/>
      <c r="BA632" s="40"/>
      <c r="BB632" s="5"/>
      <c r="BD632" s="40"/>
      <c r="BE632" s="5"/>
      <c r="BG632" s="40"/>
      <c r="BH632" s="5"/>
      <c r="BJ632" s="40"/>
      <c r="BK632" s="5"/>
      <c r="BM632" s="40"/>
      <c r="BN632" s="5"/>
      <c r="BP632" s="40"/>
      <c r="BQ632" s="5"/>
      <c r="BS632" s="40"/>
      <c r="BT632" s="5"/>
      <c r="BV632" s="40"/>
      <c r="BW632" s="5"/>
      <c r="BY632" s="40"/>
      <c r="BZ632" s="5"/>
      <c r="CB632" s="40"/>
      <c r="CC632" s="5"/>
      <c r="CE632" s="40"/>
      <c r="CF632" s="5"/>
      <c r="CH632" s="40"/>
      <c r="CI632" s="5"/>
      <c r="CK632" s="40"/>
      <c r="CL632" s="5"/>
      <c r="CN632" s="40"/>
      <c r="CO632" s="5"/>
      <c r="CQ632" s="40"/>
      <c r="CR632" s="5"/>
    </row>
    <row r="633">
      <c r="AO633" s="40"/>
      <c r="AP633" s="5"/>
      <c r="AR633" s="40"/>
      <c r="AS633" s="5"/>
      <c r="AU633" s="40"/>
      <c r="AV633" s="5"/>
      <c r="AX633" s="40"/>
      <c r="AY633" s="5"/>
      <c r="BA633" s="40"/>
      <c r="BB633" s="5"/>
      <c r="BD633" s="40"/>
      <c r="BE633" s="5"/>
      <c r="BG633" s="40"/>
      <c r="BH633" s="5"/>
      <c r="BJ633" s="40"/>
      <c r="BK633" s="5"/>
      <c r="BM633" s="40"/>
      <c r="BN633" s="5"/>
      <c r="BP633" s="40"/>
      <c r="BQ633" s="5"/>
      <c r="BS633" s="40"/>
      <c r="BT633" s="5"/>
      <c r="BV633" s="40"/>
      <c r="BW633" s="5"/>
      <c r="BY633" s="40"/>
      <c r="BZ633" s="5"/>
      <c r="CB633" s="40"/>
      <c r="CC633" s="5"/>
      <c r="CE633" s="40"/>
      <c r="CF633" s="5"/>
      <c r="CH633" s="40"/>
      <c r="CI633" s="5"/>
      <c r="CK633" s="40"/>
      <c r="CL633" s="5"/>
      <c r="CN633" s="40"/>
      <c r="CO633" s="5"/>
      <c r="CQ633" s="40"/>
      <c r="CR633" s="5"/>
    </row>
    <row r="634">
      <c r="AO634" s="40"/>
      <c r="AP634" s="5"/>
      <c r="AR634" s="40"/>
      <c r="AS634" s="5"/>
      <c r="AU634" s="40"/>
      <c r="AV634" s="5"/>
      <c r="AX634" s="40"/>
      <c r="AY634" s="5"/>
      <c r="BA634" s="40"/>
      <c r="BB634" s="5"/>
      <c r="BD634" s="40"/>
      <c r="BE634" s="5"/>
      <c r="BG634" s="40"/>
      <c r="BH634" s="5"/>
      <c r="BJ634" s="40"/>
      <c r="BK634" s="5"/>
      <c r="BM634" s="40"/>
      <c r="BN634" s="5"/>
      <c r="BP634" s="40"/>
      <c r="BQ634" s="5"/>
      <c r="BS634" s="40"/>
      <c r="BT634" s="5"/>
      <c r="BV634" s="40"/>
      <c r="BW634" s="5"/>
      <c r="BY634" s="40"/>
      <c r="BZ634" s="5"/>
      <c r="CB634" s="40"/>
      <c r="CC634" s="5"/>
      <c r="CE634" s="40"/>
      <c r="CF634" s="5"/>
      <c r="CH634" s="40"/>
      <c r="CI634" s="5"/>
      <c r="CK634" s="40"/>
      <c r="CL634" s="5"/>
      <c r="CN634" s="40"/>
      <c r="CO634" s="5"/>
      <c r="CQ634" s="40"/>
      <c r="CR634" s="5"/>
    </row>
    <row r="635">
      <c r="AO635" s="40"/>
      <c r="AP635" s="5"/>
      <c r="AR635" s="40"/>
      <c r="AS635" s="5"/>
      <c r="AU635" s="40"/>
      <c r="AV635" s="5"/>
      <c r="AX635" s="40"/>
      <c r="AY635" s="5"/>
      <c r="BA635" s="40"/>
      <c r="BB635" s="5"/>
      <c r="BD635" s="40"/>
      <c r="BE635" s="5"/>
      <c r="BG635" s="40"/>
      <c r="BH635" s="5"/>
      <c r="BJ635" s="40"/>
      <c r="BK635" s="5"/>
      <c r="BM635" s="40"/>
      <c r="BN635" s="5"/>
      <c r="BP635" s="40"/>
      <c r="BQ635" s="5"/>
      <c r="BS635" s="40"/>
      <c r="BT635" s="5"/>
      <c r="BV635" s="40"/>
      <c r="BW635" s="5"/>
      <c r="BY635" s="40"/>
      <c r="BZ635" s="5"/>
      <c r="CB635" s="40"/>
      <c r="CC635" s="5"/>
      <c r="CE635" s="40"/>
      <c r="CF635" s="5"/>
      <c r="CH635" s="40"/>
      <c r="CI635" s="5"/>
      <c r="CK635" s="40"/>
      <c r="CL635" s="5"/>
      <c r="CN635" s="40"/>
      <c r="CO635" s="5"/>
      <c r="CQ635" s="40"/>
      <c r="CR635" s="5"/>
    </row>
    <row r="636">
      <c r="AO636" s="40"/>
      <c r="AP636" s="5"/>
      <c r="AR636" s="40"/>
      <c r="AS636" s="5"/>
      <c r="AU636" s="40"/>
      <c r="AV636" s="5"/>
      <c r="AX636" s="40"/>
      <c r="AY636" s="5"/>
      <c r="BA636" s="40"/>
      <c r="BB636" s="5"/>
      <c r="BD636" s="40"/>
      <c r="BE636" s="5"/>
      <c r="BG636" s="40"/>
      <c r="BH636" s="5"/>
      <c r="BJ636" s="40"/>
      <c r="BK636" s="5"/>
      <c r="BM636" s="40"/>
      <c r="BN636" s="5"/>
      <c r="BP636" s="40"/>
      <c r="BQ636" s="5"/>
      <c r="BS636" s="40"/>
      <c r="BT636" s="5"/>
      <c r="BV636" s="40"/>
      <c r="BW636" s="5"/>
      <c r="BY636" s="40"/>
      <c r="BZ636" s="5"/>
      <c r="CB636" s="40"/>
      <c r="CC636" s="5"/>
      <c r="CE636" s="40"/>
      <c r="CF636" s="5"/>
      <c r="CH636" s="40"/>
      <c r="CI636" s="5"/>
      <c r="CK636" s="40"/>
      <c r="CL636" s="5"/>
      <c r="CN636" s="40"/>
      <c r="CO636" s="5"/>
      <c r="CQ636" s="40"/>
      <c r="CR636" s="5"/>
    </row>
    <row r="637">
      <c r="AO637" s="40"/>
      <c r="AP637" s="5"/>
      <c r="AR637" s="40"/>
      <c r="AS637" s="5"/>
      <c r="AU637" s="40"/>
      <c r="AV637" s="5"/>
      <c r="AX637" s="40"/>
      <c r="AY637" s="5"/>
      <c r="BA637" s="40"/>
      <c r="BB637" s="5"/>
      <c r="BD637" s="40"/>
      <c r="BE637" s="5"/>
      <c r="BG637" s="40"/>
      <c r="BH637" s="5"/>
      <c r="BJ637" s="40"/>
      <c r="BK637" s="5"/>
      <c r="BM637" s="40"/>
      <c r="BN637" s="5"/>
      <c r="BP637" s="40"/>
      <c r="BQ637" s="5"/>
      <c r="BS637" s="40"/>
      <c r="BT637" s="5"/>
      <c r="BV637" s="40"/>
      <c r="BW637" s="5"/>
      <c r="BY637" s="40"/>
      <c r="BZ637" s="5"/>
      <c r="CB637" s="40"/>
      <c r="CC637" s="5"/>
      <c r="CE637" s="40"/>
      <c r="CF637" s="5"/>
      <c r="CH637" s="40"/>
      <c r="CI637" s="5"/>
      <c r="CK637" s="40"/>
      <c r="CL637" s="5"/>
      <c r="CN637" s="40"/>
      <c r="CO637" s="5"/>
      <c r="CQ637" s="40"/>
      <c r="CR637" s="5"/>
    </row>
    <row r="638">
      <c r="AO638" s="40"/>
      <c r="AP638" s="5"/>
      <c r="AR638" s="40"/>
      <c r="AS638" s="5"/>
      <c r="AU638" s="40"/>
      <c r="AV638" s="5"/>
      <c r="AX638" s="40"/>
      <c r="AY638" s="5"/>
      <c r="BA638" s="40"/>
      <c r="BB638" s="5"/>
      <c r="BD638" s="40"/>
      <c r="BE638" s="5"/>
      <c r="BG638" s="40"/>
      <c r="BH638" s="5"/>
      <c r="BJ638" s="40"/>
      <c r="BK638" s="5"/>
      <c r="BM638" s="40"/>
      <c r="BN638" s="5"/>
      <c r="BP638" s="40"/>
      <c r="BQ638" s="5"/>
      <c r="BS638" s="40"/>
      <c r="BT638" s="5"/>
      <c r="BV638" s="40"/>
      <c r="BW638" s="5"/>
      <c r="BY638" s="40"/>
      <c r="BZ638" s="5"/>
      <c r="CB638" s="40"/>
      <c r="CC638" s="5"/>
      <c r="CE638" s="40"/>
      <c r="CF638" s="5"/>
      <c r="CH638" s="40"/>
      <c r="CI638" s="5"/>
      <c r="CK638" s="40"/>
      <c r="CL638" s="5"/>
      <c r="CN638" s="40"/>
      <c r="CO638" s="5"/>
      <c r="CQ638" s="40"/>
      <c r="CR638" s="5"/>
    </row>
    <row r="639">
      <c r="AO639" s="40"/>
      <c r="AP639" s="5"/>
      <c r="AR639" s="40"/>
      <c r="AS639" s="5"/>
      <c r="AU639" s="40"/>
      <c r="AV639" s="5"/>
      <c r="AX639" s="40"/>
      <c r="AY639" s="5"/>
      <c r="BA639" s="40"/>
      <c r="BB639" s="5"/>
      <c r="BD639" s="40"/>
      <c r="BE639" s="5"/>
      <c r="BG639" s="40"/>
      <c r="BH639" s="5"/>
      <c r="BJ639" s="40"/>
      <c r="BK639" s="5"/>
      <c r="BM639" s="40"/>
      <c r="BN639" s="5"/>
      <c r="BP639" s="40"/>
      <c r="BQ639" s="5"/>
      <c r="BS639" s="40"/>
      <c r="BT639" s="5"/>
      <c r="BV639" s="40"/>
      <c r="BW639" s="5"/>
      <c r="BY639" s="40"/>
      <c r="BZ639" s="5"/>
      <c r="CB639" s="40"/>
      <c r="CC639" s="5"/>
      <c r="CE639" s="40"/>
      <c r="CF639" s="5"/>
      <c r="CH639" s="40"/>
      <c r="CI639" s="5"/>
      <c r="CK639" s="40"/>
      <c r="CL639" s="5"/>
      <c r="CN639" s="40"/>
      <c r="CO639" s="5"/>
      <c r="CQ639" s="40"/>
      <c r="CR639" s="5"/>
    </row>
    <row r="640">
      <c r="AO640" s="40"/>
      <c r="AP640" s="5"/>
      <c r="AR640" s="40"/>
      <c r="AS640" s="5"/>
      <c r="AU640" s="40"/>
      <c r="AV640" s="5"/>
      <c r="AX640" s="40"/>
      <c r="AY640" s="5"/>
      <c r="BA640" s="40"/>
      <c r="BB640" s="5"/>
      <c r="BD640" s="40"/>
      <c r="BE640" s="5"/>
      <c r="BG640" s="40"/>
      <c r="BH640" s="5"/>
      <c r="BJ640" s="40"/>
      <c r="BK640" s="5"/>
      <c r="BM640" s="40"/>
      <c r="BN640" s="5"/>
      <c r="BP640" s="40"/>
      <c r="BQ640" s="5"/>
      <c r="BS640" s="40"/>
      <c r="BT640" s="5"/>
      <c r="BV640" s="40"/>
      <c r="BW640" s="5"/>
      <c r="BY640" s="40"/>
      <c r="BZ640" s="5"/>
      <c r="CB640" s="40"/>
      <c r="CC640" s="5"/>
      <c r="CE640" s="40"/>
      <c r="CF640" s="5"/>
      <c r="CH640" s="40"/>
      <c r="CI640" s="5"/>
      <c r="CK640" s="40"/>
      <c r="CL640" s="5"/>
      <c r="CN640" s="40"/>
      <c r="CO640" s="5"/>
      <c r="CQ640" s="40"/>
      <c r="CR640" s="5"/>
    </row>
    <row r="641">
      <c r="AO641" s="40"/>
      <c r="AP641" s="5"/>
      <c r="AR641" s="40"/>
      <c r="AS641" s="5"/>
      <c r="AU641" s="40"/>
      <c r="AV641" s="5"/>
      <c r="AX641" s="40"/>
      <c r="AY641" s="5"/>
      <c r="BA641" s="40"/>
      <c r="BB641" s="5"/>
      <c r="BD641" s="40"/>
      <c r="BE641" s="5"/>
      <c r="BG641" s="40"/>
      <c r="BH641" s="5"/>
      <c r="BJ641" s="40"/>
      <c r="BK641" s="5"/>
      <c r="BM641" s="40"/>
      <c r="BN641" s="5"/>
      <c r="BP641" s="40"/>
      <c r="BQ641" s="5"/>
      <c r="BS641" s="40"/>
      <c r="BT641" s="5"/>
      <c r="BV641" s="40"/>
      <c r="BW641" s="5"/>
      <c r="BY641" s="40"/>
      <c r="BZ641" s="5"/>
      <c r="CB641" s="40"/>
      <c r="CC641" s="5"/>
      <c r="CE641" s="40"/>
      <c r="CF641" s="5"/>
      <c r="CH641" s="40"/>
      <c r="CI641" s="5"/>
      <c r="CK641" s="40"/>
      <c r="CL641" s="5"/>
      <c r="CN641" s="40"/>
      <c r="CO641" s="5"/>
      <c r="CQ641" s="40"/>
      <c r="CR641" s="5"/>
    </row>
    <row r="642">
      <c r="AO642" s="40"/>
      <c r="AP642" s="5"/>
      <c r="AR642" s="40"/>
      <c r="AS642" s="5"/>
      <c r="AU642" s="40"/>
      <c r="AV642" s="5"/>
      <c r="AX642" s="40"/>
      <c r="AY642" s="5"/>
      <c r="BA642" s="40"/>
      <c r="BB642" s="5"/>
      <c r="BD642" s="40"/>
      <c r="BE642" s="5"/>
      <c r="BG642" s="40"/>
      <c r="BH642" s="5"/>
      <c r="BJ642" s="40"/>
      <c r="BK642" s="5"/>
      <c r="BM642" s="40"/>
      <c r="BN642" s="5"/>
      <c r="BP642" s="40"/>
      <c r="BQ642" s="5"/>
      <c r="BS642" s="40"/>
      <c r="BT642" s="5"/>
      <c r="BV642" s="40"/>
      <c r="BW642" s="5"/>
      <c r="BY642" s="40"/>
      <c r="BZ642" s="5"/>
      <c r="CB642" s="40"/>
      <c r="CC642" s="5"/>
      <c r="CE642" s="40"/>
      <c r="CF642" s="5"/>
      <c r="CH642" s="40"/>
      <c r="CI642" s="5"/>
      <c r="CK642" s="40"/>
      <c r="CL642" s="5"/>
      <c r="CN642" s="40"/>
      <c r="CO642" s="5"/>
      <c r="CQ642" s="40"/>
      <c r="CR642" s="5"/>
    </row>
    <row r="643">
      <c r="AO643" s="40"/>
      <c r="AP643" s="5"/>
      <c r="AR643" s="40"/>
      <c r="AS643" s="5"/>
      <c r="AU643" s="40"/>
      <c r="AV643" s="5"/>
      <c r="AX643" s="40"/>
      <c r="AY643" s="5"/>
      <c r="BA643" s="40"/>
      <c r="BB643" s="5"/>
      <c r="BD643" s="40"/>
      <c r="BE643" s="5"/>
      <c r="BG643" s="40"/>
      <c r="BH643" s="5"/>
      <c r="BJ643" s="40"/>
      <c r="BK643" s="5"/>
      <c r="BM643" s="40"/>
      <c r="BN643" s="5"/>
      <c r="BP643" s="40"/>
      <c r="BQ643" s="5"/>
      <c r="BS643" s="40"/>
      <c r="BT643" s="5"/>
      <c r="BV643" s="40"/>
      <c r="BW643" s="5"/>
      <c r="BY643" s="40"/>
      <c r="BZ643" s="5"/>
      <c r="CB643" s="40"/>
      <c r="CC643" s="5"/>
      <c r="CE643" s="40"/>
      <c r="CF643" s="5"/>
      <c r="CH643" s="40"/>
      <c r="CI643" s="5"/>
      <c r="CK643" s="40"/>
      <c r="CL643" s="5"/>
      <c r="CN643" s="40"/>
      <c r="CO643" s="5"/>
      <c r="CQ643" s="40"/>
      <c r="CR643" s="5"/>
    </row>
    <row r="644">
      <c r="AO644" s="40"/>
      <c r="AP644" s="5"/>
      <c r="AR644" s="40"/>
      <c r="AS644" s="5"/>
      <c r="AU644" s="40"/>
      <c r="AV644" s="5"/>
      <c r="AX644" s="40"/>
      <c r="AY644" s="5"/>
      <c r="BA644" s="40"/>
      <c r="BB644" s="5"/>
      <c r="BD644" s="40"/>
      <c r="BE644" s="5"/>
      <c r="BG644" s="40"/>
      <c r="BH644" s="5"/>
      <c r="BJ644" s="40"/>
      <c r="BK644" s="5"/>
      <c r="BM644" s="40"/>
      <c r="BN644" s="5"/>
      <c r="BP644" s="40"/>
      <c r="BQ644" s="5"/>
      <c r="BS644" s="40"/>
      <c r="BT644" s="5"/>
      <c r="BV644" s="40"/>
      <c r="BW644" s="5"/>
      <c r="BY644" s="40"/>
      <c r="BZ644" s="5"/>
      <c r="CB644" s="40"/>
      <c r="CC644" s="5"/>
      <c r="CE644" s="40"/>
      <c r="CF644" s="5"/>
      <c r="CH644" s="40"/>
      <c r="CI644" s="5"/>
      <c r="CK644" s="40"/>
      <c r="CL644" s="5"/>
      <c r="CN644" s="40"/>
      <c r="CO644" s="5"/>
      <c r="CQ644" s="40"/>
      <c r="CR644" s="5"/>
    </row>
    <row r="645">
      <c r="AO645" s="40"/>
      <c r="AP645" s="5"/>
      <c r="AR645" s="40"/>
      <c r="AS645" s="5"/>
      <c r="AU645" s="40"/>
      <c r="AV645" s="5"/>
      <c r="AX645" s="40"/>
      <c r="AY645" s="5"/>
      <c r="BA645" s="40"/>
      <c r="BB645" s="5"/>
      <c r="BD645" s="40"/>
      <c r="BE645" s="5"/>
      <c r="BG645" s="40"/>
      <c r="BH645" s="5"/>
      <c r="BJ645" s="40"/>
      <c r="BK645" s="5"/>
      <c r="BM645" s="40"/>
      <c r="BN645" s="5"/>
      <c r="BP645" s="40"/>
      <c r="BQ645" s="5"/>
      <c r="BS645" s="40"/>
      <c r="BT645" s="5"/>
      <c r="BV645" s="40"/>
      <c r="BW645" s="5"/>
      <c r="BY645" s="40"/>
      <c r="BZ645" s="5"/>
      <c r="CB645" s="40"/>
      <c r="CC645" s="5"/>
      <c r="CE645" s="40"/>
      <c r="CF645" s="5"/>
      <c r="CH645" s="40"/>
      <c r="CI645" s="5"/>
      <c r="CK645" s="40"/>
      <c r="CL645" s="5"/>
      <c r="CN645" s="40"/>
      <c r="CO645" s="5"/>
      <c r="CQ645" s="40"/>
      <c r="CR645" s="5"/>
    </row>
    <row r="646">
      <c r="AO646" s="40"/>
      <c r="AP646" s="5"/>
      <c r="AR646" s="40"/>
      <c r="AS646" s="5"/>
      <c r="AU646" s="40"/>
      <c r="AV646" s="5"/>
      <c r="AX646" s="40"/>
      <c r="AY646" s="5"/>
      <c r="BA646" s="40"/>
      <c r="BB646" s="5"/>
      <c r="BD646" s="40"/>
      <c r="BE646" s="5"/>
      <c r="BG646" s="40"/>
      <c r="BH646" s="5"/>
      <c r="BJ646" s="40"/>
      <c r="BK646" s="5"/>
      <c r="BM646" s="40"/>
      <c r="BN646" s="5"/>
      <c r="BP646" s="40"/>
      <c r="BQ646" s="5"/>
      <c r="BS646" s="40"/>
      <c r="BT646" s="5"/>
      <c r="BV646" s="40"/>
      <c r="BW646" s="5"/>
      <c r="BY646" s="40"/>
      <c r="BZ646" s="5"/>
      <c r="CB646" s="40"/>
      <c r="CC646" s="5"/>
      <c r="CE646" s="40"/>
      <c r="CF646" s="5"/>
      <c r="CH646" s="40"/>
      <c r="CI646" s="5"/>
      <c r="CK646" s="40"/>
      <c r="CL646" s="5"/>
      <c r="CN646" s="40"/>
      <c r="CO646" s="5"/>
      <c r="CQ646" s="40"/>
      <c r="CR646" s="5"/>
    </row>
    <row r="647">
      <c r="AO647" s="40"/>
      <c r="AP647" s="5"/>
      <c r="AR647" s="40"/>
      <c r="AS647" s="5"/>
      <c r="AU647" s="40"/>
      <c r="AV647" s="5"/>
      <c r="AX647" s="40"/>
      <c r="AY647" s="5"/>
      <c r="BA647" s="40"/>
      <c r="BB647" s="5"/>
      <c r="BD647" s="40"/>
      <c r="BE647" s="5"/>
      <c r="BG647" s="40"/>
      <c r="BH647" s="5"/>
      <c r="BJ647" s="40"/>
      <c r="BK647" s="5"/>
      <c r="BM647" s="40"/>
      <c r="BN647" s="5"/>
      <c r="BP647" s="40"/>
      <c r="BQ647" s="5"/>
      <c r="BS647" s="40"/>
      <c r="BT647" s="5"/>
      <c r="BV647" s="40"/>
      <c r="BW647" s="5"/>
      <c r="BY647" s="40"/>
      <c r="BZ647" s="5"/>
      <c r="CB647" s="40"/>
      <c r="CC647" s="5"/>
      <c r="CE647" s="40"/>
      <c r="CF647" s="5"/>
      <c r="CH647" s="40"/>
      <c r="CI647" s="5"/>
      <c r="CK647" s="40"/>
      <c r="CL647" s="5"/>
      <c r="CN647" s="40"/>
      <c r="CO647" s="5"/>
      <c r="CQ647" s="40"/>
      <c r="CR647" s="5"/>
    </row>
    <row r="648">
      <c r="AO648" s="40"/>
      <c r="AP648" s="5"/>
      <c r="AR648" s="40"/>
      <c r="AS648" s="5"/>
      <c r="AU648" s="40"/>
      <c r="AV648" s="5"/>
      <c r="AX648" s="40"/>
      <c r="AY648" s="5"/>
      <c r="BA648" s="40"/>
      <c r="BB648" s="5"/>
      <c r="BD648" s="40"/>
      <c r="BE648" s="5"/>
      <c r="BG648" s="40"/>
      <c r="BH648" s="5"/>
      <c r="BJ648" s="40"/>
      <c r="BK648" s="5"/>
      <c r="BM648" s="40"/>
      <c r="BN648" s="5"/>
      <c r="BP648" s="40"/>
      <c r="BQ648" s="5"/>
      <c r="BS648" s="40"/>
      <c r="BT648" s="5"/>
      <c r="BV648" s="40"/>
      <c r="BW648" s="5"/>
      <c r="BY648" s="40"/>
      <c r="BZ648" s="5"/>
      <c r="CB648" s="40"/>
      <c r="CC648" s="5"/>
      <c r="CE648" s="40"/>
      <c r="CF648" s="5"/>
      <c r="CH648" s="40"/>
      <c r="CI648" s="5"/>
      <c r="CK648" s="40"/>
      <c r="CL648" s="5"/>
      <c r="CN648" s="40"/>
      <c r="CO648" s="5"/>
      <c r="CQ648" s="40"/>
      <c r="CR648" s="5"/>
    </row>
    <row r="649">
      <c r="AO649" s="40"/>
      <c r="AP649" s="5"/>
      <c r="AR649" s="40"/>
      <c r="AS649" s="5"/>
      <c r="AU649" s="40"/>
      <c r="AV649" s="5"/>
      <c r="AX649" s="40"/>
      <c r="AY649" s="5"/>
      <c r="BA649" s="40"/>
      <c r="BB649" s="5"/>
      <c r="BD649" s="40"/>
      <c r="BE649" s="5"/>
      <c r="BG649" s="40"/>
      <c r="BH649" s="5"/>
      <c r="BJ649" s="40"/>
      <c r="BK649" s="5"/>
      <c r="BM649" s="40"/>
      <c r="BN649" s="5"/>
      <c r="BP649" s="40"/>
      <c r="BQ649" s="5"/>
      <c r="BS649" s="40"/>
      <c r="BT649" s="5"/>
      <c r="BV649" s="40"/>
      <c r="BW649" s="5"/>
      <c r="BY649" s="40"/>
      <c r="BZ649" s="5"/>
      <c r="CB649" s="40"/>
      <c r="CC649" s="5"/>
      <c r="CE649" s="40"/>
      <c r="CF649" s="5"/>
      <c r="CH649" s="40"/>
      <c r="CI649" s="5"/>
      <c r="CK649" s="40"/>
      <c r="CL649" s="5"/>
      <c r="CN649" s="40"/>
      <c r="CO649" s="5"/>
      <c r="CQ649" s="40"/>
      <c r="CR649" s="5"/>
    </row>
    <row r="650">
      <c r="AO650" s="40"/>
      <c r="AP650" s="5"/>
      <c r="AR650" s="40"/>
      <c r="AS650" s="5"/>
      <c r="AU650" s="40"/>
      <c r="AV650" s="5"/>
      <c r="AX650" s="40"/>
      <c r="AY650" s="5"/>
      <c r="BA650" s="40"/>
      <c r="BB650" s="5"/>
      <c r="BD650" s="40"/>
      <c r="BE650" s="5"/>
      <c r="BG650" s="40"/>
      <c r="BH650" s="5"/>
      <c r="BJ650" s="40"/>
      <c r="BK650" s="5"/>
      <c r="BM650" s="40"/>
      <c r="BN650" s="5"/>
      <c r="BP650" s="40"/>
      <c r="BQ650" s="5"/>
      <c r="BS650" s="40"/>
      <c r="BT650" s="5"/>
      <c r="BV650" s="40"/>
      <c r="BW650" s="5"/>
      <c r="BY650" s="40"/>
      <c r="BZ650" s="5"/>
      <c r="CB650" s="40"/>
      <c r="CC650" s="5"/>
      <c r="CE650" s="40"/>
      <c r="CF650" s="5"/>
      <c r="CH650" s="40"/>
      <c r="CI650" s="5"/>
      <c r="CK650" s="40"/>
      <c r="CL650" s="5"/>
      <c r="CN650" s="40"/>
      <c r="CO650" s="5"/>
      <c r="CQ650" s="40"/>
      <c r="CR650" s="5"/>
    </row>
    <row r="651">
      <c r="AO651" s="40"/>
      <c r="AP651" s="5"/>
      <c r="AR651" s="40"/>
      <c r="AS651" s="5"/>
      <c r="AU651" s="40"/>
      <c r="AV651" s="5"/>
      <c r="AX651" s="40"/>
      <c r="AY651" s="5"/>
      <c r="BA651" s="40"/>
      <c r="BB651" s="5"/>
      <c r="BD651" s="40"/>
      <c r="BE651" s="5"/>
      <c r="BG651" s="40"/>
      <c r="BH651" s="5"/>
      <c r="BJ651" s="40"/>
      <c r="BK651" s="5"/>
      <c r="BM651" s="40"/>
      <c r="BN651" s="5"/>
      <c r="BP651" s="40"/>
      <c r="BQ651" s="5"/>
      <c r="BS651" s="40"/>
      <c r="BT651" s="5"/>
      <c r="BV651" s="40"/>
      <c r="BW651" s="5"/>
      <c r="BY651" s="40"/>
      <c r="BZ651" s="5"/>
      <c r="CB651" s="40"/>
      <c r="CC651" s="5"/>
      <c r="CE651" s="40"/>
      <c r="CF651" s="5"/>
      <c r="CH651" s="40"/>
      <c r="CI651" s="5"/>
      <c r="CK651" s="40"/>
      <c r="CL651" s="5"/>
      <c r="CN651" s="40"/>
      <c r="CO651" s="5"/>
      <c r="CQ651" s="40"/>
      <c r="CR651" s="5"/>
    </row>
    <row r="652">
      <c r="AO652" s="40"/>
      <c r="AP652" s="5"/>
      <c r="AR652" s="40"/>
      <c r="AS652" s="5"/>
      <c r="AU652" s="40"/>
      <c r="AV652" s="5"/>
      <c r="AX652" s="40"/>
      <c r="AY652" s="5"/>
      <c r="BA652" s="40"/>
      <c r="BB652" s="5"/>
      <c r="BD652" s="40"/>
      <c r="BE652" s="5"/>
      <c r="BG652" s="40"/>
      <c r="BH652" s="5"/>
      <c r="BJ652" s="40"/>
      <c r="BK652" s="5"/>
      <c r="BM652" s="40"/>
      <c r="BN652" s="5"/>
      <c r="BP652" s="40"/>
      <c r="BQ652" s="5"/>
      <c r="BS652" s="40"/>
      <c r="BT652" s="5"/>
      <c r="BV652" s="40"/>
      <c r="BW652" s="5"/>
      <c r="BY652" s="40"/>
      <c r="BZ652" s="5"/>
      <c r="CB652" s="40"/>
      <c r="CC652" s="5"/>
      <c r="CE652" s="40"/>
      <c r="CF652" s="5"/>
      <c r="CH652" s="40"/>
      <c r="CI652" s="5"/>
      <c r="CK652" s="40"/>
      <c r="CL652" s="5"/>
      <c r="CN652" s="40"/>
      <c r="CO652" s="5"/>
      <c r="CQ652" s="40"/>
      <c r="CR652" s="5"/>
    </row>
    <row r="653">
      <c r="AO653" s="40"/>
      <c r="AP653" s="5"/>
      <c r="AR653" s="40"/>
      <c r="AS653" s="5"/>
      <c r="AU653" s="40"/>
      <c r="AV653" s="5"/>
      <c r="AX653" s="40"/>
      <c r="AY653" s="5"/>
      <c r="BA653" s="40"/>
      <c r="BB653" s="5"/>
      <c r="BD653" s="40"/>
      <c r="BE653" s="5"/>
      <c r="BG653" s="40"/>
      <c r="BH653" s="5"/>
      <c r="BJ653" s="40"/>
      <c r="BK653" s="5"/>
      <c r="BM653" s="40"/>
      <c r="BN653" s="5"/>
      <c r="BP653" s="40"/>
      <c r="BQ653" s="5"/>
      <c r="BS653" s="40"/>
      <c r="BT653" s="5"/>
      <c r="BV653" s="40"/>
      <c r="BW653" s="5"/>
      <c r="BY653" s="40"/>
      <c r="BZ653" s="5"/>
      <c r="CB653" s="40"/>
      <c r="CC653" s="5"/>
      <c r="CE653" s="40"/>
      <c r="CF653" s="5"/>
      <c r="CH653" s="40"/>
      <c r="CI653" s="5"/>
      <c r="CK653" s="40"/>
      <c r="CL653" s="5"/>
      <c r="CN653" s="40"/>
      <c r="CO653" s="5"/>
      <c r="CQ653" s="40"/>
      <c r="CR653" s="5"/>
    </row>
    <row r="654">
      <c r="AO654" s="40"/>
      <c r="AP654" s="5"/>
      <c r="AR654" s="40"/>
      <c r="AS654" s="5"/>
      <c r="AU654" s="40"/>
      <c r="AV654" s="5"/>
      <c r="AX654" s="40"/>
      <c r="AY654" s="5"/>
      <c r="BA654" s="40"/>
      <c r="BB654" s="5"/>
      <c r="BD654" s="40"/>
      <c r="BE654" s="5"/>
      <c r="BG654" s="40"/>
      <c r="BH654" s="5"/>
      <c r="BJ654" s="40"/>
      <c r="BK654" s="5"/>
      <c r="BM654" s="40"/>
      <c r="BN654" s="5"/>
      <c r="BP654" s="40"/>
      <c r="BQ654" s="5"/>
      <c r="BS654" s="40"/>
      <c r="BT654" s="5"/>
      <c r="BV654" s="40"/>
      <c r="BW654" s="5"/>
      <c r="BY654" s="40"/>
      <c r="BZ654" s="5"/>
      <c r="CB654" s="40"/>
      <c r="CC654" s="5"/>
      <c r="CE654" s="40"/>
      <c r="CF654" s="5"/>
      <c r="CH654" s="40"/>
      <c r="CI654" s="5"/>
      <c r="CK654" s="40"/>
      <c r="CL654" s="5"/>
      <c r="CN654" s="40"/>
      <c r="CO654" s="5"/>
      <c r="CQ654" s="40"/>
      <c r="CR654" s="5"/>
    </row>
    <row r="655">
      <c r="AO655" s="40"/>
      <c r="AP655" s="5"/>
      <c r="AR655" s="40"/>
      <c r="AS655" s="5"/>
      <c r="AU655" s="40"/>
      <c r="AV655" s="5"/>
      <c r="AX655" s="40"/>
      <c r="AY655" s="5"/>
      <c r="BA655" s="40"/>
      <c r="BB655" s="5"/>
      <c r="BD655" s="40"/>
      <c r="BE655" s="5"/>
      <c r="BG655" s="40"/>
      <c r="BH655" s="5"/>
      <c r="BJ655" s="40"/>
      <c r="BK655" s="5"/>
      <c r="BM655" s="40"/>
      <c r="BN655" s="5"/>
      <c r="BP655" s="40"/>
      <c r="BQ655" s="5"/>
      <c r="BS655" s="40"/>
      <c r="BT655" s="5"/>
      <c r="BV655" s="40"/>
      <c r="BW655" s="5"/>
      <c r="BY655" s="40"/>
      <c r="BZ655" s="5"/>
      <c r="CB655" s="40"/>
      <c r="CC655" s="5"/>
      <c r="CE655" s="40"/>
      <c r="CF655" s="5"/>
      <c r="CH655" s="40"/>
      <c r="CI655" s="5"/>
      <c r="CK655" s="40"/>
      <c r="CL655" s="5"/>
      <c r="CN655" s="40"/>
      <c r="CO655" s="5"/>
      <c r="CQ655" s="40"/>
      <c r="CR655" s="5"/>
    </row>
    <row r="656">
      <c r="AO656" s="40"/>
      <c r="AP656" s="5"/>
      <c r="AR656" s="40"/>
      <c r="AS656" s="5"/>
      <c r="AU656" s="40"/>
      <c r="AV656" s="5"/>
      <c r="AX656" s="40"/>
      <c r="AY656" s="5"/>
      <c r="BA656" s="40"/>
      <c r="BB656" s="5"/>
      <c r="BD656" s="40"/>
      <c r="BE656" s="5"/>
      <c r="BG656" s="40"/>
      <c r="BH656" s="5"/>
      <c r="BJ656" s="40"/>
      <c r="BK656" s="5"/>
      <c r="BM656" s="40"/>
      <c r="BN656" s="5"/>
      <c r="BP656" s="40"/>
      <c r="BQ656" s="5"/>
      <c r="BS656" s="40"/>
      <c r="BT656" s="5"/>
      <c r="BV656" s="40"/>
      <c r="BW656" s="5"/>
      <c r="BY656" s="40"/>
      <c r="BZ656" s="5"/>
      <c r="CB656" s="40"/>
      <c r="CC656" s="5"/>
      <c r="CE656" s="40"/>
      <c r="CF656" s="5"/>
      <c r="CH656" s="40"/>
      <c r="CI656" s="5"/>
      <c r="CK656" s="40"/>
      <c r="CL656" s="5"/>
      <c r="CN656" s="40"/>
      <c r="CO656" s="5"/>
      <c r="CQ656" s="40"/>
      <c r="CR656" s="5"/>
    </row>
    <row r="657">
      <c r="AO657" s="40"/>
      <c r="AP657" s="5"/>
      <c r="AR657" s="40"/>
      <c r="AS657" s="5"/>
      <c r="AU657" s="40"/>
      <c r="AV657" s="5"/>
      <c r="AX657" s="40"/>
      <c r="AY657" s="5"/>
      <c r="BA657" s="40"/>
      <c r="BB657" s="5"/>
      <c r="BD657" s="40"/>
      <c r="BE657" s="5"/>
      <c r="BG657" s="40"/>
      <c r="BH657" s="5"/>
      <c r="BJ657" s="40"/>
      <c r="BK657" s="5"/>
      <c r="BM657" s="40"/>
      <c r="BN657" s="5"/>
      <c r="BP657" s="40"/>
      <c r="BQ657" s="5"/>
      <c r="BS657" s="40"/>
      <c r="BT657" s="5"/>
      <c r="BV657" s="40"/>
      <c r="BW657" s="5"/>
      <c r="BY657" s="40"/>
      <c r="BZ657" s="5"/>
      <c r="CB657" s="40"/>
      <c r="CC657" s="5"/>
      <c r="CE657" s="40"/>
      <c r="CF657" s="5"/>
      <c r="CH657" s="40"/>
      <c r="CI657" s="5"/>
      <c r="CK657" s="40"/>
      <c r="CL657" s="5"/>
      <c r="CN657" s="40"/>
      <c r="CO657" s="5"/>
      <c r="CQ657" s="40"/>
      <c r="CR657" s="5"/>
    </row>
    <row r="658">
      <c r="AO658" s="40"/>
      <c r="AP658" s="5"/>
      <c r="AR658" s="40"/>
      <c r="AS658" s="5"/>
      <c r="AU658" s="40"/>
      <c r="AV658" s="5"/>
      <c r="AX658" s="40"/>
      <c r="AY658" s="5"/>
      <c r="BA658" s="40"/>
      <c r="BB658" s="5"/>
      <c r="BD658" s="40"/>
      <c r="BE658" s="5"/>
      <c r="BG658" s="40"/>
      <c r="BH658" s="5"/>
      <c r="BJ658" s="40"/>
      <c r="BK658" s="5"/>
      <c r="BM658" s="40"/>
      <c r="BN658" s="5"/>
      <c r="BP658" s="40"/>
      <c r="BQ658" s="5"/>
      <c r="BS658" s="40"/>
      <c r="BT658" s="5"/>
      <c r="BV658" s="40"/>
      <c r="BW658" s="5"/>
      <c r="BY658" s="40"/>
      <c r="BZ658" s="5"/>
      <c r="CB658" s="40"/>
      <c r="CC658" s="5"/>
      <c r="CE658" s="40"/>
      <c r="CF658" s="5"/>
      <c r="CH658" s="40"/>
      <c r="CI658" s="5"/>
      <c r="CK658" s="40"/>
      <c r="CL658" s="5"/>
      <c r="CN658" s="40"/>
      <c r="CO658" s="5"/>
      <c r="CQ658" s="40"/>
      <c r="CR658" s="5"/>
    </row>
    <row r="659">
      <c r="AO659" s="40"/>
      <c r="AP659" s="5"/>
      <c r="AR659" s="40"/>
      <c r="AS659" s="5"/>
      <c r="AU659" s="40"/>
      <c r="AV659" s="5"/>
      <c r="AX659" s="40"/>
      <c r="AY659" s="5"/>
      <c r="BA659" s="40"/>
      <c r="BB659" s="5"/>
      <c r="BD659" s="40"/>
      <c r="BE659" s="5"/>
      <c r="BG659" s="40"/>
      <c r="BH659" s="5"/>
      <c r="BJ659" s="40"/>
      <c r="BK659" s="5"/>
      <c r="BM659" s="40"/>
      <c r="BN659" s="5"/>
      <c r="BP659" s="40"/>
      <c r="BQ659" s="5"/>
      <c r="BS659" s="40"/>
      <c r="BT659" s="5"/>
      <c r="BV659" s="40"/>
      <c r="BW659" s="5"/>
      <c r="BY659" s="40"/>
      <c r="BZ659" s="5"/>
      <c r="CB659" s="40"/>
      <c r="CC659" s="5"/>
      <c r="CE659" s="40"/>
      <c r="CF659" s="5"/>
      <c r="CH659" s="40"/>
      <c r="CI659" s="5"/>
      <c r="CK659" s="40"/>
      <c r="CL659" s="5"/>
      <c r="CN659" s="40"/>
      <c r="CO659" s="5"/>
      <c r="CQ659" s="40"/>
      <c r="CR659" s="5"/>
    </row>
    <row r="660">
      <c r="AO660" s="40"/>
      <c r="AP660" s="5"/>
      <c r="AR660" s="40"/>
      <c r="AS660" s="5"/>
      <c r="AU660" s="40"/>
      <c r="AV660" s="5"/>
      <c r="AX660" s="40"/>
      <c r="AY660" s="5"/>
      <c r="BA660" s="40"/>
      <c r="BB660" s="5"/>
      <c r="BD660" s="40"/>
      <c r="BE660" s="5"/>
      <c r="BG660" s="40"/>
      <c r="BH660" s="5"/>
      <c r="BJ660" s="40"/>
      <c r="BK660" s="5"/>
      <c r="BM660" s="40"/>
      <c r="BN660" s="5"/>
      <c r="BP660" s="40"/>
      <c r="BQ660" s="5"/>
      <c r="BS660" s="40"/>
      <c r="BT660" s="5"/>
      <c r="BV660" s="40"/>
      <c r="BW660" s="5"/>
      <c r="BY660" s="40"/>
      <c r="BZ660" s="5"/>
      <c r="CB660" s="40"/>
      <c r="CC660" s="5"/>
      <c r="CE660" s="40"/>
      <c r="CF660" s="5"/>
      <c r="CH660" s="40"/>
      <c r="CI660" s="5"/>
      <c r="CK660" s="40"/>
      <c r="CL660" s="5"/>
      <c r="CN660" s="40"/>
      <c r="CO660" s="5"/>
      <c r="CQ660" s="40"/>
      <c r="CR660" s="5"/>
    </row>
    <row r="661">
      <c r="AO661" s="40"/>
      <c r="AP661" s="5"/>
      <c r="AR661" s="40"/>
      <c r="AS661" s="5"/>
      <c r="AU661" s="40"/>
      <c r="AV661" s="5"/>
      <c r="AX661" s="40"/>
      <c r="AY661" s="5"/>
      <c r="BA661" s="40"/>
      <c r="BB661" s="5"/>
      <c r="BD661" s="40"/>
      <c r="BE661" s="5"/>
      <c r="BG661" s="40"/>
      <c r="BH661" s="5"/>
      <c r="BJ661" s="40"/>
      <c r="BK661" s="5"/>
      <c r="BM661" s="40"/>
      <c r="BN661" s="5"/>
      <c r="BP661" s="40"/>
      <c r="BQ661" s="5"/>
      <c r="BS661" s="40"/>
      <c r="BT661" s="5"/>
      <c r="BV661" s="40"/>
      <c r="BW661" s="5"/>
      <c r="BY661" s="40"/>
      <c r="BZ661" s="5"/>
      <c r="CB661" s="40"/>
      <c r="CC661" s="5"/>
      <c r="CE661" s="40"/>
      <c r="CF661" s="5"/>
      <c r="CH661" s="40"/>
      <c r="CI661" s="5"/>
      <c r="CK661" s="40"/>
      <c r="CL661" s="5"/>
      <c r="CN661" s="40"/>
      <c r="CO661" s="5"/>
      <c r="CQ661" s="40"/>
      <c r="CR661" s="5"/>
    </row>
    <row r="662">
      <c r="AO662" s="40"/>
      <c r="AP662" s="5"/>
      <c r="AR662" s="40"/>
      <c r="AS662" s="5"/>
      <c r="AU662" s="40"/>
      <c r="AV662" s="5"/>
      <c r="AX662" s="40"/>
      <c r="AY662" s="5"/>
      <c r="BA662" s="40"/>
      <c r="BB662" s="5"/>
      <c r="BD662" s="40"/>
      <c r="BE662" s="5"/>
      <c r="BG662" s="40"/>
      <c r="BH662" s="5"/>
      <c r="BJ662" s="40"/>
      <c r="BK662" s="5"/>
      <c r="BM662" s="40"/>
      <c r="BN662" s="5"/>
      <c r="BP662" s="40"/>
      <c r="BQ662" s="5"/>
      <c r="BS662" s="40"/>
      <c r="BT662" s="5"/>
      <c r="BV662" s="40"/>
      <c r="BW662" s="5"/>
      <c r="BY662" s="40"/>
      <c r="BZ662" s="5"/>
      <c r="CB662" s="40"/>
      <c r="CC662" s="5"/>
      <c r="CE662" s="40"/>
      <c r="CF662" s="5"/>
      <c r="CH662" s="40"/>
      <c r="CI662" s="5"/>
      <c r="CK662" s="40"/>
      <c r="CL662" s="5"/>
      <c r="CN662" s="40"/>
      <c r="CO662" s="5"/>
      <c r="CQ662" s="40"/>
      <c r="CR662" s="5"/>
    </row>
    <row r="663">
      <c r="AO663" s="40"/>
      <c r="AP663" s="5"/>
      <c r="AR663" s="40"/>
      <c r="AS663" s="5"/>
      <c r="AU663" s="40"/>
      <c r="AV663" s="5"/>
      <c r="AX663" s="40"/>
      <c r="AY663" s="5"/>
      <c r="BA663" s="40"/>
      <c r="BB663" s="5"/>
      <c r="BD663" s="40"/>
      <c r="BE663" s="5"/>
      <c r="BG663" s="40"/>
      <c r="BH663" s="5"/>
      <c r="BJ663" s="40"/>
      <c r="BK663" s="5"/>
      <c r="BM663" s="40"/>
      <c r="BN663" s="5"/>
      <c r="BP663" s="40"/>
      <c r="BQ663" s="5"/>
      <c r="BS663" s="40"/>
      <c r="BT663" s="5"/>
      <c r="BV663" s="40"/>
      <c r="BW663" s="5"/>
      <c r="BY663" s="40"/>
      <c r="BZ663" s="5"/>
      <c r="CB663" s="40"/>
      <c r="CC663" s="5"/>
      <c r="CE663" s="40"/>
      <c r="CF663" s="5"/>
      <c r="CH663" s="40"/>
      <c r="CI663" s="5"/>
      <c r="CK663" s="40"/>
      <c r="CL663" s="5"/>
      <c r="CN663" s="40"/>
      <c r="CO663" s="5"/>
      <c r="CQ663" s="40"/>
      <c r="CR663" s="5"/>
    </row>
    <row r="664">
      <c r="AO664" s="40"/>
      <c r="AP664" s="5"/>
      <c r="AR664" s="40"/>
      <c r="AS664" s="5"/>
      <c r="AU664" s="40"/>
      <c r="AV664" s="5"/>
      <c r="AX664" s="40"/>
      <c r="AY664" s="5"/>
      <c r="BA664" s="40"/>
      <c r="BB664" s="5"/>
      <c r="BD664" s="40"/>
      <c r="BE664" s="5"/>
      <c r="BG664" s="40"/>
      <c r="BH664" s="5"/>
      <c r="BJ664" s="40"/>
      <c r="BK664" s="5"/>
      <c r="BM664" s="40"/>
      <c r="BN664" s="5"/>
      <c r="BP664" s="40"/>
      <c r="BQ664" s="5"/>
      <c r="BS664" s="40"/>
      <c r="BT664" s="5"/>
      <c r="BV664" s="40"/>
      <c r="BW664" s="5"/>
      <c r="BY664" s="40"/>
      <c r="BZ664" s="5"/>
      <c r="CB664" s="40"/>
      <c r="CC664" s="5"/>
      <c r="CE664" s="40"/>
      <c r="CF664" s="5"/>
      <c r="CH664" s="40"/>
      <c r="CI664" s="5"/>
      <c r="CK664" s="40"/>
      <c r="CL664" s="5"/>
      <c r="CN664" s="40"/>
      <c r="CO664" s="5"/>
      <c r="CQ664" s="40"/>
      <c r="CR664" s="5"/>
    </row>
    <row r="665">
      <c r="AO665" s="40"/>
      <c r="AP665" s="5"/>
      <c r="AR665" s="40"/>
      <c r="AS665" s="5"/>
      <c r="AU665" s="40"/>
      <c r="AV665" s="5"/>
      <c r="AX665" s="40"/>
      <c r="AY665" s="5"/>
      <c r="BA665" s="40"/>
      <c r="BB665" s="5"/>
      <c r="BD665" s="40"/>
      <c r="BE665" s="5"/>
      <c r="BG665" s="40"/>
      <c r="BH665" s="5"/>
      <c r="BJ665" s="40"/>
      <c r="BK665" s="5"/>
      <c r="BM665" s="40"/>
      <c r="BN665" s="5"/>
      <c r="BP665" s="40"/>
      <c r="BQ665" s="5"/>
      <c r="BS665" s="40"/>
      <c r="BT665" s="5"/>
      <c r="BV665" s="40"/>
      <c r="BW665" s="5"/>
      <c r="BY665" s="40"/>
      <c r="BZ665" s="5"/>
      <c r="CB665" s="40"/>
      <c r="CC665" s="5"/>
      <c r="CE665" s="40"/>
      <c r="CF665" s="5"/>
      <c r="CH665" s="40"/>
      <c r="CI665" s="5"/>
      <c r="CK665" s="40"/>
      <c r="CL665" s="5"/>
      <c r="CN665" s="40"/>
      <c r="CO665" s="5"/>
      <c r="CQ665" s="40"/>
      <c r="CR665" s="5"/>
    </row>
    <row r="666">
      <c r="AO666" s="40"/>
      <c r="AP666" s="5"/>
      <c r="AR666" s="40"/>
      <c r="AS666" s="5"/>
      <c r="AU666" s="40"/>
      <c r="AV666" s="5"/>
      <c r="AX666" s="40"/>
      <c r="AY666" s="5"/>
      <c r="BA666" s="40"/>
      <c r="BB666" s="5"/>
      <c r="BD666" s="40"/>
      <c r="BE666" s="5"/>
      <c r="BG666" s="40"/>
      <c r="BH666" s="5"/>
      <c r="BJ666" s="40"/>
      <c r="BK666" s="5"/>
      <c r="BM666" s="40"/>
      <c r="BN666" s="5"/>
      <c r="BP666" s="40"/>
      <c r="BQ666" s="5"/>
      <c r="BS666" s="40"/>
      <c r="BT666" s="5"/>
      <c r="BV666" s="40"/>
      <c r="BW666" s="5"/>
      <c r="BY666" s="40"/>
      <c r="BZ666" s="5"/>
      <c r="CB666" s="40"/>
      <c r="CC666" s="5"/>
      <c r="CE666" s="40"/>
      <c r="CF666" s="5"/>
      <c r="CH666" s="40"/>
      <c r="CI666" s="5"/>
      <c r="CK666" s="40"/>
      <c r="CL666" s="5"/>
      <c r="CN666" s="40"/>
      <c r="CO666" s="5"/>
      <c r="CQ666" s="40"/>
      <c r="CR666" s="5"/>
    </row>
    <row r="667">
      <c r="AO667" s="40"/>
      <c r="AP667" s="5"/>
      <c r="AR667" s="40"/>
      <c r="AS667" s="5"/>
      <c r="AU667" s="40"/>
      <c r="AV667" s="5"/>
      <c r="AX667" s="40"/>
      <c r="AY667" s="5"/>
      <c r="BA667" s="40"/>
      <c r="BB667" s="5"/>
      <c r="BD667" s="40"/>
      <c r="BE667" s="5"/>
      <c r="BG667" s="40"/>
      <c r="BH667" s="5"/>
      <c r="BJ667" s="40"/>
      <c r="BK667" s="5"/>
      <c r="BM667" s="40"/>
      <c r="BN667" s="5"/>
      <c r="BP667" s="40"/>
      <c r="BQ667" s="5"/>
      <c r="BS667" s="40"/>
      <c r="BT667" s="5"/>
      <c r="BV667" s="40"/>
      <c r="BW667" s="5"/>
      <c r="BY667" s="40"/>
      <c r="BZ667" s="5"/>
      <c r="CB667" s="40"/>
      <c r="CC667" s="5"/>
      <c r="CE667" s="40"/>
      <c r="CF667" s="5"/>
      <c r="CH667" s="40"/>
      <c r="CI667" s="5"/>
      <c r="CK667" s="40"/>
      <c r="CL667" s="5"/>
      <c r="CN667" s="40"/>
      <c r="CO667" s="5"/>
      <c r="CQ667" s="40"/>
      <c r="CR667" s="5"/>
    </row>
    <row r="668">
      <c r="AO668" s="40"/>
      <c r="AP668" s="5"/>
      <c r="AR668" s="40"/>
      <c r="AS668" s="5"/>
      <c r="AU668" s="40"/>
      <c r="AV668" s="5"/>
      <c r="AX668" s="40"/>
      <c r="AY668" s="5"/>
      <c r="BA668" s="40"/>
      <c r="BB668" s="5"/>
      <c r="BD668" s="40"/>
      <c r="BE668" s="5"/>
      <c r="BG668" s="40"/>
      <c r="BH668" s="5"/>
      <c r="BJ668" s="40"/>
      <c r="BK668" s="5"/>
      <c r="BM668" s="40"/>
      <c r="BN668" s="5"/>
      <c r="BP668" s="40"/>
      <c r="BQ668" s="5"/>
      <c r="BS668" s="40"/>
      <c r="BT668" s="5"/>
      <c r="BV668" s="40"/>
      <c r="BW668" s="5"/>
      <c r="BY668" s="40"/>
      <c r="BZ668" s="5"/>
      <c r="CB668" s="40"/>
      <c r="CC668" s="5"/>
      <c r="CE668" s="40"/>
      <c r="CF668" s="5"/>
      <c r="CH668" s="40"/>
      <c r="CI668" s="5"/>
      <c r="CK668" s="40"/>
      <c r="CL668" s="5"/>
      <c r="CN668" s="40"/>
      <c r="CO668" s="5"/>
      <c r="CQ668" s="40"/>
      <c r="CR668" s="5"/>
    </row>
    <row r="669">
      <c r="AO669" s="40"/>
      <c r="AP669" s="5"/>
      <c r="AR669" s="40"/>
      <c r="AS669" s="5"/>
      <c r="AU669" s="40"/>
      <c r="AV669" s="5"/>
      <c r="AX669" s="40"/>
      <c r="AY669" s="5"/>
      <c r="BA669" s="40"/>
      <c r="BB669" s="5"/>
      <c r="BD669" s="40"/>
      <c r="BE669" s="5"/>
      <c r="BG669" s="40"/>
      <c r="BH669" s="5"/>
      <c r="BJ669" s="40"/>
      <c r="BK669" s="5"/>
      <c r="BM669" s="40"/>
      <c r="BN669" s="5"/>
      <c r="BP669" s="40"/>
      <c r="BQ669" s="5"/>
      <c r="BS669" s="40"/>
      <c r="BT669" s="5"/>
      <c r="BV669" s="40"/>
      <c r="BW669" s="5"/>
      <c r="BY669" s="40"/>
      <c r="BZ669" s="5"/>
      <c r="CB669" s="40"/>
      <c r="CC669" s="5"/>
      <c r="CE669" s="40"/>
      <c r="CF669" s="5"/>
      <c r="CH669" s="40"/>
      <c r="CI669" s="5"/>
      <c r="CK669" s="40"/>
      <c r="CL669" s="5"/>
      <c r="CN669" s="40"/>
      <c r="CO669" s="5"/>
      <c r="CQ669" s="40"/>
      <c r="CR669" s="5"/>
    </row>
    <row r="670">
      <c r="AO670" s="40"/>
      <c r="AP670" s="5"/>
      <c r="AR670" s="40"/>
      <c r="AS670" s="5"/>
      <c r="AU670" s="40"/>
      <c r="AV670" s="5"/>
      <c r="AX670" s="40"/>
      <c r="AY670" s="5"/>
      <c r="BA670" s="40"/>
      <c r="BB670" s="5"/>
      <c r="BD670" s="40"/>
      <c r="BE670" s="5"/>
      <c r="BG670" s="40"/>
      <c r="BH670" s="5"/>
      <c r="BJ670" s="40"/>
      <c r="BK670" s="5"/>
      <c r="BM670" s="40"/>
      <c r="BN670" s="5"/>
      <c r="BP670" s="40"/>
      <c r="BQ670" s="5"/>
      <c r="BS670" s="40"/>
      <c r="BT670" s="5"/>
      <c r="BV670" s="40"/>
      <c r="BW670" s="5"/>
      <c r="BY670" s="40"/>
      <c r="BZ670" s="5"/>
      <c r="CB670" s="40"/>
      <c r="CC670" s="5"/>
      <c r="CE670" s="40"/>
      <c r="CF670" s="5"/>
      <c r="CH670" s="40"/>
      <c r="CI670" s="5"/>
      <c r="CK670" s="40"/>
      <c r="CL670" s="5"/>
      <c r="CN670" s="40"/>
      <c r="CO670" s="5"/>
      <c r="CQ670" s="40"/>
      <c r="CR670" s="5"/>
    </row>
    <row r="671">
      <c r="AO671" s="40"/>
      <c r="AP671" s="5"/>
      <c r="AR671" s="40"/>
      <c r="AS671" s="5"/>
      <c r="AU671" s="40"/>
      <c r="AV671" s="5"/>
      <c r="AX671" s="40"/>
      <c r="AY671" s="5"/>
      <c r="BA671" s="40"/>
      <c r="BB671" s="5"/>
      <c r="BD671" s="40"/>
      <c r="BE671" s="5"/>
      <c r="BG671" s="40"/>
      <c r="BH671" s="5"/>
      <c r="BJ671" s="40"/>
      <c r="BK671" s="5"/>
      <c r="BM671" s="40"/>
      <c r="BN671" s="5"/>
      <c r="BP671" s="40"/>
      <c r="BQ671" s="5"/>
      <c r="BS671" s="40"/>
      <c r="BT671" s="5"/>
      <c r="BV671" s="40"/>
      <c r="BW671" s="5"/>
      <c r="BY671" s="40"/>
      <c r="BZ671" s="5"/>
      <c r="CB671" s="40"/>
      <c r="CC671" s="5"/>
      <c r="CE671" s="40"/>
      <c r="CF671" s="5"/>
      <c r="CH671" s="40"/>
      <c r="CI671" s="5"/>
      <c r="CK671" s="40"/>
      <c r="CL671" s="5"/>
      <c r="CN671" s="40"/>
      <c r="CO671" s="5"/>
      <c r="CQ671" s="40"/>
      <c r="CR671" s="5"/>
    </row>
    <row r="672">
      <c r="AO672" s="40"/>
      <c r="AP672" s="5"/>
      <c r="AR672" s="40"/>
      <c r="AS672" s="5"/>
      <c r="AU672" s="40"/>
      <c r="AV672" s="5"/>
      <c r="AX672" s="40"/>
      <c r="AY672" s="5"/>
      <c r="BA672" s="40"/>
      <c r="BB672" s="5"/>
      <c r="BD672" s="40"/>
      <c r="BE672" s="5"/>
      <c r="BG672" s="40"/>
      <c r="BH672" s="5"/>
      <c r="BJ672" s="40"/>
      <c r="BK672" s="5"/>
      <c r="BM672" s="40"/>
      <c r="BN672" s="5"/>
      <c r="BP672" s="40"/>
      <c r="BQ672" s="5"/>
      <c r="BS672" s="40"/>
      <c r="BT672" s="5"/>
      <c r="BV672" s="40"/>
      <c r="BW672" s="5"/>
      <c r="BY672" s="40"/>
      <c r="BZ672" s="5"/>
      <c r="CB672" s="40"/>
      <c r="CC672" s="5"/>
      <c r="CE672" s="40"/>
      <c r="CF672" s="5"/>
      <c r="CH672" s="40"/>
      <c r="CI672" s="5"/>
      <c r="CK672" s="40"/>
      <c r="CL672" s="5"/>
      <c r="CN672" s="40"/>
      <c r="CO672" s="5"/>
      <c r="CQ672" s="40"/>
      <c r="CR672" s="5"/>
    </row>
    <row r="673">
      <c r="AO673" s="40"/>
      <c r="AP673" s="5"/>
      <c r="AR673" s="40"/>
      <c r="AS673" s="5"/>
      <c r="AU673" s="40"/>
      <c r="AV673" s="5"/>
      <c r="AX673" s="40"/>
      <c r="AY673" s="5"/>
      <c r="BA673" s="40"/>
      <c r="BB673" s="5"/>
      <c r="BD673" s="40"/>
      <c r="BE673" s="5"/>
      <c r="BG673" s="40"/>
      <c r="BH673" s="5"/>
      <c r="BJ673" s="40"/>
      <c r="BK673" s="5"/>
      <c r="BM673" s="40"/>
      <c r="BN673" s="5"/>
      <c r="BP673" s="40"/>
      <c r="BQ673" s="5"/>
      <c r="BS673" s="40"/>
      <c r="BT673" s="5"/>
      <c r="BV673" s="40"/>
      <c r="BW673" s="5"/>
      <c r="BY673" s="40"/>
      <c r="BZ673" s="5"/>
      <c r="CB673" s="40"/>
      <c r="CC673" s="5"/>
      <c r="CE673" s="40"/>
      <c r="CF673" s="5"/>
      <c r="CH673" s="40"/>
      <c r="CI673" s="5"/>
      <c r="CK673" s="40"/>
      <c r="CL673" s="5"/>
      <c r="CN673" s="40"/>
      <c r="CO673" s="5"/>
      <c r="CQ673" s="40"/>
      <c r="CR673" s="5"/>
    </row>
    <row r="674">
      <c r="AO674" s="40"/>
      <c r="AP674" s="5"/>
      <c r="AR674" s="40"/>
      <c r="AS674" s="5"/>
      <c r="AU674" s="40"/>
      <c r="AV674" s="5"/>
      <c r="AX674" s="40"/>
      <c r="AY674" s="5"/>
      <c r="BA674" s="40"/>
      <c r="BB674" s="5"/>
      <c r="BD674" s="40"/>
      <c r="BE674" s="5"/>
      <c r="BG674" s="40"/>
      <c r="BH674" s="5"/>
      <c r="BJ674" s="40"/>
      <c r="BK674" s="5"/>
      <c r="BM674" s="40"/>
      <c r="BN674" s="5"/>
      <c r="BP674" s="40"/>
      <c r="BQ674" s="5"/>
      <c r="BS674" s="40"/>
      <c r="BT674" s="5"/>
      <c r="BV674" s="40"/>
      <c r="BW674" s="5"/>
      <c r="BY674" s="40"/>
      <c r="BZ674" s="5"/>
      <c r="CB674" s="40"/>
      <c r="CC674" s="5"/>
      <c r="CE674" s="40"/>
      <c r="CF674" s="5"/>
      <c r="CH674" s="40"/>
      <c r="CI674" s="5"/>
      <c r="CK674" s="40"/>
      <c r="CL674" s="5"/>
      <c r="CN674" s="40"/>
      <c r="CO674" s="5"/>
      <c r="CQ674" s="40"/>
      <c r="CR674" s="5"/>
    </row>
    <row r="675">
      <c r="AO675" s="40"/>
      <c r="AP675" s="5"/>
      <c r="AR675" s="40"/>
      <c r="AS675" s="5"/>
      <c r="AU675" s="40"/>
      <c r="AV675" s="5"/>
      <c r="AX675" s="40"/>
      <c r="AY675" s="5"/>
      <c r="BA675" s="40"/>
      <c r="BB675" s="5"/>
      <c r="BD675" s="40"/>
      <c r="BE675" s="5"/>
      <c r="BG675" s="40"/>
      <c r="BH675" s="5"/>
      <c r="BJ675" s="40"/>
      <c r="BK675" s="5"/>
      <c r="BM675" s="40"/>
      <c r="BN675" s="5"/>
      <c r="BP675" s="40"/>
      <c r="BQ675" s="5"/>
      <c r="BS675" s="40"/>
      <c r="BT675" s="5"/>
      <c r="BV675" s="40"/>
      <c r="BW675" s="5"/>
      <c r="BY675" s="40"/>
      <c r="BZ675" s="5"/>
      <c r="CB675" s="40"/>
      <c r="CC675" s="5"/>
      <c r="CE675" s="40"/>
      <c r="CF675" s="5"/>
      <c r="CH675" s="40"/>
      <c r="CI675" s="5"/>
      <c r="CK675" s="40"/>
      <c r="CL675" s="5"/>
      <c r="CN675" s="40"/>
      <c r="CO675" s="5"/>
      <c r="CQ675" s="40"/>
      <c r="CR675" s="5"/>
    </row>
    <row r="676">
      <c r="AO676" s="40"/>
      <c r="AP676" s="5"/>
      <c r="AR676" s="40"/>
      <c r="AS676" s="5"/>
      <c r="AU676" s="40"/>
      <c r="AV676" s="5"/>
      <c r="AX676" s="40"/>
      <c r="AY676" s="5"/>
      <c r="BA676" s="40"/>
      <c r="BB676" s="5"/>
      <c r="BD676" s="40"/>
      <c r="BE676" s="5"/>
      <c r="BG676" s="40"/>
      <c r="BH676" s="5"/>
      <c r="BJ676" s="40"/>
      <c r="BK676" s="5"/>
      <c r="BM676" s="40"/>
      <c r="BN676" s="5"/>
      <c r="BP676" s="40"/>
      <c r="BQ676" s="5"/>
      <c r="BS676" s="40"/>
      <c r="BT676" s="5"/>
      <c r="BV676" s="40"/>
      <c r="BW676" s="5"/>
      <c r="BY676" s="40"/>
      <c r="BZ676" s="5"/>
      <c r="CB676" s="40"/>
      <c r="CC676" s="5"/>
      <c r="CE676" s="40"/>
      <c r="CF676" s="5"/>
      <c r="CH676" s="40"/>
      <c r="CI676" s="5"/>
      <c r="CK676" s="40"/>
      <c r="CL676" s="5"/>
      <c r="CN676" s="40"/>
      <c r="CO676" s="5"/>
      <c r="CQ676" s="40"/>
      <c r="CR676" s="5"/>
    </row>
    <row r="677">
      <c r="AO677" s="40"/>
      <c r="AP677" s="5"/>
      <c r="AR677" s="40"/>
      <c r="AS677" s="5"/>
      <c r="AU677" s="40"/>
      <c r="AV677" s="5"/>
      <c r="AX677" s="40"/>
      <c r="AY677" s="5"/>
      <c r="BA677" s="40"/>
      <c r="BB677" s="5"/>
      <c r="BD677" s="40"/>
      <c r="BE677" s="5"/>
      <c r="BG677" s="40"/>
      <c r="BH677" s="5"/>
      <c r="BJ677" s="40"/>
      <c r="BK677" s="5"/>
      <c r="BM677" s="40"/>
      <c r="BN677" s="5"/>
      <c r="BP677" s="40"/>
      <c r="BQ677" s="5"/>
      <c r="BS677" s="40"/>
      <c r="BT677" s="5"/>
      <c r="BV677" s="40"/>
      <c r="BW677" s="5"/>
      <c r="BY677" s="40"/>
      <c r="BZ677" s="5"/>
      <c r="CB677" s="40"/>
      <c r="CC677" s="5"/>
      <c r="CE677" s="40"/>
      <c r="CF677" s="5"/>
      <c r="CH677" s="40"/>
      <c r="CI677" s="5"/>
      <c r="CK677" s="40"/>
      <c r="CL677" s="5"/>
      <c r="CN677" s="40"/>
      <c r="CO677" s="5"/>
      <c r="CQ677" s="40"/>
      <c r="CR677" s="5"/>
    </row>
    <row r="678">
      <c r="AO678" s="40"/>
      <c r="AP678" s="5"/>
      <c r="AR678" s="40"/>
      <c r="AS678" s="5"/>
      <c r="AU678" s="40"/>
      <c r="AV678" s="5"/>
      <c r="AX678" s="40"/>
      <c r="AY678" s="5"/>
      <c r="BA678" s="40"/>
      <c r="BB678" s="5"/>
      <c r="BD678" s="40"/>
      <c r="BE678" s="5"/>
      <c r="BG678" s="40"/>
      <c r="BH678" s="5"/>
      <c r="BJ678" s="40"/>
      <c r="BK678" s="5"/>
      <c r="BM678" s="40"/>
      <c r="BN678" s="5"/>
      <c r="BP678" s="40"/>
      <c r="BQ678" s="5"/>
      <c r="BS678" s="40"/>
      <c r="BT678" s="5"/>
      <c r="BV678" s="40"/>
      <c r="BW678" s="5"/>
      <c r="BY678" s="40"/>
      <c r="BZ678" s="5"/>
      <c r="CB678" s="40"/>
      <c r="CC678" s="5"/>
      <c r="CE678" s="40"/>
      <c r="CF678" s="5"/>
      <c r="CH678" s="40"/>
      <c r="CI678" s="5"/>
      <c r="CK678" s="40"/>
      <c r="CL678" s="5"/>
      <c r="CN678" s="40"/>
      <c r="CO678" s="5"/>
      <c r="CQ678" s="40"/>
      <c r="CR678" s="5"/>
    </row>
    <row r="679">
      <c r="AO679" s="40"/>
      <c r="AP679" s="5"/>
      <c r="AR679" s="40"/>
      <c r="AS679" s="5"/>
      <c r="AU679" s="40"/>
      <c r="AV679" s="5"/>
      <c r="AX679" s="40"/>
      <c r="AY679" s="5"/>
      <c r="BA679" s="40"/>
      <c r="BB679" s="5"/>
      <c r="BD679" s="40"/>
      <c r="BE679" s="5"/>
      <c r="BG679" s="40"/>
      <c r="BH679" s="5"/>
      <c r="BJ679" s="40"/>
      <c r="BK679" s="5"/>
      <c r="BM679" s="40"/>
      <c r="BN679" s="5"/>
      <c r="BP679" s="40"/>
      <c r="BQ679" s="5"/>
      <c r="BS679" s="40"/>
      <c r="BT679" s="5"/>
      <c r="BV679" s="40"/>
      <c r="BW679" s="5"/>
      <c r="BY679" s="40"/>
      <c r="BZ679" s="5"/>
      <c r="CB679" s="40"/>
      <c r="CC679" s="5"/>
      <c r="CE679" s="40"/>
      <c r="CF679" s="5"/>
      <c r="CH679" s="40"/>
      <c r="CI679" s="5"/>
      <c r="CK679" s="40"/>
      <c r="CL679" s="5"/>
      <c r="CN679" s="40"/>
      <c r="CO679" s="5"/>
      <c r="CQ679" s="40"/>
      <c r="CR679" s="5"/>
    </row>
    <row r="680">
      <c r="AO680" s="40"/>
      <c r="AP680" s="5"/>
      <c r="AR680" s="40"/>
      <c r="AS680" s="5"/>
      <c r="AU680" s="40"/>
      <c r="AV680" s="5"/>
      <c r="AX680" s="40"/>
      <c r="AY680" s="5"/>
      <c r="BA680" s="40"/>
      <c r="BB680" s="5"/>
      <c r="BD680" s="40"/>
      <c r="BE680" s="5"/>
      <c r="BG680" s="40"/>
      <c r="BH680" s="5"/>
      <c r="BJ680" s="40"/>
      <c r="BK680" s="5"/>
      <c r="BM680" s="40"/>
      <c r="BN680" s="5"/>
      <c r="BP680" s="40"/>
      <c r="BQ680" s="5"/>
      <c r="BS680" s="40"/>
      <c r="BT680" s="5"/>
      <c r="BV680" s="40"/>
      <c r="BW680" s="5"/>
      <c r="BY680" s="40"/>
      <c r="BZ680" s="5"/>
      <c r="CB680" s="40"/>
      <c r="CC680" s="5"/>
      <c r="CE680" s="40"/>
      <c r="CF680" s="5"/>
      <c r="CH680" s="40"/>
      <c r="CI680" s="5"/>
      <c r="CK680" s="40"/>
      <c r="CL680" s="5"/>
      <c r="CN680" s="40"/>
      <c r="CO680" s="5"/>
      <c r="CQ680" s="40"/>
      <c r="CR680" s="5"/>
    </row>
    <row r="681">
      <c r="AO681" s="40"/>
      <c r="AP681" s="5"/>
      <c r="AR681" s="40"/>
      <c r="AS681" s="5"/>
      <c r="AU681" s="40"/>
      <c r="AV681" s="5"/>
      <c r="AX681" s="40"/>
      <c r="AY681" s="5"/>
      <c r="BA681" s="40"/>
      <c r="BB681" s="5"/>
      <c r="BD681" s="40"/>
      <c r="BE681" s="5"/>
      <c r="BG681" s="40"/>
      <c r="BH681" s="5"/>
      <c r="BJ681" s="40"/>
      <c r="BK681" s="5"/>
      <c r="BM681" s="40"/>
      <c r="BN681" s="5"/>
      <c r="BP681" s="40"/>
      <c r="BQ681" s="5"/>
      <c r="BS681" s="40"/>
      <c r="BT681" s="5"/>
      <c r="BV681" s="40"/>
      <c r="BW681" s="5"/>
      <c r="BY681" s="40"/>
      <c r="BZ681" s="5"/>
      <c r="CB681" s="40"/>
      <c r="CC681" s="5"/>
      <c r="CE681" s="40"/>
      <c r="CF681" s="5"/>
      <c r="CH681" s="40"/>
      <c r="CI681" s="5"/>
      <c r="CK681" s="40"/>
      <c r="CL681" s="5"/>
      <c r="CN681" s="40"/>
      <c r="CO681" s="5"/>
      <c r="CQ681" s="40"/>
      <c r="CR681" s="5"/>
    </row>
    <row r="682">
      <c r="AO682" s="40"/>
      <c r="AP682" s="5"/>
      <c r="AR682" s="40"/>
      <c r="AS682" s="5"/>
      <c r="AU682" s="40"/>
      <c r="AV682" s="5"/>
      <c r="AX682" s="40"/>
      <c r="AY682" s="5"/>
      <c r="BA682" s="40"/>
      <c r="BB682" s="5"/>
      <c r="BD682" s="40"/>
      <c r="BE682" s="5"/>
      <c r="BG682" s="40"/>
      <c r="BH682" s="5"/>
      <c r="BJ682" s="40"/>
      <c r="BK682" s="5"/>
      <c r="BM682" s="40"/>
      <c r="BN682" s="5"/>
      <c r="BP682" s="40"/>
      <c r="BQ682" s="5"/>
      <c r="BS682" s="40"/>
      <c r="BT682" s="5"/>
      <c r="BV682" s="40"/>
      <c r="BW682" s="5"/>
      <c r="BY682" s="40"/>
      <c r="BZ682" s="5"/>
      <c r="CB682" s="40"/>
      <c r="CC682" s="5"/>
      <c r="CE682" s="40"/>
      <c r="CF682" s="5"/>
      <c r="CH682" s="40"/>
      <c r="CI682" s="5"/>
      <c r="CK682" s="40"/>
      <c r="CL682" s="5"/>
      <c r="CN682" s="40"/>
      <c r="CO682" s="5"/>
      <c r="CQ682" s="40"/>
      <c r="CR682" s="5"/>
    </row>
    <row r="683">
      <c r="AO683" s="40"/>
      <c r="AP683" s="5"/>
      <c r="AR683" s="40"/>
      <c r="AS683" s="5"/>
      <c r="AU683" s="40"/>
      <c r="AV683" s="5"/>
      <c r="AX683" s="40"/>
      <c r="AY683" s="5"/>
      <c r="BA683" s="40"/>
      <c r="BB683" s="5"/>
      <c r="BD683" s="40"/>
      <c r="BE683" s="5"/>
      <c r="BG683" s="40"/>
      <c r="BH683" s="5"/>
      <c r="BJ683" s="40"/>
      <c r="BK683" s="5"/>
      <c r="BM683" s="40"/>
      <c r="BN683" s="5"/>
      <c r="BP683" s="40"/>
      <c r="BQ683" s="5"/>
      <c r="BS683" s="40"/>
      <c r="BT683" s="5"/>
      <c r="BV683" s="40"/>
      <c r="BW683" s="5"/>
      <c r="BY683" s="40"/>
      <c r="BZ683" s="5"/>
      <c r="CB683" s="40"/>
      <c r="CC683" s="5"/>
      <c r="CE683" s="40"/>
      <c r="CF683" s="5"/>
      <c r="CH683" s="40"/>
      <c r="CI683" s="5"/>
      <c r="CK683" s="40"/>
      <c r="CL683" s="5"/>
      <c r="CN683" s="40"/>
      <c r="CO683" s="5"/>
      <c r="CQ683" s="40"/>
      <c r="CR683" s="5"/>
    </row>
    <row r="684">
      <c r="AO684" s="40"/>
      <c r="AP684" s="5"/>
      <c r="AR684" s="40"/>
      <c r="AS684" s="5"/>
      <c r="AU684" s="40"/>
      <c r="AV684" s="5"/>
      <c r="AX684" s="40"/>
      <c r="AY684" s="5"/>
      <c r="BA684" s="40"/>
      <c r="BB684" s="5"/>
      <c r="BD684" s="40"/>
      <c r="BE684" s="5"/>
      <c r="BG684" s="40"/>
      <c r="BH684" s="5"/>
      <c r="BJ684" s="40"/>
      <c r="BK684" s="5"/>
      <c r="BM684" s="40"/>
      <c r="BN684" s="5"/>
      <c r="BP684" s="40"/>
      <c r="BQ684" s="5"/>
      <c r="BS684" s="40"/>
      <c r="BT684" s="5"/>
      <c r="BV684" s="40"/>
      <c r="BW684" s="5"/>
      <c r="BY684" s="40"/>
      <c r="BZ684" s="5"/>
      <c r="CB684" s="40"/>
      <c r="CC684" s="5"/>
      <c r="CE684" s="40"/>
      <c r="CF684" s="5"/>
      <c r="CH684" s="40"/>
      <c r="CI684" s="5"/>
      <c r="CK684" s="40"/>
      <c r="CL684" s="5"/>
      <c r="CN684" s="40"/>
      <c r="CO684" s="5"/>
      <c r="CQ684" s="40"/>
      <c r="CR684" s="5"/>
    </row>
    <row r="685">
      <c r="AO685" s="40"/>
      <c r="AP685" s="5"/>
      <c r="AR685" s="40"/>
      <c r="AS685" s="5"/>
      <c r="AU685" s="40"/>
      <c r="AV685" s="5"/>
      <c r="AX685" s="40"/>
      <c r="AY685" s="5"/>
      <c r="BA685" s="40"/>
      <c r="BB685" s="5"/>
      <c r="BD685" s="40"/>
      <c r="BE685" s="5"/>
      <c r="BG685" s="40"/>
      <c r="BH685" s="5"/>
      <c r="BJ685" s="40"/>
      <c r="BK685" s="5"/>
      <c r="BM685" s="40"/>
      <c r="BN685" s="5"/>
      <c r="BP685" s="40"/>
      <c r="BQ685" s="5"/>
      <c r="BS685" s="40"/>
      <c r="BT685" s="5"/>
      <c r="BV685" s="40"/>
      <c r="BW685" s="5"/>
      <c r="BY685" s="40"/>
      <c r="BZ685" s="5"/>
      <c r="CB685" s="40"/>
      <c r="CC685" s="5"/>
      <c r="CE685" s="40"/>
      <c r="CF685" s="5"/>
      <c r="CH685" s="40"/>
      <c r="CI685" s="5"/>
      <c r="CK685" s="40"/>
      <c r="CL685" s="5"/>
      <c r="CN685" s="40"/>
      <c r="CO685" s="5"/>
      <c r="CQ685" s="40"/>
      <c r="CR685" s="5"/>
    </row>
    <row r="686">
      <c r="AO686" s="40"/>
      <c r="AP686" s="5"/>
      <c r="AR686" s="40"/>
      <c r="AS686" s="5"/>
      <c r="AU686" s="40"/>
      <c r="AV686" s="5"/>
      <c r="AX686" s="40"/>
      <c r="AY686" s="5"/>
      <c r="BA686" s="40"/>
      <c r="BB686" s="5"/>
      <c r="BD686" s="40"/>
      <c r="BE686" s="5"/>
      <c r="BG686" s="40"/>
      <c r="BH686" s="5"/>
      <c r="BJ686" s="40"/>
      <c r="BK686" s="5"/>
      <c r="BM686" s="40"/>
      <c r="BN686" s="5"/>
      <c r="BP686" s="40"/>
      <c r="BQ686" s="5"/>
      <c r="BS686" s="40"/>
      <c r="BT686" s="5"/>
      <c r="BV686" s="40"/>
      <c r="BW686" s="5"/>
      <c r="BY686" s="40"/>
      <c r="BZ686" s="5"/>
      <c r="CB686" s="40"/>
      <c r="CC686" s="5"/>
      <c r="CE686" s="40"/>
      <c r="CF686" s="5"/>
      <c r="CH686" s="40"/>
      <c r="CI686" s="5"/>
      <c r="CK686" s="40"/>
      <c r="CL686" s="5"/>
      <c r="CN686" s="40"/>
      <c r="CO686" s="5"/>
      <c r="CQ686" s="40"/>
      <c r="CR686" s="5"/>
    </row>
    <row r="687">
      <c r="AO687" s="40"/>
      <c r="AP687" s="5"/>
      <c r="AR687" s="40"/>
      <c r="AS687" s="5"/>
      <c r="AU687" s="40"/>
      <c r="AV687" s="5"/>
      <c r="AX687" s="40"/>
      <c r="AY687" s="5"/>
      <c r="BA687" s="40"/>
      <c r="BB687" s="5"/>
      <c r="BD687" s="40"/>
      <c r="BE687" s="5"/>
      <c r="BG687" s="40"/>
      <c r="BH687" s="5"/>
      <c r="BJ687" s="40"/>
      <c r="BK687" s="5"/>
      <c r="BM687" s="40"/>
      <c r="BN687" s="5"/>
      <c r="BP687" s="40"/>
      <c r="BQ687" s="5"/>
      <c r="BS687" s="40"/>
      <c r="BT687" s="5"/>
      <c r="BV687" s="40"/>
      <c r="BW687" s="5"/>
      <c r="BY687" s="40"/>
      <c r="BZ687" s="5"/>
      <c r="CB687" s="40"/>
      <c r="CC687" s="5"/>
      <c r="CE687" s="40"/>
      <c r="CF687" s="5"/>
      <c r="CH687" s="40"/>
      <c r="CI687" s="5"/>
      <c r="CK687" s="40"/>
      <c r="CL687" s="5"/>
      <c r="CN687" s="40"/>
      <c r="CO687" s="5"/>
      <c r="CQ687" s="40"/>
      <c r="CR687" s="5"/>
    </row>
    <row r="688">
      <c r="AO688" s="40"/>
      <c r="AP688" s="5"/>
      <c r="AR688" s="40"/>
      <c r="AS688" s="5"/>
      <c r="AU688" s="40"/>
      <c r="AV688" s="5"/>
      <c r="AX688" s="40"/>
      <c r="AY688" s="5"/>
      <c r="BA688" s="40"/>
      <c r="BB688" s="5"/>
      <c r="BD688" s="40"/>
      <c r="BE688" s="5"/>
      <c r="BG688" s="40"/>
      <c r="BH688" s="5"/>
      <c r="BJ688" s="40"/>
      <c r="BK688" s="5"/>
      <c r="BM688" s="40"/>
      <c r="BN688" s="5"/>
      <c r="BP688" s="40"/>
      <c r="BQ688" s="5"/>
      <c r="BS688" s="40"/>
      <c r="BT688" s="5"/>
      <c r="BV688" s="40"/>
      <c r="BW688" s="5"/>
      <c r="BY688" s="40"/>
      <c r="BZ688" s="5"/>
      <c r="CB688" s="40"/>
      <c r="CC688" s="5"/>
      <c r="CE688" s="40"/>
      <c r="CF688" s="5"/>
      <c r="CH688" s="40"/>
      <c r="CI688" s="5"/>
      <c r="CK688" s="40"/>
      <c r="CL688" s="5"/>
      <c r="CN688" s="40"/>
      <c r="CO688" s="5"/>
      <c r="CQ688" s="40"/>
      <c r="CR688" s="5"/>
    </row>
    <row r="689">
      <c r="AO689" s="40"/>
      <c r="AP689" s="5"/>
      <c r="AR689" s="40"/>
      <c r="AS689" s="5"/>
      <c r="AU689" s="40"/>
      <c r="AV689" s="5"/>
      <c r="AX689" s="40"/>
      <c r="AY689" s="5"/>
      <c r="BA689" s="40"/>
      <c r="BB689" s="5"/>
      <c r="BD689" s="40"/>
      <c r="BE689" s="5"/>
      <c r="BG689" s="40"/>
      <c r="BH689" s="5"/>
      <c r="BJ689" s="40"/>
      <c r="BK689" s="5"/>
      <c r="BM689" s="40"/>
      <c r="BN689" s="5"/>
      <c r="BP689" s="40"/>
      <c r="BQ689" s="5"/>
      <c r="BS689" s="40"/>
      <c r="BT689" s="5"/>
      <c r="BV689" s="40"/>
      <c r="BW689" s="5"/>
      <c r="BY689" s="40"/>
      <c r="BZ689" s="5"/>
      <c r="CB689" s="40"/>
      <c r="CC689" s="5"/>
      <c r="CE689" s="40"/>
      <c r="CF689" s="5"/>
      <c r="CH689" s="40"/>
      <c r="CI689" s="5"/>
      <c r="CK689" s="40"/>
      <c r="CL689" s="5"/>
      <c r="CN689" s="40"/>
      <c r="CO689" s="5"/>
      <c r="CQ689" s="40"/>
      <c r="CR689" s="5"/>
    </row>
    <row r="690">
      <c r="AO690" s="40"/>
      <c r="AP690" s="5"/>
      <c r="AR690" s="40"/>
      <c r="AS690" s="5"/>
      <c r="AU690" s="40"/>
      <c r="AV690" s="5"/>
      <c r="AX690" s="40"/>
      <c r="AY690" s="5"/>
      <c r="BA690" s="40"/>
      <c r="BB690" s="5"/>
      <c r="BD690" s="40"/>
      <c r="BE690" s="5"/>
      <c r="BG690" s="40"/>
      <c r="BH690" s="5"/>
      <c r="BJ690" s="40"/>
      <c r="BK690" s="5"/>
      <c r="BM690" s="40"/>
      <c r="BN690" s="5"/>
      <c r="BP690" s="40"/>
      <c r="BQ690" s="5"/>
      <c r="BS690" s="40"/>
      <c r="BT690" s="5"/>
      <c r="BV690" s="40"/>
      <c r="BW690" s="5"/>
      <c r="BY690" s="40"/>
      <c r="BZ690" s="5"/>
      <c r="CB690" s="40"/>
      <c r="CC690" s="5"/>
      <c r="CE690" s="40"/>
      <c r="CF690" s="5"/>
      <c r="CH690" s="40"/>
      <c r="CI690" s="5"/>
      <c r="CK690" s="40"/>
      <c r="CL690" s="5"/>
      <c r="CN690" s="40"/>
      <c r="CO690" s="5"/>
      <c r="CQ690" s="40"/>
      <c r="CR690" s="5"/>
    </row>
    <row r="691">
      <c r="AO691" s="40"/>
      <c r="AP691" s="5"/>
      <c r="AR691" s="40"/>
      <c r="AS691" s="5"/>
      <c r="AU691" s="40"/>
      <c r="AV691" s="5"/>
      <c r="AX691" s="40"/>
      <c r="AY691" s="5"/>
      <c r="BA691" s="40"/>
      <c r="BB691" s="5"/>
      <c r="BD691" s="40"/>
      <c r="BE691" s="5"/>
      <c r="BG691" s="40"/>
      <c r="BH691" s="5"/>
      <c r="BJ691" s="40"/>
      <c r="BK691" s="5"/>
      <c r="BM691" s="40"/>
      <c r="BN691" s="5"/>
      <c r="BP691" s="40"/>
      <c r="BQ691" s="5"/>
      <c r="BS691" s="40"/>
      <c r="BT691" s="5"/>
      <c r="BV691" s="40"/>
      <c r="BW691" s="5"/>
      <c r="BY691" s="40"/>
      <c r="BZ691" s="5"/>
      <c r="CB691" s="40"/>
      <c r="CC691" s="5"/>
      <c r="CE691" s="40"/>
      <c r="CF691" s="5"/>
      <c r="CH691" s="40"/>
      <c r="CI691" s="5"/>
      <c r="CK691" s="40"/>
      <c r="CL691" s="5"/>
      <c r="CN691" s="40"/>
      <c r="CO691" s="5"/>
      <c r="CQ691" s="40"/>
      <c r="CR691" s="5"/>
    </row>
    <row r="692">
      <c r="AO692" s="40"/>
      <c r="AP692" s="5"/>
      <c r="AR692" s="40"/>
      <c r="AS692" s="5"/>
      <c r="AU692" s="40"/>
      <c r="AV692" s="5"/>
      <c r="AX692" s="40"/>
      <c r="AY692" s="5"/>
      <c r="BA692" s="40"/>
      <c r="BB692" s="5"/>
      <c r="BD692" s="40"/>
      <c r="BE692" s="5"/>
      <c r="BG692" s="40"/>
      <c r="BH692" s="5"/>
      <c r="BJ692" s="40"/>
      <c r="BK692" s="5"/>
      <c r="BM692" s="40"/>
      <c r="BN692" s="5"/>
      <c r="BP692" s="40"/>
      <c r="BQ692" s="5"/>
      <c r="BS692" s="40"/>
      <c r="BT692" s="5"/>
      <c r="BV692" s="40"/>
      <c r="BW692" s="5"/>
      <c r="BY692" s="40"/>
      <c r="BZ692" s="5"/>
      <c r="CB692" s="40"/>
      <c r="CC692" s="5"/>
      <c r="CE692" s="40"/>
      <c r="CF692" s="5"/>
      <c r="CH692" s="40"/>
      <c r="CI692" s="5"/>
      <c r="CK692" s="40"/>
      <c r="CL692" s="5"/>
      <c r="CN692" s="40"/>
      <c r="CO692" s="5"/>
      <c r="CQ692" s="40"/>
      <c r="CR692" s="5"/>
    </row>
    <row r="693">
      <c r="AO693" s="40"/>
      <c r="AP693" s="5"/>
      <c r="AR693" s="40"/>
      <c r="AS693" s="5"/>
      <c r="AU693" s="40"/>
      <c r="AV693" s="5"/>
      <c r="AX693" s="40"/>
      <c r="AY693" s="5"/>
      <c r="BA693" s="40"/>
      <c r="BB693" s="5"/>
      <c r="BD693" s="40"/>
      <c r="BE693" s="5"/>
      <c r="BG693" s="40"/>
      <c r="BH693" s="5"/>
      <c r="BJ693" s="40"/>
      <c r="BK693" s="5"/>
      <c r="BM693" s="40"/>
      <c r="BN693" s="5"/>
      <c r="BP693" s="40"/>
      <c r="BQ693" s="5"/>
      <c r="BS693" s="40"/>
      <c r="BT693" s="5"/>
      <c r="BV693" s="40"/>
      <c r="BW693" s="5"/>
      <c r="BY693" s="40"/>
      <c r="BZ693" s="5"/>
      <c r="CB693" s="40"/>
      <c r="CC693" s="5"/>
      <c r="CE693" s="40"/>
      <c r="CF693" s="5"/>
      <c r="CH693" s="40"/>
      <c r="CI693" s="5"/>
      <c r="CK693" s="40"/>
      <c r="CL693" s="5"/>
      <c r="CN693" s="40"/>
      <c r="CO693" s="5"/>
      <c r="CQ693" s="40"/>
      <c r="CR693" s="5"/>
    </row>
    <row r="694">
      <c r="AO694" s="40"/>
      <c r="AP694" s="5"/>
      <c r="AR694" s="40"/>
      <c r="AS694" s="5"/>
      <c r="AU694" s="40"/>
      <c r="AV694" s="5"/>
      <c r="AX694" s="40"/>
      <c r="AY694" s="5"/>
      <c r="BA694" s="40"/>
      <c r="BB694" s="5"/>
      <c r="BD694" s="40"/>
      <c r="BE694" s="5"/>
      <c r="BG694" s="40"/>
      <c r="BH694" s="5"/>
      <c r="BJ694" s="40"/>
      <c r="BK694" s="5"/>
      <c r="BM694" s="40"/>
      <c r="BN694" s="5"/>
      <c r="BP694" s="40"/>
      <c r="BQ694" s="5"/>
      <c r="BS694" s="40"/>
      <c r="BT694" s="5"/>
      <c r="BV694" s="40"/>
      <c r="BW694" s="5"/>
      <c r="BY694" s="40"/>
      <c r="BZ694" s="5"/>
      <c r="CB694" s="40"/>
      <c r="CC694" s="5"/>
      <c r="CE694" s="40"/>
      <c r="CF694" s="5"/>
      <c r="CH694" s="40"/>
      <c r="CI694" s="5"/>
      <c r="CK694" s="40"/>
      <c r="CL694" s="5"/>
      <c r="CN694" s="40"/>
      <c r="CO694" s="5"/>
      <c r="CQ694" s="40"/>
      <c r="CR694" s="5"/>
    </row>
    <row r="695">
      <c r="AO695" s="40"/>
      <c r="AP695" s="5"/>
      <c r="AR695" s="40"/>
      <c r="AS695" s="5"/>
      <c r="AU695" s="40"/>
      <c r="AV695" s="5"/>
      <c r="AX695" s="40"/>
      <c r="AY695" s="5"/>
      <c r="BA695" s="40"/>
      <c r="BB695" s="5"/>
      <c r="BD695" s="40"/>
      <c r="BE695" s="5"/>
      <c r="BG695" s="40"/>
      <c r="BH695" s="5"/>
      <c r="BJ695" s="40"/>
      <c r="BK695" s="5"/>
      <c r="BM695" s="40"/>
      <c r="BN695" s="5"/>
      <c r="BP695" s="40"/>
      <c r="BQ695" s="5"/>
      <c r="BS695" s="40"/>
      <c r="BT695" s="5"/>
      <c r="BV695" s="40"/>
      <c r="BW695" s="5"/>
      <c r="BY695" s="40"/>
      <c r="BZ695" s="5"/>
      <c r="CB695" s="40"/>
      <c r="CC695" s="5"/>
      <c r="CE695" s="40"/>
      <c r="CF695" s="5"/>
      <c r="CH695" s="40"/>
      <c r="CI695" s="5"/>
      <c r="CK695" s="40"/>
      <c r="CL695" s="5"/>
      <c r="CN695" s="40"/>
      <c r="CO695" s="5"/>
      <c r="CQ695" s="40"/>
      <c r="CR695" s="5"/>
    </row>
    <row r="696">
      <c r="AO696" s="40"/>
      <c r="AP696" s="5"/>
      <c r="AR696" s="40"/>
      <c r="AS696" s="5"/>
      <c r="AU696" s="40"/>
      <c r="AV696" s="5"/>
      <c r="AX696" s="40"/>
      <c r="AY696" s="5"/>
      <c r="BA696" s="40"/>
      <c r="BB696" s="5"/>
      <c r="BD696" s="40"/>
      <c r="BE696" s="5"/>
      <c r="BG696" s="40"/>
      <c r="BH696" s="5"/>
      <c r="BJ696" s="40"/>
      <c r="BK696" s="5"/>
      <c r="BM696" s="40"/>
      <c r="BN696" s="5"/>
      <c r="BP696" s="40"/>
      <c r="BQ696" s="5"/>
      <c r="BS696" s="40"/>
      <c r="BT696" s="5"/>
      <c r="BV696" s="40"/>
      <c r="BW696" s="5"/>
      <c r="BY696" s="40"/>
      <c r="BZ696" s="5"/>
      <c r="CB696" s="40"/>
      <c r="CC696" s="5"/>
      <c r="CE696" s="40"/>
      <c r="CF696" s="5"/>
      <c r="CH696" s="40"/>
      <c r="CI696" s="5"/>
      <c r="CK696" s="40"/>
      <c r="CL696" s="5"/>
      <c r="CN696" s="40"/>
      <c r="CO696" s="5"/>
      <c r="CQ696" s="40"/>
      <c r="CR696" s="5"/>
    </row>
    <row r="697">
      <c r="AO697" s="40"/>
      <c r="AP697" s="5"/>
      <c r="AR697" s="40"/>
      <c r="AS697" s="5"/>
      <c r="AU697" s="40"/>
      <c r="AV697" s="5"/>
      <c r="AX697" s="40"/>
      <c r="AY697" s="5"/>
      <c r="BA697" s="40"/>
      <c r="BB697" s="5"/>
      <c r="BD697" s="40"/>
      <c r="BE697" s="5"/>
      <c r="BG697" s="40"/>
      <c r="BH697" s="5"/>
      <c r="BJ697" s="40"/>
      <c r="BK697" s="5"/>
      <c r="BM697" s="40"/>
      <c r="BN697" s="5"/>
      <c r="BP697" s="40"/>
      <c r="BQ697" s="5"/>
      <c r="BS697" s="40"/>
      <c r="BT697" s="5"/>
      <c r="BV697" s="40"/>
      <c r="BW697" s="5"/>
      <c r="BY697" s="40"/>
      <c r="BZ697" s="5"/>
      <c r="CB697" s="40"/>
      <c r="CC697" s="5"/>
      <c r="CE697" s="40"/>
      <c r="CF697" s="5"/>
      <c r="CH697" s="40"/>
      <c r="CI697" s="5"/>
      <c r="CK697" s="40"/>
      <c r="CL697" s="5"/>
      <c r="CN697" s="40"/>
      <c r="CO697" s="5"/>
      <c r="CQ697" s="40"/>
      <c r="CR697" s="5"/>
    </row>
    <row r="698">
      <c r="AO698" s="40"/>
      <c r="AP698" s="5"/>
      <c r="AR698" s="40"/>
      <c r="AS698" s="5"/>
      <c r="AU698" s="40"/>
      <c r="AV698" s="5"/>
      <c r="AX698" s="40"/>
      <c r="AY698" s="5"/>
      <c r="BA698" s="40"/>
      <c r="BB698" s="5"/>
      <c r="BD698" s="40"/>
      <c r="BE698" s="5"/>
      <c r="BG698" s="40"/>
      <c r="BH698" s="5"/>
      <c r="BJ698" s="40"/>
      <c r="BK698" s="5"/>
      <c r="BM698" s="40"/>
      <c r="BN698" s="5"/>
      <c r="BP698" s="40"/>
      <c r="BQ698" s="5"/>
      <c r="BS698" s="40"/>
      <c r="BT698" s="5"/>
      <c r="BV698" s="40"/>
      <c r="BW698" s="5"/>
      <c r="BY698" s="40"/>
      <c r="BZ698" s="5"/>
      <c r="CB698" s="40"/>
      <c r="CC698" s="5"/>
      <c r="CE698" s="40"/>
      <c r="CF698" s="5"/>
      <c r="CH698" s="40"/>
      <c r="CI698" s="5"/>
      <c r="CK698" s="40"/>
      <c r="CL698" s="5"/>
      <c r="CN698" s="40"/>
      <c r="CO698" s="5"/>
      <c r="CQ698" s="40"/>
      <c r="CR698" s="5"/>
    </row>
    <row r="699">
      <c r="AO699" s="40"/>
      <c r="AP699" s="5"/>
      <c r="AR699" s="40"/>
      <c r="AS699" s="5"/>
      <c r="AU699" s="40"/>
      <c r="AV699" s="5"/>
      <c r="AX699" s="40"/>
      <c r="AY699" s="5"/>
      <c r="BA699" s="40"/>
      <c r="BB699" s="5"/>
      <c r="BD699" s="40"/>
      <c r="BE699" s="5"/>
      <c r="BG699" s="40"/>
      <c r="BH699" s="5"/>
      <c r="BJ699" s="40"/>
      <c r="BK699" s="5"/>
      <c r="BM699" s="40"/>
      <c r="BN699" s="5"/>
      <c r="BP699" s="40"/>
      <c r="BQ699" s="5"/>
      <c r="BS699" s="40"/>
      <c r="BT699" s="5"/>
      <c r="BV699" s="40"/>
      <c r="BW699" s="5"/>
      <c r="BY699" s="40"/>
      <c r="BZ699" s="5"/>
      <c r="CB699" s="40"/>
      <c r="CC699" s="5"/>
      <c r="CE699" s="40"/>
      <c r="CF699" s="5"/>
      <c r="CH699" s="40"/>
      <c r="CI699" s="5"/>
      <c r="CK699" s="40"/>
      <c r="CL699" s="5"/>
      <c r="CN699" s="40"/>
      <c r="CO699" s="5"/>
      <c r="CQ699" s="40"/>
      <c r="CR699" s="5"/>
    </row>
    <row r="700">
      <c r="AO700" s="40"/>
      <c r="AP700" s="5"/>
      <c r="AR700" s="40"/>
      <c r="AS700" s="5"/>
      <c r="AU700" s="40"/>
      <c r="AV700" s="5"/>
      <c r="AX700" s="40"/>
      <c r="AY700" s="5"/>
      <c r="BA700" s="40"/>
      <c r="BB700" s="5"/>
      <c r="BD700" s="40"/>
      <c r="BE700" s="5"/>
      <c r="BG700" s="40"/>
      <c r="BH700" s="5"/>
      <c r="BJ700" s="40"/>
      <c r="BK700" s="5"/>
      <c r="BM700" s="40"/>
      <c r="BN700" s="5"/>
      <c r="BP700" s="40"/>
      <c r="BQ700" s="5"/>
      <c r="BS700" s="40"/>
      <c r="BT700" s="5"/>
      <c r="BV700" s="40"/>
      <c r="BW700" s="5"/>
      <c r="BY700" s="40"/>
      <c r="BZ700" s="5"/>
      <c r="CB700" s="40"/>
      <c r="CC700" s="5"/>
      <c r="CE700" s="40"/>
      <c r="CF700" s="5"/>
      <c r="CH700" s="40"/>
      <c r="CI700" s="5"/>
      <c r="CK700" s="40"/>
      <c r="CL700" s="5"/>
      <c r="CN700" s="40"/>
      <c r="CO700" s="5"/>
      <c r="CQ700" s="40"/>
      <c r="CR700" s="5"/>
    </row>
    <row r="701">
      <c r="AO701" s="40"/>
      <c r="AP701" s="5"/>
      <c r="AR701" s="40"/>
      <c r="AS701" s="5"/>
      <c r="AU701" s="40"/>
      <c r="AV701" s="5"/>
      <c r="AX701" s="40"/>
      <c r="AY701" s="5"/>
      <c r="BA701" s="40"/>
      <c r="BB701" s="5"/>
      <c r="BD701" s="40"/>
      <c r="BE701" s="5"/>
      <c r="BG701" s="40"/>
      <c r="BH701" s="5"/>
      <c r="BJ701" s="40"/>
      <c r="BK701" s="5"/>
      <c r="BM701" s="40"/>
      <c r="BN701" s="5"/>
      <c r="BP701" s="40"/>
      <c r="BQ701" s="5"/>
      <c r="BS701" s="40"/>
      <c r="BT701" s="5"/>
      <c r="BV701" s="40"/>
      <c r="BW701" s="5"/>
      <c r="BY701" s="40"/>
      <c r="BZ701" s="5"/>
      <c r="CB701" s="40"/>
      <c r="CC701" s="5"/>
      <c r="CE701" s="40"/>
      <c r="CF701" s="5"/>
      <c r="CH701" s="40"/>
      <c r="CI701" s="5"/>
      <c r="CK701" s="40"/>
      <c r="CL701" s="5"/>
      <c r="CN701" s="40"/>
      <c r="CO701" s="5"/>
      <c r="CQ701" s="40"/>
      <c r="CR701" s="5"/>
    </row>
    <row r="702">
      <c r="AO702" s="40"/>
      <c r="AP702" s="5"/>
      <c r="AR702" s="40"/>
      <c r="AS702" s="5"/>
      <c r="AU702" s="40"/>
      <c r="AV702" s="5"/>
      <c r="AX702" s="40"/>
      <c r="AY702" s="5"/>
      <c r="BA702" s="40"/>
      <c r="BB702" s="5"/>
      <c r="BD702" s="40"/>
      <c r="BE702" s="5"/>
      <c r="BG702" s="40"/>
      <c r="BH702" s="5"/>
      <c r="BJ702" s="40"/>
      <c r="BK702" s="5"/>
      <c r="BM702" s="40"/>
      <c r="BN702" s="5"/>
      <c r="BP702" s="40"/>
      <c r="BQ702" s="5"/>
      <c r="BS702" s="40"/>
      <c r="BT702" s="5"/>
      <c r="BV702" s="40"/>
      <c r="BW702" s="5"/>
      <c r="BY702" s="40"/>
      <c r="BZ702" s="5"/>
      <c r="CB702" s="40"/>
      <c r="CC702" s="5"/>
      <c r="CE702" s="40"/>
      <c r="CF702" s="5"/>
      <c r="CH702" s="40"/>
      <c r="CI702" s="5"/>
      <c r="CK702" s="40"/>
      <c r="CL702" s="5"/>
      <c r="CN702" s="40"/>
      <c r="CO702" s="5"/>
      <c r="CQ702" s="40"/>
      <c r="CR702" s="5"/>
    </row>
    <row r="703">
      <c r="AO703" s="40"/>
      <c r="AP703" s="5"/>
      <c r="AR703" s="40"/>
      <c r="AS703" s="5"/>
      <c r="AU703" s="40"/>
      <c r="AV703" s="5"/>
      <c r="AX703" s="40"/>
      <c r="AY703" s="5"/>
      <c r="BA703" s="40"/>
      <c r="BB703" s="5"/>
      <c r="BD703" s="40"/>
      <c r="BE703" s="5"/>
      <c r="BG703" s="40"/>
      <c r="BH703" s="5"/>
      <c r="BJ703" s="40"/>
      <c r="BK703" s="5"/>
      <c r="BM703" s="40"/>
      <c r="BN703" s="5"/>
      <c r="BP703" s="40"/>
      <c r="BQ703" s="5"/>
      <c r="BS703" s="40"/>
      <c r="BT703" s="5"/>
      <c r="BV703" s="40"/>
      <c r="BW703" s="5"/>
      <c r="BY703" s="40"/>
      <c r="BZ703" s="5"/>
      <c r="CB703" s="40"/>
      <c r="CC703" s="5"/>
      <c r="CE703" s="40"/>
      <c r="CF703" s="5"/>
      <c r="CH703" s="40"/>
      <c r="CI703" s="5"/>
      <c r="CK703" s="40"/>
      <c r="CL703" s="5"/>
      <c r="CN703" s="40"/>
      <c r="CO703" s="5"/>
      <c r="CQ703" s="40"/>
      <c r="CR703" s="5"/>
    </row>
    <row r="704">
      <c r="AO704" s="40"/>
      <c r="AP704" s="5"/>
      <c r="AR704" s="40"/>
      <c r="AS704" s="5"/>
      <c r="AU704" s="40"/>
      <c r="AV704" s="5"/>
      <c r="AX704" s="40"/>
      <c r="AY704" s="5"/>
      <c r="BA704" s="40"/>
      <c r="BB704" s="5"/>
      <c r="BD704" s="40"/>
      <c r="BE704" s="5"/>
      <c r="BG704" s="40"/>
      <c r="BH704" s="5"/>
      <c r="BJ704" s="40"/>
      <c r="BK704" s="5"/>
      <c r="BM704" s="40"/>
      <c r="BN704" s="5"/>
      <c r="BP704" s="40"/>
      <c r="BQ704" s="5"/>
      <c r="BS704" s="40"/>
      <c r="BT704" s="5"/>
      <c r="BV704" s="40"/>
      <c r="BW704" s="5"/>
      <c r="BY704" s="40"/>
      <c r="BZ704" s="5"/>
      <c r="CB704" s="40"/>
      <c r="CC704" s="5"/>
      <c r="CE704" s="40"/>
      <c r="CF704" s="5"/>
      <c r="CH704" s="40"/>
      <c r="CI704" s="5"/>
      <c r="CK704" s="40"/>
      <c r="CL704" s="5"/>
      <c r="CN704" s="40"/>
      <c r="CO704" s="5"/>
      <c r="CQ704" s="40"/>
      <c r="CR704" s="5"/>
    </row>
    <row r="705">
      <c r="AO705" s="40"/>
      <c r="AP705" s="5"/>
      <c r="AR705" s="40"/>
      <c r="AS705" s="5"/>
      <c r="AU705" s="40"/>
      <c r="AV705" s="5"/>
      <c r="AX705" s="40"/>
      <c r="AY705" s="5"/>
      <c r="BA705" s="40"/>
      <c r="BB705" s="5"/>
      <c r="BD705" s="40"/>
      <c r="BE705" s="5"/>
      <c r="BG705" s="40"/>
      <c r="BH705" s="5"/>
      <c r="BJ705" s="40"/>
      <c r="BK705" s="5"/>
      <c r="BM705" s="40"/>
      <c r="BN705" s="5"/>
      <c r="BP705" s="40"/>
      <c r="BQ705" s="5"/>
      <c r="BS705" s="40"/>
      <c r="BT705" s="5"/>
      <c r="BV705" s="40"/>
      <c r="BW705" s="5"/>
      <c r="BY705" s="40"/>
      <c r="BZ705" s="5"/>
      <c r="CB705" s="40"/>
      <c r="CC705" s="5"/>
      <c r="CE705" s="40"/>
      <c r="CF705" s="5"/>
      <c r="CH705" s="40"/>
      <c r="CI705" s="5"/>
      <c r="CK705" s="40"/>
      <c r="CL705" s="5"/>
      <c r="CN705" s="40"/>
      <c r="CO705" s="5"/>
      <c r="CQ705" s="40"/>
      <c r="CR705" s="5"/>
    </row>
    <row r="706">
      <c r="AO706" s="40"/>
      <c r="AP706" s="5"/>
      <c r="AR706" s="40"/>
      <c r="AS706" s="5"/>
      <c r="AU706" s="40"/>
      <c r="AV706" s="5"/>
      <c r="AX706" s="40"/>
      <c r="AY706" s="5"/>
      <c r="BA706" s="40"/>
      <c r="BB706" s="5"/>
      <c r="BD706" s="40"/>
      <c r="BE706" s="5"/>
      <c r="BG706" s="40"/>
      <c r="BH706" s="5"/>
      <c r="BJ706" s="40"/>
      <c r="BK706" s="5"/>
      <c r="BM706" s="40"/>
      <c r="BN706" s="5"/>
      <c r="BP706" s="40"/>
      <c r="BQ706" s="5"/>
      <c r="BS706" s="40"/>
      <c r="BT706" s="5"/>
      <c r="BV706" s="40"/>
      <c r="BW706" s="5"/>
      <c r="BY706" s="40"/>
      <c r="BZ706" s="5"/>
      <c r="CB706" s="40"/>
      <c r="CC706" s="5"/>
      <c r="CE706" s="40"/>
      <c r="CF706" s="5"/>
      <c r="CH706" s="40"/>
      <c r="CI706" s="5"/>
      <c r="CK706" s="40"/>
      <c r="CL706" s="5"/>
      <c r="CN706" s="40"/>
      <c r="CO706" s="5"/>
      <c r="CQ706" s="40"/>
      <c r="CR706" s="5"/>
    </row>
    <row r="707">
      <c r="AO707" s="40"/>
      <c r="AP707" s="5"/>
      <c r="AR707" s="40"/>
      <c r="AS707" s="5"/>
      <c r="AU707" s="40"/>
      <c r="AV707" s="5"/>
      <c r="AX707" s="40"/>
      <c r="AY707" s="5"/>
      <c r="BA707" s="40"/>
      <c r="BB707" s="5"/>
      <c r="BD707" s="40"/>
      <c r="BE707" s="5"/>
      <c r="BG707" s="40"/>
      <c r="BH707" s="5"/>
      <c r="BJ707" s="40"/>
      <c r="BK707" s="5"/>
      <c r="BM707" s="40"/>
      <c r="BN707" s="5"/>
      <c r="BP707" s="40"/>
      <c r="BQ707" s="5"/>
      <c r="BS707" s="40"/>
      <c r="BT707" s="5"/>
      <c r="BV707" s="40"/>
      <c r="BW707" s="5"/>
      <c r="BY707" s="40"/>
      <c r="BZ707" s="5"/>
      <c r="CB707" s="40"/>
      <c r="CC707" s="5"/>
      <c r="CE707" s="40"/>
      <c r="CF707" s="5"/>
      <c r="CH707" s="40"/>
      <c r="CI707" s="5"/>
      <c r="CK707" s="40"/>
      <c r="CL707" s="5"/>
      <c r="CN707" s="40"/>
      <c r="CO707" s="5"/>
      <c r="CQ707" s="40"/>
      <c r="CR707" s="5"/>
    </row>
    <row r="708">
      <c r="AO708" s="40"/>
      <c r="AP708" s="5"/>
      <c r="AR708" s="40"/>
      <c r="AS708" s="5"/>
      <c r="AU708" s="40"/>
      <c r="AV708" s="5"/>
      <c r="AX708" s="40"/>
      <c r="AY708" s="5"/>
      <c r="BA708" s="40"/>
      <c r="BB708" s="5"/>
      <c r="BD708" s="40"/>
      <c r="BE708" s="5"/>
      <c r="BG708" s="40"/>
      <c r="BH708" s="5"/>
      <c r="BJ708" s="40"/>
      <c r="BK708" s="5"/>
      <c r="BM708" s="40"/>
      <c r="BN708" s="5"/>
      <c r="BP708" s="40"/>
      <c r="BQ708" s="5"/>
      <c r="BS708" s="40"/>
      <c r="BT708" s="5"/>
      <c r="BV708" s="40"/>
      <c r="BW708" s="5"/>
      <c r="BY708" s="40"/>
      <c r="BZ708" s="5"/>
      <c r="CB708" s="40"/>
      <c r="CC708" s="5"/>
      <c r="CE708" s="40"/>
      <c r="CF708" s="5"/>
      <c r="CH708" s="40"/>
      <c r="CI708" s="5"/>
      <c r="CK708" s="40"/>
      <c r="CL708" s="5"/>
      <c r="CN708" s="40"/>
      <c r="CO708" s="5"/>
      <c r="CQ708" s="40"/>
      <c r="CR708" s="5"/>
    </row>
    <row r="709">
      <c r="AO709" s="40"/>
      <c r="AP709" s="5"/>
      <c r="AR709" s="40"/>
      <c r="AS709" s="5"/>
      <c r="AU709" s="40"/>
      <c r="AV709" s="5"/>
      <c r="AX709" s="40"/>
      <c r="AY709" s="5"/>
      <c r="BA709" s="40"/>
      <c r="BB709" s="5"/>
      <c r="BD709" s="40"/>
      <c r="BE709" s="5"/>
      <c r="BG709" s="40"/>
      <c r="BH709" s="5"/>
      <c r="BJ709" s="40"/>
      <c r="BK709" s="5"/>
      <c r="BM709" s="40"/>
      <c r="BN709" s="5"/>
      <c r="BP709" s="40"/>
      <c r="BQ709" s="5"/>
      <c r="BS709" s="40"/>
      <c r="BT709" s="5"/>
      <c r="BV709" s="40"/>
      <c r="BW709" s="5"/>
      <c r="BY709" s="40"/>
      <c r="BZ709" s="5"/>
      <c r="CB709" s="40"/>
      <c r="CC709" s="5"/>
      <c r="CE709" s="40"/>
      <c r="CF709" s="5"/>
      <c r="CH709" s="40"/>
      <c r="CI709" s="5"/>
      <c r="CK709" s="40"/>
      <c r="CL709" s="5"/>
      <c r="CN709" s="40"/>
      <c r="CO709" s="5"/>
      <c r="CQ709" s="40"/>
      <c r="CR709" s="5"/>
    </row>
    <row r="710">
      <c r="AO710" s="40"/>
      <c r="AP710" s="5"/>
      <c r="AR710" s="40"/>
      <c r="AS710" s="5"/>
      <c r="AU710" s="40"/>
      <c r="AV710" s="5"/>
      <c r="AX710" s="40"/>
      <c r="AY710" s="5"/>
      <c r="BA710" s="40"/>
      <c r="BB710" s="5"/>
      <c r="BD710" s="40"/>
      <c r="BE710" s="5"/>
      <c r="BG710" s="40"/>
      <c r="BH710" s="5"/>
      <c r="BJ710" s="40"/>
      <c r="BK710" s="5"/>
      <c r="BM710" s="40"/>
      <c r="BN710" s="5"/>
      <c r="BP710" s="40"/>
      <c r="BQ710" s="5"/>
      <c r="BS710" s="40"/>
      <c r="BT710" s="5"/>
      <c r="BV710" s="40"/>
      <c r="BW710" s="5"/>
      <c r="BY710" s="40"/>
      <c r="BZ710" s="5"/>
      <c r="CB710" s="40"/>
      <c r="CC710" s="5"/>
      <c r="CE710" s="40"/>
      <c r="CF710" s="5"/>
      <c r="CH710" s="40"/>
      <c r="CI710" s="5"/>
      <c r="CK710" s="40"/>
      <c r="CL710" s="5"/>
      <c r="CN710" s="40"/>
      <c r="CO710" s="5"/>
      <c r="CQ710" s="40"/>
      <c r="CR710" s="5"/>
    </row>
    <row r="711">
      <c r="AO711" s="40"/>
      <c r="AP711" s="5"/>
      <c r="AR711" s="40"/>
      <c r="AS711" s="5"/>
      <c r="AU711" s="40"/>
      <c r="AV711" s="5"/>
      <c r="AX711" s="40"/>
      <c r="AY711" s="5"/>
      <c r="BA711" s="40"/>
      <c r="BB711" s="5"/>
      <c r="BD711" s="40"/>
      <c r="BE711" s="5"/>
      <c r="BG711" s="40"/>
      <c r="BH711" s="5"/>
      <c r="BJ711" s="40"/>
      <c r="BK711" s="5"/>
      <c r="BM711" s="40"/>
      <c r="BN711" s="5"/>
      <c r="BP711" s="40"/>
      <c r="BQ711" s="5"/>
      <c r="BS711" s="40"/>
      <c r="BT711" s="5"/>
      <c r="BV711" s="40"/>
      <c r="BW711" s="5"/>
      <c r="BY711" s="40"/>
      <c r="BZ711" s="5"/>
      <c r="CB711" s="40"/>
      <c r="CC711" s="5"/>
      <c r="CE711" s="40"/>
      <c r="CF711" s="5"/>
      <c r="CH711" s="40"/>
      <c r="CI711" s="5"/>
      <c r="CK711" s="40"/>
      <c r="CL711" s="5"/>
      <c r="CN711" s="40"/>
      <c r="CO711" s="5"/>
      <c r="CQ711" s="40"/>
      <c r="CR711" s="5"/>
    </row>
    <row r="712">
      <c r="AO712" s="40"/>
      <c r="AP712" s="5"/>
      <c r="AR712" s="40"/>
      <c r="AS712" s="5"/>
      <c r="AU712" s="40"/>
      <c r="AV712" s="5"/>
      <c r="AX712" s="40"/>
      <c r="AY712" s="5"/>
      <c r="BA712" s="40"/>
      <c r="BB712" s="5"/>
      <c r="BD712" s="40"/>
      <c r="BE712" s="5"/>
      <c r="BG712" s="40"/>
      <c r="BH712" s="5"/>
      <c r="BJ712" s="40"/>
      <c r="BK712" s="5"/>
      <c r="BM712" s="40"/>
      <c r="BN712" s="5"/>
      <c r="BP712" s="40"/>
      <c r="BQ712" s="5"/>
      <c r="BS712" s="40"/>
      <c r="BT712" s="5"/>
      <c r="BV712" s="40"/>
      <c r="BW712" s="5"/>
      <c r="BY712" s="40"/>
      <c r="BZ712" s="5"/>
      <c r="CB712" s="40"/>
      <c r="CC712" s="5"/>
      <c r="CE712" s="40"/>
      <c r="CF712" s="5"/>
      <c r="CH712" s="40"/>
      <c r="CI712" s="5"/>
      <c r="CK712" s="40"/>
      <c r="CL712" s="5"/>
      <c r="CN712" s="40"/>
      <c r="CO712" s="5"/>
      <c r="CQ712" s="40"/>
      <c r="CR712" s="5"/>
    </row>
    <row r="713">
      <c r="AO713" s="40"/>
      <c r="AP713" s="5"/>
      <c r="AR713" s="40"/>
      <c r="AS713" s="5"/>
      <c r="AU713" s="40"/>
      <c r="AV713" s="5"/>
      <c r="AX713" s="40"/>
      <c r="AY713" s="5"/>
      <c r="BA713" s="40"/>
      <c r="BB713" s="5"/>
      <c r="BD713" s="40"/>
      <c r="BE713" s="5"/>
      <c r="BG713" s="40"/>
      <c r="BH713" s="5"/>
      <c r="BJ713" s="40"/>
      <c r="BK713" s="5"/>
      <c r="BM713" s="40"/>
      <c r="BN713" s="5"/>
      <c r="BP713" s="40"/>
      <c r="BQ713" s="5"/>
      <c r="BS713" s="40"/>
      <c r="BT713" s="5"/>
      <c r="BV713" s="40"/>
      <c r="BW713" s="5"/>
      <c r="BY713" s="40"/>
      <c r="BZ713" s="5"/>
      <c r="CB713" s="40"/>
      <c r="CC713" s="5"/>
      <c r="CE713" s="40"/>
      <c r="CF713" s="5"/>
      <c r="CH713" s="40"/>
      <c r="CI713" s="5"/>
      <c r="CK713" s="40"/>
      <c r="CL713" s="5"/>
      <c r="CN713" s="40"/>
      <c r="CO713" s="5"/>
      <c r="CQ713" s="40"/>
      <c r="CR713" s="5"/>
    </row>
    <row r="714">
      <c r="AO714" s="40"/>
      <c r="AP714" s="5"/>
      <c r="AR714" s="40"/>
      <c r="AS714" s="5"/>
      <c r="AU714" s="40"/>
      <c r="AV714" s="5"/>
      <c r="AX714" s="40"/>
      <c r="AY714" s="5"/>
      <c r="BA714" s="40"/>
      <c r="BB714" s="5"/>
      <c r="BD714" s="40"/>
      <c r="BE714" s="5"/>
      <c r="BG714" s="40"/>
      <c r="BH714" s="5"/>
      <c r="BJ714" s="40"/>
      <c r="BK714" s="5"/>
      <c r="BM714" s="40"/>
      <c r="BN714" s="5"/>
      <c r="BP714" s="40"/>
      <c r="BQ714" s="5"/>
      <c r="BS714" s="40"/>
      <c r="BT714" s="5"/>
      <c r="BV714" s="40"/>
      <c r="BW714" s="5"/>
      <c r="BY714" s="40"/>
      <c r="BZ714" s="5"/>
      <c r="CB714" s="40"/>
      <c r="CC714" s="5"/>
      <c r="CE714" s="40"/>
      <c r="CF714" s="5"/>
      <c r="CH714" s="40"/>
      <c r="CI714" s="5"/>
      <c r="CK714" s="40"/>
      <c r="CL714" s="5"/>
      <c r="CN714" s="40"/>
      <c r="CO714" s="5"/>
      <c r="CQ714" s="40"/>
      <c r="CR714" s="5"/>
    </row>
    <row r="715">
      <c r="AO715" s="40"/>
      <c r="AP715" s="5"/>
      <c r="AR715" s="40"/>
      <c r="AS715" s="5"/>
      <c r="AU715" s="40"/>
      <c r="AV715" s="5"/>
      <c r="AX715" s="40"/>
      <c r="AY715" s="5"/>
      <c r="BA715" s="40"/>
      <c r="BB715" s="5"/>
      <c r="BD715" s="40"/>
      <c r="BE715" s="5"/>
      <c r="BG715" s="40"/>
      <c r="BH715" s="5"/>
      <c r="BJ715" s="40"/>
      <c r="BK715" s="5"/>
      <c r="BM715" s="40"/>
      <c r="BN715" s="5"/>
      <c r="BP715" s="40"/>
      <c r="BQ715" s="5"/>
      <c r="BS715" s="40"/>
      <c r="BT715" s="5"/>
      <c r="BV715" s="40"/>
      <c r="BW715" s="5"/>
      <c r="BY715" s="40"/>
      <c r="BZ715" s="5"/>
      <c r="CB715" s="40"/>
      <c r="CC715" s="5"/>
      <c r="CE715" s="40"/>
      <c r="CF715" s="5"/>
      <c r="CH715" s="40"/>
      <c r="CI715" s="5"/>
      <c r="CK715" s="40"/>
      <c r="CL715" s="5"/>
      <c r="CN715" s="40"/>
      <c r="CO715" s="5"/>
      <c r="CQ715" s="40"/>
      <c r="CR715" s="5"/>
    </row>
    <row r="716">
      <c r="AO716" s="40"/>
      <c r="AP716" s="5"/>
      <c r="AR716" s="40"/>
      <c r="AS716" s="5"/>
      <c r="AU716" s="40"/>
      <c r="AV716" s="5"/>
      <c r="AX716" s="40"/>
      <c r="AY716" s="5"/>
      <c r="BA716" s="40"/>
      <c r="BB716" s="5"/>
      <c r="BD716" s="40"/>
      <c r="BE716" s="5"/>
      <c r="BG716" s="40"/>
      <c r="BH716" s="5"/>
      <c r="BJ716" s="40"/>
      <c r="BK716" s="5"/>
      <c r="BM716" s="40"/>
      <c r="BN716" s="5"/>
      <c r="BP716" s="40"/>
      <c r="BQ716" s="5"/>
      <c r="BS716" s="40"/>
      <c r="BT716" s="5"/>
      <c r="BV716" s="40"/>
      <c r="BW716" s="5"/>
      <c r="BY716" s="40"/>
      <c r="BZ716" s="5"/>
      <c r="CB716" s="40"/>
      <c r="CC716" s="5"/>
      <c r="CE716" s="40"/>
      <c r="CF716" s="5"/>
      <c r="CH716" s="40"/>
      <c r="CI716" s="5"/>
      <c r="CK716" s="40"/>
      <c r="CL716" s="5"/>
      <c r="CN716" s="40"/>
      <c r="CO716" s="5"/>
      <c r="CQ716" s="40"/>
      <c r="CR716" s="5"/>
    </row>
    <row r="717">
      <c r="AO717" s="40"/>
      <c r="AP717" s="5"/>
      <c r="AR717" s="40"/>
      <c r="AS717" s="5"/>
      <c r="AU717" s="40"/>
      <c r="AV717" s="5"/>
      <c r="AX717" s="40"/>
      <c r="AY717" s="5"/>
      <c r="BA717" s="40"/>
      <c r="BB717" s="5"/>
      <c r="BD717" s="40"/>
      <c r="BE717" s="5"/>
      <c r="BG717" s="40"/>
      <c r="BH717" s="5"/>
      <c r="BJ717" s="40"/>
      <c r="BK717" s="5"/>
      <c r="BM717" s="40"/>
      <c r="BN717" s="5"/>
      <c r="BP717" s="40"/>
      <c r="BQ717" s="5"/>
      <c r="BS717" s="40"/>
      <c r="BT717" s="5"/>
      <c r="BV717" s="40"/>
      <c r="BW717" s="5"/>
      <c r="BY717" s="40"/>
      <c r="BZ717" s="5"/>
      <c r="CB717" s="40"/>
      <c r="CC717" s="5"/>
      <c r="CE717" s="40"/>
      <c r="CF717" s="5"/>
      <c r="CH717" s="40"/>
      <c r="CI717" s="5"/>
      <c r="CK717" s="40"/>
      <c r="CL717" s="5"/>
      <c r="CN717" s="40"/>
      <c r="CO717" s="5"/>
      <c r="CQ717" s="40"/>
      <c r="CR717" s="5"/>
    </row>
    <row r="718">
      <c r="AO718" s="40"/>
      <c r="AP718" s="5"/>
      <c r="AR718" s="40"/>
      <c r="AS718" s="5"/>
      <c r="AU718" s="40"/>
      <c r="AV718" s="5"/>
      <c r="AX718" s="40"/>
      <c r="AY718" s="5"/>
      <c r="BA718" s="40"/>
      <c r="BB718" s="5"/>
      <c r="BD718" s="40"/>
      <c r="BE718" s="5"/>
      <c r="BG718" s="40"/>
      <c r="BH718" s="5"/>
      <c r="BJ718" s="40"/>
      <c r="BK718" s="5"/>
      <c r="BM718" s="40"/>
      <c r="BN718" s="5"/>
      <c r="BP718" s="40"/>
      <c r="BQ718" s="5"/>
      <c r="BS718" s="40"/>
      <c r="BT718" s="5"/>
      <c r="BV718" s="40"/>
      <c r="BW718" s="5"/>
      <c r="BY718" s="40"/>
      <c r="BZ718" s="5"/>
      <c r="CB718" s="40"/>
      <c r="CC718" s="5"/>
      <c r="CE718" s="40"/>
      <c r="CF718" s="5"/>
      <c r="CH718" s="40"/>
      <c r="CI718" s="5"/>
      <c r="CK718" s="40"/>
      <c r="CL718" s="5"/>
      <c r="CN718" s="40"/>
      <c r="CO718" s="5"/>
      <c r="CQ718" s="40"/>
      <c r="CR718" s="5"/>
    </row>
    <row r="719">
      <c r="AO719" s="40"/>
      <c r="AP719" s="5"/>
      <c r="AR719" s="40"/>
      <c r="AS719" s="5"/>
      <c r="AU719" s="40"/>
      <c r="AV719" s="5"/>
      <c r="AX719" s="40"/>
      <c r="AY719" s="5"/>
      <c r="BA719" s="40"/>
      <c r="BB719" s="5"/>
      <c r="BD719" s="40"/>
      <c r="BE719" s="5"/>
      <c r="BG719" s="40"/>
      <c r="BH719" s="5"/>
      <c r="BJ719" s="40"/>
      <c r="BK719" s="5"/>
      <c r="BM719" s="40"/>
      <c r="BN719" s="5"/>
      <c r="BP719" s="40"/>
      <c r="BQ719" s="5"/>
      <c r="BS719" s="40"/>
      <c r="BT719" s="5"/>
      <c r="BV719" s="40"/>
      <c r="BW719" s="5"/>
      <c r="BY719" s="40"/>
      <c r="BZ719" s="5"/>
      <c r="CB719" s="40"/>
      <c r="CC719" s="5"/>
      <c r="CE719" s="40"/>
      <c r="CF719" s="5"/>
      <c r="CH719" s="40"/>
      <c r="CI719" s="5"/>
      <c r="CK719" s="40"/>
      <c r="CL719" s="5"/>
      <c r="CN719" s="40"/>
      <c r="CO719" s="5"/>
      <c r="CQ719" s="40"/>
      <c r="CR719" s="5"/>
    </row>
    <row r="720">
      <c r="AO720" s="40"/>
      <c r="AP720" s="5"/>
      <c r="AR720" s="40"/>
      <c r="AS720" s="5"/>
      <c r="AU720" s="40"/>
      <c r="AV720" s="5"/>
      <c r="AX720" s="40"/>
      <c r="AY720" s="5"/>
      <c r="BA720" s="40"/>
      <c r="BB720" s="5"/>
      <c r="BD720" s="40"/>
      <c r="BE720" s="5"/>
      <c r="BG720" s="40"/>
      <c r="BH720" s="5"/>
      <c r="BJ720" s="40"/>
      <c r="BK720" s="5"/>
      <c r="BM720" s="40"/>
      <c r="BN720" s="5"/>
      <c r="BP720" s="40"/>
      <c r="BQ720" s="5"/>
      <c r="BS720" s="40"/>
      <c r="BT720" s="5"/>
      <c r="BV720" s="40"/>
      <c r="BW720" s="5"/>
      <c r="BY720" s="40"/>
      <c r="BZ720" s="5"/>
      <c r="CB720" s="40"/>
      <c r="CC720" s="5"/>
      <c r="CE720" s="40"/>
      <c r="CF720" s="5"/>
      <c r="CH720" s="40"/>
      <c r="CI720" s="5"/>
      <c r="CK720" s="40"/>
      <c r="CL720" s="5"/>
      <c r="CN720" s="40"/>
      <c r="CO720" s="5"/>
      <c r="CQ720" s="40"/>
      <c r="CR720" s="5"/>
    </row>
    <row r="721">
      <c r="AO721" s="40"/>
      <c r="AP721" s="5"/>
      <c r="AR721" s="40"/>
      <c r="AS721" s="5"/>
      <c r="AU721" s="40"/>
      <c r="AV721" s="5"/>
      <c r="AX721" s="40"/>
      <c r="AY721" s="5"/>
      <c r="BA721" s="40"/>
      <c r="BB721" s="5"/>
      <c r="BD721" s="40"/>
      <c r="BE721" s="5"/>
      <c r="BG721" s="40"/>
      <c r="BH721" s="5"/>
      <c r="BJ721" s="40"/>
      <c r="BK721" s="5"/>
      <c r="BM721" s="40"/>
      <c r="BN721" s="5"/>
      <c r="BP721" s="40"/>
      <c r="BQ721" s="5"/>
      <c r="BS721" s="40"/>
      <c r="BT721" s="5"/>
      <c r="BV721" s="40"/>
      <c r="BW721" s="5"/>
      <c r="BY721" s="40"/>
      <c r="BZ721" s="5"/>
      <c r="CB721" s="40"/>
      <c r="CC721" s="5"/>
      <c r="CE721" s="40"/>
      <c r="CF721" s="5"/>
      <c r="CH721" s="40"/>
      <c r="CI721" s="5"/>
      <c r="CK721" s="40"/>
      <c r="CL721" s="5"/>
      <c r="CN721" s="40"/>
      <c r="CO721" s="5"/>
      <c r="CQ721" s="40"/>
      <c r="CR721" s="5"/>
    </row>
    <row r="722">
      <c r="AO722" s="40"/>
      <c r="AP722" s="5"/>
      <c r="AR722" s="40"/>
      <c r="AS722" s="5"/>
      <c r="AU722" s="40"/>
      <c r="AV722" s="5"/>
      <c r="AX722" s="40"/>
      <c r="AY722" s="5"/>
      <c r="BA722" s="40"/>
      <c r="BB722" s="5"/>
      <c r="BD722" s="40"/>
      <c r="BE722" s="5"/>
      <c r="BG722" s="40"/>
      <c r="BH722" s="5"/>
      <c r="BJ722" s="40"/>
      <c r="BK722" s="5"/>
      <c r="BM722" s="40"/>
      <c r="BN722" s="5"/>
      <c r="BP722" s="40"/>
      <c r="BQ722" s="5"/>
      <c r="BS722" s="40"/>
      <c r="BT722" s="5"/>
      <c r="BV722" s="40"/>
      <c r="BW722" s="5"/>
      <c r="BY722" s="40"/>
      <c r="BZ722" s="5"/>
      <c r="CB722" s="40"/>
      <c r="CC722" s="5"/>
      <c r="CE722" s="40"/>
      <c r="CF722" s="5"/>
      <c r="CH722" s="40"/>
      <c r="CI722" s="5"/>
      <c r="CK722" s="40"/>
      <c r="CL722" s="5"/>
      <c r="CN722" s="40"/>
      <c r="CO722" s="5"/>
      <c r="CQ722" s="40"/>
      <c r="CR722" s="5"/>
    </row>
    <row r="723">
      <c r="AO723" s="40"/>
      <c r="AP723" s="5"/>
      <c r="AR723" s="40"/>
      <c r="AS723" s="5"/>
      <c r="AU723" s="40"/>
      <c r="AV723" s="5"/>
      <c r="AX723" s="40"/>
      <c r="AY723" s="5"/>
      <c r="BA723" s="40"/>
      <c r="BB723" s="5"/>
      <c r="BD723" s="40"/>
      <c r="BE723" s="5"/>
      <c r="BG723" s="40"/>
      <c r="BH723" s="5"/>
      <c r="BJ723" s="40"/>
      <c r="BK723" s="5"/>
      <c r="BM723" s="40"/>
      <c r="BN723" s="5"/>
      <c r="BP723" s="40"/>
      <c r="BQ723" s="5"/>
      <c r="BS723" s="40"/>
      <c r="BT723" s="5"/>
      <c r="BV723" s="40"/>
      <c r="BW723" s="5"/>
      <c r="BY723" s="40"/>
      <c r="BZ723" s="5"/>
      <c r="CB723" s="40"/>
      <c r="CC723" s="5"/>
      <c r="CE723" s="40"/>
      <c r="CF723" s="5"/>
      <c r="CH723" s="40"/>
      <c r="CI723" s="5"/>
      <c r="CK723" s="40"/>
      <c r="CL723" s="5"/>
      <c r="CN723" s="40"/>
      <c r="CO723" s="5"/>
      <c r="CQ723" s="40"/>
      <c r="CR723" s="5"/>
    </row>
    <row r="724">
      <c r="AO724" s="40"/>
      <c r="AP724" s="5"/>
      <c r="AR724" s="40"/>
      <c r="AS724" s="5"/>
      <c r="AU724" s="40"/>
      <c r="AV724" s="5"/>
      <c r="AX724" s="40"/>
      <c r="AY724" s="5"/>
      <c r="BA724" s="40"/>
      <c r="BB724" s="5"/>
      <c r="BD724" s="40"/>
      <c r="BE724" s="5"/>
      <c r="BG724" s="40"/>
      <c r="BH724" s="5"/>
      <c r="BJ724" s="40"/>
      <c r="BK724" s="5"/>
      <c r="BM724" s="40"/>
      <c r="BN724" s="5"/>
      <c r="BP724" s="40"/>
      <c r="BQ724" s="5"/>
      <c r="BS724" s="40"/>
      <c r="BT724" s="5"/>
      <c r="BV724" s="40"/>
      <c r="BW724" s="5"/>
      <c r="BY724" s="40"/>
      <c r="BZ724" s="5"/>
      <c r="CB724" s="40"/>
      <c r="CC724" s="5"/>
      <c r="CE724" s="40"/>
      <c r="CF724" s="5"/>
      <c r="CH724" s="40"/>
      <c r="CI724" s="5"/>
      <c r="CK724" s="40"/>
      <c r="CL724" s="5"/>
      <c r="CN724" s="40"/>
      <c r="CO724" s="5"/>
      <c r="CQ724" s="40"/>
      <c r="CR724" s="5"/>
    </row>
    <row r="725">
      <c r="AO725" s="40"/>
      <c r="AP725" s="5"/>
      <c r="AR725" s="40"/>
      <c r="AS725" s="5"/>
      <c r="AU725" s="40"/>
      <c r="AV725" s="5"/>
      <c r="AX725" s="40"/>
      <c r="AY725" s="5"/>
      <c r="BA725" s="40"/>
      <c r="BB725" s="5"/>
      <c r="BD725" s="40"/>
      <c r="BE725" s="5"/>
      <c r="BG725" s="40"/>
      <c r="BH725" s="5"/>
      <c r="BJ725" s="40"/>
      <c r="BK725" s="5"/>
      <c r="BM725" s="40"/>
      <c r="BN725" s="5"/>
      <c r="BP725" s="40"/>
      <c r="BQ725" s="5"/>
      <c r="BS725" s="40"/>
      <c r="BT725" s="5"/>
      <c r="BV725" s="40"/>
      <c r="BW725" s="5"/>
      <c r="BY725" s="40"/>
      <c r="BZ725" s="5"/>
      <c r="CB725" s="40"/>
      <c r="CC725" s="5"/>
      <c r="CE725" s="40"/>
      <c r="CF725" s="5"/>
      <c r="CH725" s="40"/>
      <c r="CI725" s="5"/>
      <c r="CK725" s="40"/>
      <c r="CL725" s="5"/>
      <c r="CN725" s="40"/>
      <c r="CO725" s="5"/>
      <c r="CQ725" s="40"/>
      <c r="CR725" s="5"/>
    </row>
    <row r="726">
      <c r="AO726" s="40"/>
      <c r="AP726" s="5"/>
      <c r="AR726" s="40"/>
      <c r="AS726" s="5"/>
      <c r="AU726" s="40"/>
      <c r="AV726" s="5"/>
      <c r="AX726" s="40"/>
      <c r="AY726" s="5"/>
      <c r="BA726" s="40"/>
      <c r="BB726" s="5"/>
      <c r="BD726" s="40"/>
      <c r="BE726" s="5"/>
      <c r="BG726" s="40"/>
      <c r="BH726" s="5"/>
      <c r="BJ726" s="40"/>
      <c r="BK726" s="5"/>
      <c r="BM726" s="40"/>
      <c r="BN726" s="5"/>
      <c r="BP726" s="40"/>
      <c r="BQ726" s="5"/>
      <c r="BS726" s="40"/>
      <c r="BT726" s="5"/>
      <c r="BV726" s="40"/>
      <c r="BW726" s="5"/>
      <c r="BY726" s="40"/>
      <c r="BZ726" s="5"/>
      <c r="CB726" s="40"/>
      <c r="CC726" s="5"/>
      <c r="CE726" s="40"/>
      <c r="CF726" s="5"/>
      <c r="CH726" s="40"/>
      <c r="CI726" s="5"/>
      <c r="CK726" s="40"/>
      <c r="CL726" s="5"/>
      <c r="CN726" s="40"/>
      <c r="CO726" s="5"/>
      <c r="CQ726" s="40"/>
      <c r="CR726" s="5"/>
    </row>
    <row r="727">
      <c r="AO727" s="40"/>
      <c r="AP727" s="5"/>
      <c r="AR727" s="40"/>
      <c r="AS727" s="5"/>
      <c r="AU727" s="40"/>
      <c r="AV727" s="5"/>
      <c r="AX727" s="40"/>
      <c r="AY727" s="5"/>
      <c r="BA727" s="40"/>
      <c r="BB727" s="5"/>
      <c r="BD727" s="40"/>
      <c r="BE727" s="5"/>
      <c r="BG727" s="40"/>
      <c r="BH727" s="5"/>
      <c r="BJ727" s="40"/>
      <c r="BK727" s="5"/>
      <c r="BM727" s="40"/>
      <c r="BN727" s="5"/>
      <c r="BP727" s="40"/>
      <c r="BQ727" s="5"/>
      <c r="BS727" s="40"/>
      <c r="BT727" s="5"/>
      <c r="BV727" s="40"/>
      <c r="BW727" s="5"/>
      <c r="BY727" s="40"/>
      <c r="BZ727" s="5"/>
      <c r="CB727" s="40"/>
      <c r="CC727" s="5"/>
      <c r="CE727" s="40"/>
      <c r="CF727" s="5"/>
      <c r="CH727" s="40"/>
      <c r="CI727" s="5"/>
      <c r="CK727" s="40"/>
      <c r="CL727" s="5"/>
      <c r="CN727" s="40"/>
      <c r="CO727" s="5"/>
      <c r="CQ727" s="40"/>
      <c r="CR727" s="5"/>
    </row>
    <row r="728">
      <c r="AO728" s="40"/>
      <c r="AP728" s="5"/>
      <c r="AR728" s="40"/>
      <c r="AS728" s="5"/>
      <c r="AU728" s="40"/>
      <c r="AV728" s="5"/>
      <c r="AX728" s="40"/>
      <c r="AY728" s="5"/>
      <c r="BA728" s="40"/>
      <c r="BB728" s="5"/>
      <c r="BD728" s="40"/>
      <c r="BE728" s="5"/>
      <c r="BG728" s="40"/>
      <c r="BH728" s="5"/>
      <c r="BJ728" s="40"/>
      <c r="BK728" s="5"/>
      <c r="BM728" s="40"/>
      <c r="BN728" s="5"/>
      <c r="BP728" s="40"/>
      <c r="BQ728" s="5"/>
      <c r="BS728" s="40"/>
      <c r="BT728" s="5"/>
      <c r="BV728" s="40"/>
      <c r="BW728" s="5"/>
      <c r="BY728" s="40"/>
      <c r="BZ728" s="5"/>
      <c r="CB728" s="40"/>
      <c r="CC728" s="5"/>
      <c r="CE728" s="40"/>
      <c r="CF728" s="5"/>
      <c r="CH728" s="40"/>
      <c r="CI728" s="5"/>
      <c r="CK728" s="40"/>
      <c r="CL728" s="5"/>
      <c r="CN728" s="40"/>
      <c r="CO728" s="5"/>
      <c r="CQ728" s="40"/>
      <c r="CR728" s="5"/>
    </row>
    <row r="729">
      <c r="AO729" s="40"/>
      <c r="AP729" s="5"/>
      <c r="AR729" s="40"/>
      <c r="AS729" s="5"/>
      <c r="AU729" s="40"/>
      <c r="AV729" s="5"/>
      <c r="AX729" s="40"/>
      <c r="AY729" s="5"/>
      <c r="BA729" s="40"/>
      <c r="BB729" s="5"/>
      <c r="BD729" s="40"/>
      <c r="BE729" s="5"/>
      <c r="BG729" s="40"/>
      <c r="BH729" s="5"/>
      <c r="BJ729" s="40"/>
      <c r="BK729" s="5"/>
      <c r="BM729" s="40"/>
      <c r="BN729" s="5"/>
      <c r="BP729" s="40"/>
      <c r="BQ729" s="5"/>
      <c r="BS729" s="40"/>
      <c r="BT729" s="5"/>
      <c r="BV729" s="40"/>
      <c r="BW729" s="5"/>
      <c r="BY729" s="40"/>
      <c r="BZ729" s="5"/>
      <c r="CB729" s="40"/>
      <c r="CC729" s="5"/>
      <c r="CE729" s="40"/>
      <c r="CF729" s="5"/>
      <c r="CH729" s="40"/>
      <c r="CI729" s="5"/>
      <c r="CK729" s="40"/>
      <c r="CL729" s="5"/>
      <c r="CN729" s="40"/>
      <c r="CO729" s="5"/>
      <c r="CQ729" s="40"/>
      <c r="CR729" s="5"/>
    </row>
    <row r="730">
      <c r="AO730" s="40"/>
      <c r="AP730" s="5"/>
      <c r="AR730" s="40"/>
      <c r="AS730" s="5"/>
      <c r="AU730" s="40"/>
      <c r="AV730" s="5"/>
      <c r="AX730" s="40"/>
      <c r="AY730" s="5"/>
      <c r="BA730" s="40"/>
      <c r="BB730" s="5"/>
      <c r="BD730" s="40"/>
      <c r="BE730" s="5"/>
      <c r="BG730" s="40"/>
      <c r="BH730" s="5"/>
      <c r="BJ730" s="40"/>
      <c r="BK730" s="5"/>
      <c r="BM730" s="40"/>
      <c r="BN730" s="5"/>
      <c r="BP730" s="40"/>
      <c r="BQ730" s="5"/>
      <c r="BS730" s="40"/>
      <c r="BT730" s="5"/>
      <c r="BV730" s="40"/>
      <c r="BW730" s="5"/>
      <c r="BY730" s="40"/>
      <c r="BZ730" s="5"/>
      <c r="CB730" s="40"/>
      <c r="CC730" s="5"/>
      <c r="CE730" s="40"/>
      <c r="CF730" s="5"/>
      <c r="CH730" s="40"/>
      <c r="CI730" s="5"/>
      <c r="CK730" s="40"/>
      <c r="CL730" s="5"/>
      <c r="CN730" s="40"/>
      <c r="CO730" s="5"/>
      <c r="CQ730" s="40"/>
      <c r="CR730" s="5"/>
    </row>
    <row r="731">
      <c r="AO731" s="40"/>
      <c r="AP731" s="5"/>
      <c r="AR731" s="40"/>
      <c r="AS731" s="5"/>
      <c r="AU731" s="40"/>
      <c r="AV731" s="5"/>
      <c r="AX731" s="40"/>
      <c r="AY731" s="5"/>
      <c r="BA731" s="40"/>
      <c r="BB731" s="5"/>
      <c r="BD731" s="40"/>
      <c r="BE731" s="5"/>
      <c r="BG731" s="40"/>
      <c r="BH731" s="5"/>
      <c r="BJ731" s="40"/>
      <c r="BK731" s="5"/>
      <c r="BM731" s="40"/>
      <c r="BN731" s="5"/>
      <c r="BP731" s="40"/>
      <c r="BQ731" s="5"/>
      <c r="BS731" s="40"/>
      <c r="BT731" s="5"/>
      <c r="BV731" s="40"/>
      <c r="BW731" s="5"/>
      <c r="BY731" s="40"/>
      <c r="BZ731" s="5"/>
      <c r="CB731" s="40"/>
      <c r="CC731" s="5"/>
      <c r="CE731" s="40"/>
      <c r="CF731" s="5"/>
      <c r="CH731" s="40"/>
      <c r="CI731" s="5"/>
      <c r="CK731" s="40"/>
      <c r="CL731" s="5"/>
      <c r="CN731" s="40"/>
      <c r="CO731" s="5"/>
      <c r="CQ731" s="40"/>
      <c r="CR731" s="5"/>
    </row>
    <row r="732">
      <c r="AO732" s="40"/>
      <c r="AP732" s="5"/>
      <c r="AR732" s="40"/>
      <c r="AS732" s="5"/>
      <c r="AU732" s="40"/>
      <c r="AV732" s="5"/>
      <c r="AX732" s="40"/>
      <c r="AY732" s="5"/>
      <c r="BA732" s="40"/>
      <c r="BB732" s="5"/>
      <c r="BD732" s="40"/>
      <c r="BE732" s="5"/>
      <c r="BG732" s="40"/>
      <c r="BH732" s="5"/>
      <c r="BJ732" s="40"/>
      <c r="BK732" s="5"/>
      <c r="BM732" s="40"/>
      <c r="BN732" s="5"/>
      <c r="BP732" s="40"/>
      <c r="BQ732" s="5"/>
      <c r="BS732" s="40"/>
      <c r="BT732" s="5"/>
      <c r="BV732" s="40"/>
      <c r="BW732" s="5"/>
      <c r="BY732" s="40"/>
      <c r="BZ732" s="5"/>
      <c r="CB732" s="40"/>
      <c r="CC732" s="5"/>
      <c r="CE732" s="40"/>
      <c r="CF732" s="5"/>
      <c r="CH732" s="40"/>
      <c r="CI732" s="5"/>
      <c r="CK732" s="40"/>
      <c r="CL732" s="5"/>
      <c r="CN732" s="40"/>
      <c r="CO732" s="5"/>
      <c r="CQ732" s="40"/>
      <c r="CR732" s="5"/>
    </row>
    <row r="733">
      <c r="AO733" s="40"/>
      <c r="AP733" s="5"/>
      <c r="AR733" s="40"/>
      <c r="AS733" s="5"/>
      <c r="AU733" s="40"/>
      <c r="AV733" s="5"/>
      <c r="AX733" s="40"/>
      <c r="AY733" s="5"/>
      <c r="BA733" s="40"/>
      <c r="BB733" s="5"/>
      <c r="BD733" s="40"/>
      <c r="BE733" s="5"/>
      <c r="BG733" s="40"/>
      <c r="BH733" s="5"/>
      <c r="BJ733" s="40"/>
      <c r="BK733" s="5"/>
      <c r="BM733" s="40"/>
      <c r="BN733" s="5"/>
      <c r="BP733" s="40"/>
      <c r="BQ733" s="5"/>
      <c r="BS733" s="40"/>
      <c r="BT733" s="5"/>
      <c r="BV733" s="40"/>
      <c r="BW733" s="5"/>
      <c r="BY733" s="40"/>
      <c r="BZ733" s="5"/>
      <c r="CB733" s="40"/>
      <c r="CC733" s="5"/>
      <c r="CE733" s="40"/>
      <c r="CF733" s="5"/>
      <c r="CH733" s="40"/>
      <c r="CI733" s="5"/>
      <c r="CK733" s="40"/>
      <c r="CL733" s="5"/>
      <c r="CN733" s="40"/>
      <c r="CO733" s="5"/>
      <c r="CQ733" s="40"/>
      <c r="CR733" s="5"/>
    </row>
    <row r="734">
      <c r="AO734" s="40"/>
      <c r="AP734" s="5"/>
      <c r="AR734" s="40"/>
      <c r="AS734" s="5"/>
      <c r="AU734" s="40"/>
      <c r="AV734" s="5"/>
      <c r="AX734" s="40"/>
      <c r="AY734" s="5"/>
      <c r="BA734" s="40"/>
      <c r="BB734" s="5"/>
      <c r="BD734" s="40"/>
      <c r="BE734" s="5"/>
      <c r="BG734" s="40"/>
      <c r="BH734" s="5"/>
      <c r="BJ734" s="40"/>
      <c r="BK734" s="5"/>
      <c r="BM734" s="40"/>
      <c r="BN734" s="5"/>
      <c r="BP734" s="40"/>
      <c r="BQ734" s="5"/>
      <c r="BS734" s="40"/>
      <c r="BT734" s="5"/>
      <c r="BV734" s="40"/>
      <c r="BW734" s="5"/>
      <c r="BY734" s="40"/>
      <c r="BZ734" s="5"/>
      <c r="CB734" s="40"/>
      <c r="CC734" s="5"/>
      <c r="CE734" s="40"/>
      <c r="CF734" s="5"/>
      <c r="CH734" s="40"/>
      <c r="CI734" s="5"/>
      <c r="CK734" s="40"/>
      <c r="CL734" s="5"/>
      <c r="CN734" s="40"/>
      <c r="CO734" s="5"/>
      <c r="CQ734" s="40"/>
      <c r="CR734" s="5"/>
    </row>
    <row r="735">
      <c r="AO735" s="40"/>
      <c r="AP735" s="5"/>
      <c r="AR735" s="40"/>
      <c r="AS735" s="5"/>
      <c r="AU735" s="40"/>
      <c r="AV735" s="5"/>
      <c r="AX735" s="40"/>
      <c r="AY735" s="5"/>
      <c r="BA735" s="40"/>
      <c r="BB735" s="5"/>
      <c r="BD735" s="40"/>
      <c r="BE735" s="5"/>
      <c r="BG735" s="40"/>
      <c r="BH735" s="5"/>
      <c r="BJ735" s="40"/>
      <c r="BK735" s="5"/>
      <c r="BM735" s="40"/>
      <c r="BN735" s="5"/>
      <c r="BP735" s="40"/>
      <c r="BQ735" s="5"/>
      <c r="BS735" s="40"/>
      <c r="BT735" s="5"/>
      <c r="BV735" s="40"/>
      <c r="BW735" s="5"/>
      <c r="BY735" s="40"/>
      <c r="BZ735" s="5"/>
      <c r="CB735" s="40"/>
      <c r="CC735" s="5"/>
      <c r="CE735" s="40"/>
      <c r="CF735" s="5"/>
      <c r="CH735" s="40"/>
      <c r="CI735" s="5"/>
      <c r="CK735" s="40"/>
      <c r="CL735" s="5"/>
      <c r="CN735" s="40"/>
      <c r="CO735" s="5"/>
      <c r="CQ735" s="40"/>
      <c r="CR735" s="5"/>
    </row>
    <row r="736">
      <c r="AO736" s="40"/>
      <c r="AP736" s="5"/>
      <c r="AR736" s="40"/>
      <c r="AS736" s="5"/>
      <c r="AU736" s="40"/>
      <c r="AV736" s="5"/>
      <c r="AX736" s="40"/>
      <c r="AY736" s="5"/>
      <c r="BA736" s="40"/>
      <c r="BB736" s="5"/>
      <c r="BD736" s="40"/>
      <c r="BE736" s="5"/>
      <c r="BG736" s="40"/>
      <c r="BH736" s="5"/>
      <c r="BJ736" s="40"/>
      <c r="BK736" s="5"/>
      <c r="BM736" s="40"/>
      <c r="BN736" s="5"/>
      <c r="BP736" s="40"/>
      <c r="BQ736" s="5"/>
      <c r="BS736" s="40"/>
      <c r="BT736" s="5"/>
      <c r="BV736" s="40"/>
      <c r="BW736" s="5"/>
      <c r="BY736" s="40"/>
      <c r="BZ736" s="5"/>
      <c r="CB736" s="40"/>
      <c r="CC736" s="5"/>
      <c r="CE736" s="40"/>
      <c r="CF736" s="5"/>
      <c r="CH736" s="40"/>
      <c r="CI736" s="5"/>
      <c r="CK736" s="40"/>
      <c r="CL736" s="5"/>
      <c r="CN736" s="40"/>
      <c r="CO736" s="5"/>
      <c r="CQ736" s="40"/>
      <c r="CR736" s="5"/>
    </row>
    <row r="737">
      <c r="AO737" s="40"/>
      <c r="AP737" s="5"/>
      <c r="AR737" s="40"/>
      <c r="AS737" s="5"/>
      <c r="AU737" s="40"/>
      <c r="AV737" s="5"/>
      <c r="AX737" s="40"/>
      <c r="AY737" s="5"/>
      <c r="BA737" s="40"/>
      <c r="BB737" s="5"/>
      <c r="BD737" s="40"/>
      <c r="BE737" s="5"/>
      <c r="BG737" s="40"/>
      <c r="BH737" s="5"/>
      <c r="BJ737" s="40"/>
      <c r="BK737" s="5"/>
      <c r="BM737" s="40"/>
      <c r="BN737" s="5"/>
      <c r="BP737" s="40"/>
      <c r="BQ737" s="5"/>
      <c r="BS737" s="40"/>
      <c r="BT737" s="5"/>
      <c r="BV737" s="40"/>
      <c r="BW737" s="5"/>
      <c r="BY737" s="40"/>
      <c r="BZ737" s="5"/>
      <c r="CB737" s="40"/>
      <c r="CC737" s="5"/>
      <c r="CE737" s="40"/>
      <c r="CF737" s="5"/>
      <c r="CH737" s="40"/>
      <c r="CI737" s="5"/>
      <c r="CK737" s="40"/>
      <c r="CL737" s="5"/>
      <c r="CN737" s="40"/>
      <c r="CO737" s="5"/>
      <c r="CQ737" s="40"/>
      <c r="CR737" s="5"/>
    </row>
    <row r="738">
      <c r="AO738" s="40"/>
      <c r="AP738" s="5"/>
      <c r="AR738" s="40"/>
      <c r="AS738" s="5"/>
      <c r="AU738" s="40"/>
      <c r="AV738" s="5"/>
      <c r="AX738" s="40"/>
      <c r="AY738" s="5"/>
      <c r="BA738" s="40"/>
      <c r="BB738" s="5"/>
      <c r="BD738" s="40"/>
      <c r="BE738" s="5"/>
      <c r="BG738" s="40"/>
      <c r="BH738" s="5"/>
      <c r="BJ738" s="40"/>
      <c r="BK738" s="5"/>
      <c r="BM738" s="40"/>
      <c r="BN738" s="5"/>
      <c r="BP738" s="40"/>
      <c r="BQ738" s="5"/>
      <c r="BS738" s="40"/>
      <c r="BT738" s="5"/>
      <c r="BV738" s="40"/>
      <c r="BW738" s="5"/>
      <c r="BY738" s="40"/>
      <c r="BZ738" s="5"/>
      <c r="CB738" s="40"/>
      <c r="CC738" s="5"/>
      <c r="CE738" s="40"/>
      <c r="CF738" s="5"/>
      <c r="CH738" s="40"/>
      <c r="CI738" s="5"/>
      <c r="CK738" s="40"/>
      <c r="CL738" s="5"/>
      <c r="CN738" s="40"/>
      <c r="CO738" s="5"/>
      <c r="CQ738" s="40"/>
      <c r="CR738" s="5"/>
    </row>
    <row r="739">
      <c r="AO739" s="40"/>
      <c r="AP739" s="5"/>
      <c r="AR739" s="40"/>
      <c r="AS739" s="5"/>
      <c r="AU739" s="40"/>
      <c r="AV739" s="5"/>
      <c r="AX739" s="40"/>
      <c r="AY739" s="5"/>
      <c r="BA739" s="40"/>
      <c r="BB739" s="5"/>
      <c r="BD739" s="40"/>
      <c r="BE739" s="5"/>
      <c r="BG739" s="40"/>
      <c r="BH739" s="5"/>
      <c r="BJ739" s="40"/>
      <c r="BK739" s="5"/>
      <c r="BM739" s="40"/>
      <c r="BN739" s="5"/>
      <c r="BP739" s="40"/>
      <c r="BQ739" s="5"/>
      <c r="BS739" s="40"/>
      <c r="BT739" s="5"/>
      <c r="BV739" s="40"/>
      <c r="BW739" s="5"/>
      <c r="BY739" s="40"/>
      <c r="BZ739" s="5"/>
      <c r="CB739" s="40"/>
      <c r="CC739" s="5"/>
      <c r="CE739" s="40"/>
      <c r="CF739" s="5"/>
      <c r="CH739" s="40"/>
      <c r="CI739" s="5"/>
      <c r="CK739" s="40"/>
      <c r="CL739" s="5"/>
      <c r="CN739" s="40"/>
      <c r="CO739" s="5"/>
      <c r="CQ739" s="40"/>
      <c r="CR739" s="5"/>
    </row>
    <row r="740">
      <c r="AO740" s="40"/>
      <c r="AP740" s="5"/>
      <c r="AR740" s="40"/>
      <c r="AS740" s="5"/>
      <c r="AU740" s="40"/>
      <c r="AV740" s="5"/>
      <c r="AX740" s="40"/>
      <c r="AY740" s="5"/>
      <c r="BA740" s="40"/>
      <c r="BB740" s="5"/>
      <c r="BD740" s="40"/>
      <c r="BE740" s="5"/>
      <c r="BG740" s="40"/>
      <c r="BH740" s="5"/>
      <c r="BJ740" s="40"/>
      <c r="BK740" s="5"/>
      <c r="BM740" s="40"/>
      <c r="BN740" s="5"/>
      <c r="BP740" s="40"/>
      <c r="BQ740" s="5"/>
      <c r="BS740" s="40"/>
      <c r="BT740" s="5"/>
      <c r="BV740" s="40"/>
      <c r="BW740" s="5"/>
      <c r="BY740" s="40"/>
      <c r="BZ740" s="5"/>
      <c r="CB740" s="40"/>
      <c r="CC740" s="5"/>
      <c r="CE740" s="40"/>
      <c r="CF740" s="5"/>
      <c r="CH740" s="40"/>
      <c r="CI740" s="5"/>
      <c r="CK740" s="40"/>
      <c r="CL740" s="5"/>
      <c r="CN740" s="40"/>
      <c r="CO740" s="5"/>
      <c r="CQ740" s="40"/>
      <c r="CR740" s="5"/>
    </row>
    <row r="741">
      <c r="AO741" s="40"/>
      <c r="AP741" s="5"/>
      <c r="AR741" s="40"/>
      <c r="AS741" s="5"/>
      <c r="AU741" s="40"/>
      <c r="AV741" s="5"/>
      <c r="AX741" s="40"/>
      <c r="AY741" s="5"/>
      <c r="BA741" s="40"/>
      <c r="BB741" s="5"/>
      <c r="BD741" s="40"/>
      <c r="BE741" s="5"/>
      <c r="BG741" s="40"/>
      <c r="BH741" s="5"/>
      <c r="BJ741" s="40"/>
      <c r="BK741" s="5"/>
      <c r="BM741" s="40"/>
      <c r="BN741" s="5"/>
      <c r="BP741" s="40"/>
      <c r="BQ741" s="5"/>
      <c r="BS741" s="40"/>
      <c r="BT741" s="5"/>
      <c r="BV741" s="40"/>
      <c r="BW741" s="5"/>
      <c r="BY741" s="40"/>
      <c r="BZ741" s="5"/>
      <c r="CB741" s="40"/>
      <c r="CC741" s="5"/>
      <c r="CE741" s="40"/>
      <c r="CF741" s="5"/>
      <c r="CH741" s="40"/>
      <c r="CI741" s="5"/>
      <c r="CK741" s="40"/>
      <c r="CL741" s="5"/>
      <c r="CN741" s="40"/>
      <c r="CO741" s="5"/>
      <c r="CQ741" s="40"/>
      <c r="CR741" s="5"/>
    </row>
    <row r="742">
      <c r="AO742" s="40"/>
      <c r="AP742" s="5"/>
      <c r="AR742" s="40"/>
      <c r="AS742" s="5"/>
      <c r="AU742" s="40"/>
      <c r="AV742" s="5"/>
      <c r="AX742" s="40"/>
      <c r="AY742" s="5"/>
      <c r="BA742" s="40"/>
      <c r="BB742" s="5"/>
      <c r="BD742" s="40"/>
      <c r="BE742" s="5"/>
      <c r="BG742" s="40"/>
      <c r="BH742" s="5"/>
      <c r="BJ742" s="40"/>
      <c r="BK742" s="5"/>
      <c r="BM742" s="40"/>
      <c r="BN742" s="5"/>
      <c r="BP742" s="40"/>
      <c r="BQ742" s="5"/>
      <c r="BS742" s="40"/>
      <c r="BT742" s="5"/>
      <c r="BV742" s="40"/>
      <c r="BW742" s="5"/>
      <c r="BY742" s="40"/>
      <c r="BZ742" s="5"/>
      <c r="CB742" s="40"/>
      <c r="CC742" s="5"/>
      <c r="CE742" s="40"/>
      <c r="CF742" s="5"/>
      <c r="CH742" s="40"/>
      <c r="CI742" s="5"/>
      <c r="CK742" s="40"/>
      <c r="CL742" s="5"/>
      <c r="CN742" s="40"/>
      <c r="CO742" s="5"/>
      <c r="CQ742" s="40"/>
      <c r="CR742" s="5"/>
    </row>
    <row r="743">
      <c r="AO743" s="40"/>
      <c r="AP743" s="5"/>
      <c r="AR743" s="40"/>
      <c r="AS743" s="5"/>
      <c r="AU743" s="40"/>
      <c r="AV743" s="5"/>
      <c r="AX743" s="40"/>
      <c r="AY743" s="5"/>
      <c r="BA743" s="40"/>
      <c r="BB743" s="5"/>
      <c r="BD743" s="40"/>
      <c r="BE743" s="5"/>
      <c r="BG743" s="40"/>
      <c r="BH743" s="5"/>
      <c r="BJ743" s="40"/>
      <c r="BK743" s="5"/>
      <c r="BM743" s="40"/>
      <c r="BN743" s="5"/>
      <c r="BP743" s="40"/>
      <c r="BQ743" s="5"/>
      <c r="BS743" s="40"/>
      <c r="BT743" s="5"/>
      <c r="BV743" s="40"/>
      <c r="BW743" s="5"/>
      <c r="BY743" s="40"/>
      <c r="BZ743" s="5"/>
      <c r="CB743" s="40"/>
      <c r="CC743" s="5"/>
      <c r="CE743" s="40"/>
      <c r="CF743" s="5"/>
      <c r="CH743" s="40"/>
      <c r="CI743" s="5"/>
      <c r="CK743" s="40"/>
      <c r="CL743" s="5"/>
      <c r="CN743" s="40"/>
      <c r="CO743" s="5"/>
      <c r="CQ743" s="40"/>
      <c r="CR743" s="5"/>
    </row>
    <row r="744">
      <c r="AO744" s="40"/>
      <c r="AP744" s="5"/>
      <c r="AR744" s="40"/>
      <c r="AS744" s="5"/>
      <c r="AU744" s="40"/>
      <c r="AV744" s="5"/>
      <c r="AX744" s="40"/>
      <c r="AY744" s="5"/>
      <c r="BA744" s="40"/>
      <c r="BB744" s="5"/>
      <c r="BD744" s="40"/>
      <c r="BE744" s="5"/>
      <c r="BG744" s="40"/>
      <c r="BH744" s="5"/>
      <c r="BJ744" s="40"/>
      <c r="BK744" s="5"/>
      <c r="BM744" s="40"/>
      <c r="BN744" s="5"/>
      <c r="BP744" s="40"/>
      <c r="BQ744" s="5"/>
      <c r="BS744" s="40"/>
      <c r="BT744" s="5"/>
      <c r="BV744" s="40"/>
      <c r="BW744" s="5"/>
      <c r="BY744" s="40"/>
      <c r="BZ744" s="5"/>
      <c r="CB744" s="40"/>
      <c r="CC744" s="5"/>
      <c r="CE744" s="40"/>
      <c r="CF744" s="5"/>
      <c r="CH744" s="40"/>
      <c r="CI744" s="5"/>
      <c r="CK744" s="40"/>
      <c r="CL744" s="5"/>
      <c r="CN744" s="40"/>
      <c r="CO744" s="5"/>
      <c r="CQ744" s="40"/>
      <c r="CR744" s="5"/>
    </row>
    <row r="745">
      <c r="AO745" s="40"/>
      <c r="AP745" s="5"/>
      <c r="AR745" s="40"/>
      <c r="AS745" s="5"/>
      <c r="AU745" s="40"/>
      <c r="AV745" s="5"/>
      <c r="AX745" s="40"/>
      <c r="AY745" s="5"/>
      <c r="BA745" s="40"/>
      <c r="BB745" s="5"/>
      <c r="BD745" s="40"/>
      <c r="BE745" s="5"/>
      <c r="BG745" s="40"/>
      <c r="BH745" s="5"/>
      <c r="BJ745" s="40"/>
      <c r="BK745" s="5"/>
      <c r="BM745" s="40"/>
      <c r="BN745" s="5"/>
      <c r="BP745" s="40"/>
      <c r="BQ745" s="5"/>
      <c r="BS745" s="40"/>
      <c r="BT745" s="5"/>
      <c r="BV745" s="40"/>
      <c r="BW745" s="5"/>
      <c r="BY745" s="40"/>
      <c r="BZ745" s="5"/>
      <c r="CB745" s="40"/>
      <c r="CC745" s="5"/>
      <c r="CE745" s="40"/>
      <c r="CF745" s="5"/>
      <c r="CH745" s="40"/>
      <c r="CI745" s="5"/>
      <c r="CK745" s="40"/>
      <c r="CL745" s="5"/>
      <c r="CN745" s="40"/>
      <c r="CO745" s="5"/>
      <c r="CQ745" s="40"/>
      <c r="CR745" s="5"/>
    </row>
    <row r="746">
      <c r="AO746" s="40"/>
      <c r="AP746" s="5"/>
      <c r="AR746" s="40"/>
      <c r="AS746" s="5"/>
      <c r="AU746" s="40"/>
      <c r="AV746" s="5"/>
      <c r="AX746" s="40"/>
      <c r="AY746" s="5"/>
      <c r="BA746" s="40"/>
      <c r="BB746" s="5"/>
      <c r="BD746" s="40"/>
      <c r="BE746" s="5"/>
      <c r="BG746" s="40"/>
      <c r="BH746" s="5"/>
      <c r="BJ746" s="40"/>
      <c r="BK746" s="5"/>
      <c r="BM746" s="40"/>
      <c r="BN746" s="5"/>
      <c r="BP746" s="40"/>
      <c r="BQ746" s="5"/>
      <c r="BS746" s="40"/>
      <c r="BT746" s="5"/>
      <c r="BV746" s="40"/>
      <c r="BW746" s="5"/>
      <c r="BY746" s="40"/>
      <c r="BZ746" s="5"/>
      <c r="CB746" s="40"/>
      <c r="CC746" s="5"/>
      <c r="CE746" s="40"/>
      <c r="CF746" s="5"/>
      <c r="CH746" s="40"/>
      <c r="CI746" s="5"/>
      <c r="CK746" s="40"/>
      <c r="CL746" s="5"/>
      <c r="CN746" s="40"/>
      <c r="CO746" s="5"/>
      <c r="CQ746" s="40"/>
      <c r="CR746" s="5"/>
    </row>
    <row r="747">
      <c r="AO747" s="40"/>
      <c r="AP747" s="5"/>
      <c r="AR747" s="40"/>
      <c r="AS747" s="5"/>
      <c r="AU747" s="40"/>
      <c r="AV747" s="5"/>
      <c r="AX747" s="40"/>
      <c r="AY747" s="5"/>
      <c r="BA747" s="40"/>
      <c r="BB747" s="5"/>
      <c r="BD747" s="40"/>
      <c r="BE747" s="5"/>
      <c r="BG747" s="40"/>
      <c r="BH747" s="5"/>
      <c r="BJ747" s="40"/>
      <c r="BK747" s="5"/>
      <c r="BM747" s="40"/>
      <c r="BN747" s="5"/>
      <c r="BP747" s="40"/>
      <c r="BQ747" s="5"/>
      <c r="BS747" s="40"/>
      <c r="BT747" s="5"/>
      <c r="BV747" s="40"/>
      <c r="BW747" s="5"/>
      <c r="BY747" s="40"/>
      <c r="BZ747" s="5"/>
      <c r="CB747" s="40"/>
      <c r="CC747" s="5"/>
      <c r="CE747" s="40"/>
      <c r="CF747" s="5"/>
      <c r="CH747" s="40"/>
      <c r="CI747" s="5"/>
      <c r="CK747" s="40"/>
      <c r="CL747" s="5"/>
      <c r="CN747" s="40"/>
      <c r="CO747" s="5"/>
      <c r="CQ747" s="40"/>
      <c r="CR747" s="5"/>
    </row>
    <row r="748">
      <c r="AO748" s="40"/>
      <c r="AP748" s="5"/>
      <c r="AR748" s="40"/>
      <c r="AS748" s="5"/>
      <c r="AU748" s="40"/>
      <c r="AV748" s="5"/>
      <c r="AX748" s="40"/>
      <c r="AY748" s="5"/>
      <c r="BA748" s="40"/>
      <c r="BB748" s="5"/>
      <c r="BD748" s="40"/>
      <c r="BE748" s="5"/>
      <c r="BG748" s="40"/>
      <c r="BH748" s="5"/>
      <c r="BJ748" s="40"/>
      <c r="BK748" s="5"/>
      <c r="BM748" s="40"/>
      <c r="BN748" s="5"/>
      <c r="BP748" s="40"/>
      <c r="BQ748" s="5"/>
      <c r="BS748" s="40"/>
      <c r="BT748" s="5"/>
      <c r="BV748" s="40"/>
      <c r="BW748" s="5"/>
      <c r="BY748" s="40"/>
      <c r="BZ748" s="5"/>
      <c r="CB748" s="40"/>
      <c r="CC748" s="5"/>
      <c r="CE748" s="40"/>
      <c r="CF748" s="5"/>
      <c r="CH748" s="40"/>
      <c r="CI748" s="5"/>
      <c r="CK748" s="40"/>
      <c r="CL748" s="5"/>
      <c r="CN748" s="40"/>
      <c r="CO748" s="5"/>
      <c r="CQ748" s="40"/>
      <c r="CR748" s="5"/>
    </row>
    <row r="749">
      <c r="AO749" s="40"/>
      <c r="AP749" s="5"/>
      <c r="AR749" s="40"/>
      <c r="AS749" s="5"/>
      <c r="AU749" s="40"/>
      <c r="AV749" s="5"/>
      <c r="AX749" s="40"/>
      <c r="AY749" s="5"/>
      <c r="BA749" s="40"/>
      <c r="BB749" s="5"/>
      <c r="BD749" s="40"/>
      <c r="BE749" s="5"/>
      <c r="BG749" s="40"/>
      <c r="BH749" s="5"/>
      <c r="BJ749" s="40"/>
      <c r="BK749" s="5"/>
      <c r="BM749" s="40"/>
      <c r="BN749" s="5"/>
      <c r="BP749" s="40"/>
      <c r="BQ749" s="5"/>
      <c r="BS749" s="40"/>
      <c r="BT749" s="5"/>
      <c r="BV749" s="40"/>
      <c r="BW749" s="5"/>
      <c r="BY749" s="40"/>
      <c r="BZ749" s="5"/>
      <c r="CB749" s="40"/>
      <c r="CC749" s="5"/>
      <c r="CE749" s="40"/>
      <c r="CF749" s="5"/>
      <c r="CH749" s="40"/>
      <c r="CI749" s="5"/>
      <c r="CK749" s="40"/>
      <c r="CL749" s="5"/>
      <c r="CN749" s="40"/>
      <c r="CO749" s="5"/>
      <c r="CQ749" s="40"/>
      <c r="CR749" s="5"/>
    </row>
    <row r="750">
      <c r="AO750" s="40"/>
      <c r="AP750" s="5"/>
      <c r="AR750" s="40"/>
      <c r="AS750" s="5"/>
      <c r="AU750" s="40"/>
      <c r="AV750" s="5"/>
      <c r="AX750" s="40"/>
      <c r="AY750" s="5"/>
      <c r="BA750" s="40"/>
      <c r="BB750" s="5"/>
      <c r="BD750" s="40"/>
      <c r="BE750" s="5"/>
      <c r="BG750" s="40"/>
      <c r="BH750" s="5"/>
      <c r="BJ750" s="40"/>
      <c r="BK750" s="5"/>
      <c r="BM750" s="40"/>
      <c r="BN750" s="5"/>
      <c r="BP750" s="40"/>
      <c r="BQ750" s="5"/>
      <c r="BS750" s="40"/>
      <c r="BT750" s="5"/>
      <c r="BV750" s="40"/>
      <c r="BW750" s="5"/>
      <c r="BY750" s="40"/>
      <c r="BZ750" s="5"/>
      <c r="CB750" s="40"/>
      <c r="CC750" s="5"/>
      <c r="CE750" s="40"/>
      <c r="CF750" s="5"/>
      <c r="CH750" s="40"/>
      <c r="CI750" s="5"/>
      <c r="CK750" s="40"/>
      <c r="CL750" s="5"/>
      <c r="CN750" s="40"/>
      <c r="CO750" s="5"/>
      <c r="CQ750" s="40"/>
      <c r="CR750" s="5"/>
    </row>
    <row r="751">
      <c r="AO751" s="40"/>
      <c r="AP751" s="5"/>
      <c r="AR751" s="40"/>
      <c r="AS751" s="5"/>
      <c r="AU751" s="40"/>
      <c r="AV751" s="5"/>
      <c r="AX751" s="40"/>
      <c r="AY751" s="5"/>
      <c r="BA751" s="40"/>
      <c r="BB751" s="5"/>
      <c r="BD751" s="40"/>
      <c r="BE751" s="5"/>
      <c r="BG751" s="40"/>
      <c r="BH751" s="5"/>
      <c r="BJ751" s="40"/>
      <c r="BK751" s="5"/>
      <c r="BM751" s="40"/>
      <c r="BN751" s="5"/>
      <c r="BP751" s="40"/>
      <c r="BQ751" s="5"/>
      <c r="BS751" s="40"/>
      <c r="BT751" s="5"/>
      <c r="BV751" s="40"/>
      <c r="BW751" s="5"/>
      <c r="BY751" s="40"/>
      <c r="BZ751" s="5"/>
      <c r="CB751" s="40"/>
      <c r="CC751" s="5"/>
      <c r="CE751" s="40"/>
      <c r="CF751" s="5"/>
      <c r="CH751" s="40"/>
      <c r="CI751" s="5"/>
      <c r="CK751" s="40"/>
      <c r="CL751" s="5"/>
      <c r="CN751" s="40"/>
      <c r="CO751" s="5"/>
      <c r="CQ751" s="40"/>
      <c r="CR751" s="5"/>
    </row>
    <row r="752">
      <c r="AO752" s="40"/>
      <c r="AP752" s="5"/>
      <c r="AR752" s="40"/>
      <c r="AS752" s="5"/>
      <c r="AU752" s="40"/>
      <c r="AV752" s="5"/>
      <c r="AX752" s="40"/>
      <c r="AY752" s="5"/>
      <c r="BA752" s="40"/>
      <c r="BB752" s="5"/>
      <c r="BD752" s="40"/>
      <c r="BE752" s="5"/>
      <c r="BG752" s="40"/>
      <c r="BH752" s="5"/>
      <c r="BJ752" s="40"/>
      <c r="BK752" s="5"/>
      <c r="BM752" s="40"/>
      <c r="BN752" s="5"/>
      <c r="BP752" s="40"/>
      <c r="BQ752" s="5"/>
      <c r="BS752" s="40"/>
      <c r="BT752" s="5"/>
      <c r="BV752" s="40"/>
      <c r="BW752" s="5"/>
      <c r="BY752" s="40"/>
      <c r="BZ752" s="5"/>
      <c r="CB752" s="40"/>
      <c r="CC752" s="5"/>
      <c r="CE752" s="40"/>
      <c r="CF752" s="5"/>
      <c r="CH752" s="40"/>
      <c r="CI752" s="5"/>
      <c r="CK752" s="40"/>
      <c r="CL752" s="5"/>
      <c r="CN752" s="40"/>
      <c r="CO752" s="5"/>
      <c r="CQ752" s="40"/>
      <c r="CR752" s="5"/>
    </row>
    <row r="753">
      <c r="AO753" s="40"/>
      <c r="AP753" s="5"/>
      <c r="AR753" s="40"/>
      <c r="AS753" s="5"/>
      <c r="AU753" s="40"/>
      <c r="AV753" s="5"/>
      <c r="AX753" s="40"/>
      <c r="AY753" s="5"/>
      <c r="BA753" s="40"/>
      <c r="BB753" s="5"/>
      <c r="BD753" s="40"/>
      <c r="BE753" s="5"/>
      <c r="BG753" s="40"/>
      <c r="BH753" s="5"/>
      <c r="BJ753" s="40"/>
      <c r="BK753" s="5"/>
      <c r="BM753" s="40"/>
      <c r="BN753" s="5"/>
      <c r="BP753" s="40"/>
      <c r="BQ753" s="5"/>
      <c r="BS753" s="40"/>
      <c r="BT753" s="5"/>
      <c r="BV753" s="40"/>
      <c r="BW753" s="5"/>
      <c r="BY753" s="40"/>
      <c r="BZ753" s="5"/>
      <c r="CB753" s="40"/>
      <c r="CC753" s="5"/>
      <c r="CE753" s="40"/>
      <c r="CF753" s="5"/>
      <c r="CH753" s="40"/>
      <c r="CI753" s="5"/>
      <c r="CK753" s="40"/>
      <c r="CL753" s="5"/>
      <c r="CN753" s="40"/>
      <c r="CO753" s="5"/>
      <c r="CQ753" s="40"/>
      <c r="CR753" s="5"/>
    </row>
    <row r="754">
      <c r="AO754" s="40"/>
      <c r="AP754" s="5"/>
      <c r="AR754" s="40"/>
      <c r="AS754" s="5"/>
      <c r="AU754" s="40"/>
      <c r="AV754" s="5"/>
      <c r="AX754" s="40"/>
      <c r="AY754" s="5"/>
      <c r="BA754" s="40"/>
      <c r="BB754" s="5"/>
      <c r="BD754" s="40"/>
      <c r="BE754" s="5"/>
      <c r="BG754" s="40"/>
      <c r="BH754" s="5"/>
      <c r="BJ754" s="40"/>
      <c r="BK754" s="5"/>
      <c r="BM754" s="40"/>
      <c r="BN754" s="5"/>
      <c r="BP754" s="40"/>
      <c r="BQ754" s="5"/>
      <c r="BS754" s="40"/>
      <c r="BT754" s="5"/>
      <c r="BV754" s="40"/>
      <c r="BW754" s="5"/>
      <c r="BY754" s="40"/>
      <c r="BZ754" s="5"/>
      <c r="CB754" s="40"/>
      <c r="CC754" s="5"/>
      <c r="CE754" s="40"/>
      <c r="CF754" s="5"/>
      <c r="CH754" s="40"/>
      <c r="CI754" s="5"/>
      <c r="CK754" s="40"/>
      <c r="CL754" s="5"/>
      <c r="CN754" s="40"/>
      <c r="CO754" s="5"/>
      <c r="CQ754" s="40"/>
      <c r="CR754" s="5"/>
    </row>
    <row r="755">
      <c r="AO755" s="40"/>
      <c r="AP755" s="5"/>
      <c r="AR755" s="40"/>
      <c r="AS755" s="5"/>
      <c r="AU755" s="40"/>
      <c r="AV755" s="5"/>
      <c r="AX755" s="40"/>
      <c r="AY755" s="5"/>
      <c r="BA755" s="40"/>
      <c r="BB755" s="5"/>
      <c r="BD755" s="40"/>
      <c r="BE755" s="5"/>
      <c r="BG755" s="40"/>
      <c r="BH755" s="5"/>
      <c r="BJ755" s="40"/>
      <c r="BK755" s="5"/>
      <c r="BM755" s="40"/>
      <c r="BN755" s="5"/>
      <c r="BP755" s="40"/>
      <c r="BQ755" s="5"/>
      <c r="BS755" s="40"/>
      <c r="BT755" s="5"/>
      <c r="BV755" s="40"/>
      <c r="BW755" s="5"/>
      <c r="BY755" s="40"/>
      <c r="BZ755" s="5"/>
      <c r="CB755" s="40"/>
      <c r="CC755" s="5"/>
      <c r="CE755" s="40"/>
      <c r="CF755" s="5"/>
      <c r="CH755" s="40"/>
      <c r="CI755" s="5"/>
      <c r="CK755" s="40"/>
      <c r="CL755" s="5"/>
      <c r="CN755" s="40"/>
      <c r="CO755" s="5"/>
      <c r="CQ755" s="40"/>
      <c r="CR755" s="5"/>
    </row>
    <row r="756">
      <c r="AO756" s="40"/>
      <c r="AP756" s="5"/>
      <c r="AR756" s="40"/>
      <c r="AS756" s="5"/>
      <c r="AU756" s="40"/>
      <c r="AV756" s="5"/>
      <c r="AX756" s="40"/>
      <c r="AY756" s="5"/>
      <c r="BA756" s="40"/>
      <c r="BB756" s="5"/>
      <c r="BD756" s="40"/>
      <c r="BE756" s="5"/>
      <c r="BG756" s="40"/>
      <c r="BH756" s="5"/>
      <c r="BJ756" s="40"/>
      <c r="BK756" s="5"/>
      <c r="BM756" s="40"/>
      <c r="BN756" s="5"/>
      <c r="BP756" s="40"/>
      <c r="BQ756" s="5"/>
      <c r="BS756" s="40"/>
      <c r="BT756" s="5"/>
      <c r="BV756" s="40"/>
      <c r="BW756" s="5"/>
      <c r="BY756" s="40"/>
      <c r="BZ756" s="5"/>
      <c r="CB756" s="40"/>
      <c r="CC756" s="5"/>
      <c r="CE756" s="40"/>
      <c r="CF756" s="5"/>
      <c r="CH756" s="40"/>
      <c r="CI756" s="5"/>
      <c r="CK756" s="40"/>
      <c r="CL756" s="5"/>
      <c r="CN756" s="40"/>
      <c r="CO756" s="5"/>
      <c r="CQ756" s="40"/>
      <c r="CR756" s="5"/>
    </row>
    <row r="757">
      <c r="AO757" s="40"/>
      <c r="AP757" s="5"/>
      <c r="AR757" s="40"/>
      <c r="AS757" s="5"/>
      <c r="AU757" s="40"/>
      <c r="AV757" s="5"/>
      <c r="AX757" s="40"/>
      <c r="AY757" s="5"/>
      <c r="BA757" s="40"/>
      <c r="BB757" s="5"/>
      <c r="BD757" s="40"/>
      <c r="BE757" s="5"/>
      <c r="BG757" s="40"/>
      <c r="BH757" s="5"/>
      <c r="BJ757" s="40"/>
      <c r="BK757" s="5"/>
      <c r="BM757" s="40"/>
      <c r="BN757" s="5"/>
      <c r="BP757" s="40"/>
      <c r="BQ757" s="5"/>
      <c r="BS757" s="40"/>
      <c r="BT757" s="5"/>
      <c r="BV757" s="40"/>
      <c r="BW757" s="5"/>
      <c r="BY757" s="40"/>
      <c r="BZ757" s="5"/>
      <c r="CB757" s="40"/>
      <c r="CC757" s="5"/>
      <c r="CE757" s="40"/>
      <c r="CF757" s="5"/>
      <c r="CH757" s="40"/>
      <c r="CI757" s="5"/>
      <c r="CK757" s="40"/>
      <c r="CL757" s="5"/>
      <c r="CN757" s="40"/>
      <c r="CO757" s="5"/>
      <c r="CQ757" s="40"/>
      <c r="CR757" s="5"/>
    </row>
    <row r="758">
      <c r="AO758" s="40"/>
      <c r="AP758" s="5"/>
      <c r="AR758" s="40"/>
      <c r="AS758" s="5"/>
      <c r="AU758" s="40"/>
      <c r="AV758" s="5"/>
      <c r="AX758" s="40"/>
      <c r="AY758" s="5"/>
      <c r="BA758" s="40"/>
      <c r="BB758" s="5"/>
      <c r="BD758" s="40"/>
      <c r="BE758" s="5"/>
      <c r="BG758" s="40"/>
      <c r="BH758" s="5"/>
      <c r="BJ758" s="40"/>
      <c r="BK758" s="5"/>
      <c r="BM758" s="40"/>
      <c r="BN758" s="5"/>
      <c r="BP758" s="40"/>
      <c r="BQ758" s="5"/>
      <c r="BS758" s="40"/>
      <c r="BT758" s="5"/>
      <c r="BV758" s="40"/>
      <c r="BW758" s="5"/>
      <c r="BY758" s="40"/>
      <c r="BZ758" s="5"/>
      <c r="CB758" s="40"/>
      <c r="CC758" s="5"/>
      <c r="CE758" s="40"/>
      <c r="CF758" s="5"/>
      <c r="CH758" s="40"/>
      <c r="CI758" s="5"/>
      <c r="CK758" s="40"/>
      <c r="CL758" s="5"/>
      <c r="CN758" s="40"/>
      <c r="CO758" s="5"/>
      <c r="CQ758" s="40"/>
      <c r="CR758" s="5"/>
    </row>
    <row r="759">
      <c r="AO759" s="40"/>
      <c r="AP759" s="5"/>
      <c r="AR759" s="40"/>
      <c r="AS759" s="5"/>
      <c r="AU759" s="40"/>
      <c r="AV759" s="5"/>
      <c r="AX759" s="40"/>
      <c r="AY759" s="5"/>
      <c r="BA759" s="40"/>
      <c r="BB759" s="5"/>
      <c r="BD759" s="40"/>
      <c r="BE759" s="5"/>
      <c r="BG759" s="40"/>
      <c r="BH759" s="5"/>
      <c r="BJ759" s="40"/>
      <c r="BK759" s="5"/>
      <c r="BM759" s="40"/>
      <c r="BN759" s="5"/>
      <c r="BP759" s="40"/>
      <c r="BQ759" s="5"/>
      <c r="BS759" s="40"/>
      <c r="BT759" s="5"/>
      <c r="BV759" s="40"/>
      <c r="BW759" s="5"/>
      <c r="BY759" s="40"/>
      <c r="BZ759" s="5"/>
      <c r="CB759" s="40"/>
      <c r="CC759" s="5"/>
      <c r="CE759" s="40"/>
      <c r="CF759" s="5"/>
      <c r="CH759" s="40"/>
      <c r="CI759" s="5"/>
      <c r="CK759" s="40"/>
      <c r="CL759" s="5"/>
      <c r="CN759" s="40"/>
      <c r="CO759" s="5"/>
      <c r="CQ759" s="40"/>
      <c r="CR759" s="5"/>
    </row>
    <row r="760">
      <c r="AO760" s="40"/>
      <c r="AP760" s="5"/>
      <c r="AR760" s="40"/>
      <c r="AS760" s="5"/>
      <c r="AU760" s="40"/>
      <c r="AV760" s="5"/>
      <c r="AX760" s="40"/>
      <c r="AY760" s="5"/>
      <c r="BA760" s="40"/>
      <c r="BB760" s="5"/>
      <c r="BD760" s="40"/>
      <c r="BE760" s="5"/>
      <c r="BG760" s="40"/>
      <c r="BH760" s="5"/>
      <c r="BJ760" s="40"/>
      <c r="BK760" s="5"/>
      <c r="BM760" s="40"/>
      <c r="BN760" s="5"/>
      <c r="BP760" s="40"/>
      <c r="BQ760" s="5"/>
      <c r="BS760" s="40"/>
      <c r="BT760" s="5"/>
      <c r="BV760" s="40"/>
      <c r="BW760" s="5"/>
      <c r="BY760" s="40"/>
      <c r="BZ760" s="5"/>
      <c r="CB760" s="40"/>
      <c r="CC760" s="5"/>
      <c r="CE760" s="40"/>
      <c r="CF760" s="5"/>
      <c r="CH760" s="40"/>
      <c r="CI760" s="5"/>
      <c r="CK760" s="40"/>
      <c r="CL760" s="5"/>
      <c r="CN760" s="40"/>
      <c r="CO760" s="5"/>
      <c r="CQ760" s="40"/>
      <c r="CR760" s="5"/>
    </row>
    <row r="761">
      <c r="AO761" s="40"/>
      <c r="AP761" s="5"/>
      <c r="AR761" s="40"/>
      <c r="AS761" s="5"/>
      <c r="AU761" s="40"/>
      <c r="AV761" s="5"/>
      <c r="AX761" s="40"/>
      <c r="AY761" s="5"/>
      <c r="BA761" s="40"/>
      <c r="BB761" s="5"/>
      <c r="BD761" s="40"/>
      <c r="BE761" s="5"/>
      <c r="BG761" s="40"/>
      <c r="BH761" s="5"/>
      <c r="BJ761" s="40"/>
      <c r="BK761" s="5"/>
      <c r="BM761" s="40"/>
      <c r="BN761" s="5"/>
      <c r="BP761" s="40"/>
      <c r="BQ761" s="5"/>
      <c r="BS761" s="40"/>
      <c r="BT761" s="5"/>
      <c r="BV761" s="40"/>
      <c r="BW761" s="5"/>
      <c r="BY761" s="40"/>
      <c r="BZ761" s="5"/>
      <c r="CB761" s="40"/>
      <c r="CC761" s="5"/>
      <c r="CE761" s="40"/>
      <c r="CF761" s="5"/>
      <c r="CH761" s="40"/>
      <c r="CI761" s="5"/>
      <c r="CK761" s="40"/>
      <c r="CL761" s="5"/>
      <c r="CN761" s="40"/>
      <c r="CO761" s="5"/>
      <c r="CQ761" s="40"/>
      <c r="CR761" s="5"/>
    </row>
    <row r="762">
      <c r="AO762" s="40"/>
      <c r="AP762" s="5"/>
      <c r="AR762" s="40"/>
      <c r="AS762" s="5"/>
      <c r="AU762" s="40"/>
      <c r="AV762" s="5"/>
      <c r="AX762" s="40"/>
      <c r="AY762" s="5"/>
      <c r="BA762" s="40"/>
      <c r="BB762" s="5"/>
      <c r="BD762" s="40"/>
      <c r="BE762" s="5"/>
      <c r="BG762" s="40"/>
      <c r="BH762" s="5"/>
      <c r="BJ762" s="40"/>
      <c r="BK762" s="5"/>
      <c r="BM762" s="40"/>
      <c r="BN762" s="5"/>
      <c r="BP762" s="40"/>
      <c r="BQ762" s="5"/>
      <c r="BS762" s="40"/>
      <c r="BT762" s="5"/>
      <c r="BV762" s="40"/>
      <c r="BW762" s="5"/>
      <c r="BY762" s="40"/>
      <c r="BZ762" s="5"/>
      <c r="CB762" s="40"/>
      <c r="CC762" s="5"/>
      <c r="CE762" s="40"/>
      <c r="CF762" s="5"/>
      <c r="CH762" s="40"/>
      <c r="CI762" s="5"/>
      <c r="CK762" s="40"/>
      <c r="CL762" s="5"/>
      <c r="CN762" s="40"/>
      <c r="CO762" s="5"/>
      <c r="CQ762" s="40"/>
      <c r="CR762" s="5"/>
    </row>
    <row r="763">
      <c r="AO763" s="40"/>
      <c r="AP763" s="5"/>
      <c r="AR763" s="40"/>
      <c r="AS763" s="5"/>
      <c r="AU763" s="40"/>
      <c r="AV763" s="5"/>
      <c r="AX763" s="40"/>
      <c r="AY763" s="5"/>
      <c r="BA763" s="40"/>
      <c r="BB763" s="5"/>
      <c r="BD763" s="40"/>
      <c r="BE763" s="5"/>
      <c r="BG763" s="40"/>
      <c r="BH763" s="5"/>
      <c r="BJ763" s="40"/>
      <c r="BK763" s="5"/>
      <c r="BM763" s="40"/>
      <c r="BN763" s="5"/>
      <c r="BP763" s="40"/>
      <c r="BQ763" s="5"/>
      <c r="BS763" s="40"/>
      <c r="BT763" s="5"/>
      <c r="BV763" s="40"/>
      <c r="BW763" s="5"/>
      <c r="BY763" s="40"/>
      <c r="BZ763" s="5"/>
      <c r="CB763" s="40"/>
      <c r="CC763" s="5"/>
      <c r="CE763" s="40"/>
      <c r="CF763" s="5"/>
      <c r="CH763" s="40"/>
      <c r="CI763" s="5"/>
      <c r="CK763" s="40"/>
      <c r="CL763" s="5"/>
      <c r="CN763" s="40"/>
      <c r="CO763" s="5"/>
      <c r="CQ763" s="40"/>
      <c r="CR763" s="5"/>
    </row>
    <row r="764">
      <c r="AO764" s="40"/>
      <c r="AP764" s="5"/>
      <c r="AR764" s="40"/>
      <c r="AS764" s="5"/>
      <c r="AU764" s="40"/>
      <c r="AV764" s="5"/>
      <c r="AX764" s="40"/>
      <c r="AY764" s="5"/>
      <c r="BA764" s="40"/>
      <c r="BB764" s="5"/>
      <c r="BD764" s="40"/>
      <c r="BE764" s="5"/>
      <c r="BG764" s="40"/>
      <c r="BH764" s="5"/>
      <c r="BJ764" s="40"/>
      <c r="BK764" s="5"/>
      <c r="BM764" s="40"/>
      <c r="BN764" s="5"/>
      <c r="BP764" s="40"/>
      <c r="BQ764" s="5"/>
      <c r="BS764" s="40"/>
      <c r="BT764" s="5"/>
      <c r="BV764" s="40"/>
      <c r="BW764" s="5"/>
      <c r="BY764" s="40"/>
      <c r="BZ764" s="5"/>
      <c r="CB764" s="40"/>
      <c r="CC764" s="5"/>
      <c r="CE764" s="40"/>
      <c r="CF764" s="5"/>
      <c r="CH764" s="40"/>
      <c r="CI764" s="5"/>
      <c r="CK764" s="40"/>
      <c r="CL764" s="5"/>
      <c r="CN764" s="40"/>
      <c r="CO764" s="5"/>
      <c r="CQ764" s="40"/>
      <c r="CR764" s="5"/>
    </row>
    <row r="765">
      <c r="AO765" s="40"/>
      <c r="AP765" s="5"/>
      <c r="AR765" s="40"/>
      <c r="AS765" s="5"/>
      <c r="AU765" s="40"/>
      <c r="AV765" s="5"/>
      <c r="AX765" s="40"/>
      <c r="AY765" s="5"/>
      <c r="BA765" s="40"/>
      <c r="BB765" s="5"/>
      <c r="BD765" s="40"/>
      <c r="BE765" s="5"/>
      <c r="BG765" s="40"/>
      <c r="BH765" s="5"/>
      <c r="BJ765" s="40"/>
      <c r="BK765" s="5"/>
      <c r="BM765" s="40"/>
      <c r="BN765" s="5"/>
      <c r="BP765" s="40"/>
      <c r="BQ765" s="5"/>
      <c r="BS765" s="40"/>
      <c r="BT765" s="5"/>
      <c r="BV765" s="40"/>
      <c r="BW765" s="5"/>
      <c r="BY765" s="40"/>
      <c r="BZ765" s="5"/>
      <c r="CB765" s="40"/>
      <c r="CC765" s="5"/>
      <c r="CE765" s="40"/>
      <c r="CF765" s="5"/>
      <c r="CH765" s="40"/>
      <c r="CI765" s="5"/>
      <c r="CK765" s="40"/>
      <c r="CL765" s="5"/>
      <c r="CN765" s="40"/>
      <c r="CO765" s="5"/>
      <c r="CQ765" s="40"/>
      <c r="CR765" s="5"/>
    </row>
    <row r="766">
      <c r="AO766" s="40"/>
      <c r="AP766" s="5"/>
      <c r="AR766" s="40"/>
      <c r="AS766" s="5"/>
      <c r="AU766" s="40"/>
      <c r="AV766" s="5"/>
      <c r="AX766" s="40"/>
      <c r="AY766" s="5"/>
      <c r="BA766" s="40"/>
      <c r="BB766" s="5"/>
      <c r="BD766" s="40"/>
      <c r="BE766" s="5"/>
      <c r="BG766" s="40"/>
      <c r="BH766" s="5"/>
      <c r="BJ766" s="40"/>
      <c r="BK766" s="5"/>
      <c r="BM766" s="40"/>
      <c r="BN766" s="5"/>
      <c r="BP766" s="40"/>
      <c r="BQ766" s="5"/>
      <c r="BS766" s="40"/>
      <c r="BT766" s="5"/>
      <c r="BV766" s="40"/>
      <c r="BW766" s="5"/>
      <c r="BY766" s="40"/>
      <c r="BZ766" s="5"/>
      <c r="CB766" s="40"/>
      <c r="CC766" s="5"/>
      <c r="CE766" s="40"/>
      <c r="CF766" s="5"/>
      <c r="CH766" s="40"/>
      <c r="CI766" s="5"/>
      <c r="CK766" s="40"/>
      <c r="CL766" s="5"/>
      <c r="CN766" s="40"/>
      <c r="CO766" s="5"/>
      <c r="CQ766" s="40"/>
      <c r="CR766" s="5"/>
    </row>
    <row r="767">
      <c r="AO767" s="40"/>
      <c r="AP767" s="5"/>
      <c r="AR767" s="40"/>
      <c r="AS767" s="5"/>
      <c r="AU767" s="40"/>
      <c r="AV767" s="5"/>
      <c r="AX767" s="40"/>
      <c r="AY767" s="5"/>
      <c r="BA767" s="40"/>
      <c r="BB767" s="5"/>
      <c r="BD767" s="40"/>
      <c r="BE767" s="5"/>
      <c r="BG767" s="40"/>
      <c r="BH767" s="5"/>
      <c r="BJ767" s="40"/>
      <c r="BK767" s="5"/>
      <c r="BM767" s="40"/>
      <c r="BN767" s="5"/>
      <c r="BP767" s="40"/>
      <c r="BQ767" s="5"/>
      <c r="BS767" s="40"/>
      <c r="BT767" s="5"/>
      <c r="BV767" s="40"/>
      <c r="BW767" s="5"/>
      <c r="BY767" s="40"/>
      <c r="BZ767" s="5"/>
      <c r="CB767" s="40"/>
      <c r="CC767" s="5"/>
      <c r="CE767" s="40"/>
      <c r="CF767" s="5"/>
      <c r="CH767" s="40"/>
      <c r="CI767" s="5"/>
      <c r="CK767" s="40"/>
      <c r="CL767" s="5"/>
      <c r="CN767" s="40"/>
      <c r="CO767" s="5"/>
      <c r="CQ767" s="40"/>
      <c r="CR767" s="5"/>
    </row>
    <row r="768">
      <c r="AO768" s="40"/>
      <c r="AP768" s="5"/>
      <c r="AR768" s="40"/>
      <c r="AS768" s="5"/>
      <c r="AU768" s="40"/>
      <c r="AV768" s="5"/>
      <c r="AX768" s="40"/>
      <c r="AY768" s="5"/>
      <c r="BA768" s="40"/>
      <c r="BB768" s="5"/>
      <c r="BD768" s="40"/>
      <c r="BE768" s="5"/>
      <c r="BG768" s="40"/>
      <c r="BH768" s="5"/>
      <c r="BJ768" s="40"/>
      <c r="BK768" s="5"/>
      <c r="BM768" s="40"/>
      <c r="BN768" s="5"/>
      <c r="BP768" s="40"/>
      <c r="BQ768" s="5"/>
      <c r="BS768" s="40"/>
      <c r="BT768" s="5"/>
      <c r="BV768" s="40"/>
      <c r="BW768" s="5"/>
      <c r="BY768" s="40"/>
      <c r="BZ768" s="5"/>
      <c r="CB768" s="40"/>
      <c r="CC768" s="5"/>
      <c r="CE768" s="40"/>
      <c r="CF768" s="5"/>
      <c r="CH768" s="40"/>
      <c r="CI768" s="5"/>
      <c r="CK768" s="40"/>
      <c r="CL768" s="5"/>
      <c r="CN768" s="40"/>
      <c r="CO768" s="5"/>
      <c r="CQ768" s="40"/>
      <c r="CR768" s="5"/>
    </row>
    <row r="769">
      <c r="AO769" s="40"/>
      <c r="AP769" s="5"/>
      <c r="AR769" s="40"/>
      <c r="AS769" s="5"/>
      <c r="AU769" s="40"/>
      <c r="AV769" s="5"/>
      <c r="AX769" s="40"/>
      <c r="AY769" s="5"/>
      <c r="BA769" s="40"/>
      <c r="BB769" s="5"/>
      <c r="BD769" s="40"/>
      <c r="BE769" s="5"/>
      <c r="BG769" s="40"/>
      <c r="BH769" s="5"/>
      <c r="BJ769" s="40"/>
      <c r="BK769" s="5"/>
      <c r="BM769" s="40"/>
      <c r="BN769" s="5"/>
      <c r="BP769" s="40"/>
      <c r="BQ769" s="5"/>
      <c r="BS769" s="40"/>
      <c r="BT769" s="5"/>
      <c r="BV769" s="40"/>
      <c r="BW769" s="5"/>
      <c r="BY769" s="40"/>
      <c r="BZ769" s="5"/>
      <c r="CB769" s="40"/>
      <c r="CC769" s="5"/>
      <c r="CE769" s="40"/>
      <c r="CF769" s="5"/>
      <c r="CH769" s="40"/>
      <c r="CI769" s="5"/>
      <c r="CK769" s="40"/>
      <c r="CL769" s="5"/>
      <c r="CN769" s="40"/>
      <c r="CO769" s="5"/>
      <c r="CQ769" s="40"/>
      <c r="CR769" s="5"/>
    </row>
    <row r="770">
      <c r="AO770" s="40"/>
      <c r="AP770" s="5"/>
      <c r="AR770" s="40"/>
      <c r="AS770" s="5"/>
      <c r="AU770" s="40"/>
      <c r="AV770" s="5"/>
      <c r="AX770" s="40"/>
      <c r="AY770" s="5"/>
      <c r="BA770" s="40"/>
      <c r="BB770" s="5"/>
      <c r="BD770" s="40"/>
      <c r="BE770" s="5"/>
      <c r="BG770" s="40"/>
      <c r="BH770" s="5"/>
      <c r="BJ770" s="40"/>
      <c r="BK770" s="5"/>
      <c r="BM770" s="40"/>
      <c r="BN770" s="5"/>
      <c r="BP770" s="40"/>
      <c r="BQ770" s="5"/>
      <c r="BS770" s="40"/>
      <c r="BT770" s="5"/>
      <c r="BV770" s="40"/>
      <c r="BW770" s="5"/>
      <c r="BY770" s="40"/>
      <c r="BZ770" s="5"/>
      <c r="CB770" s="40"/>
      <c r="CC770" s="5"/>
      <c r="CE770" s="40"/>
      <c r="CF770" s="5"/>
      <c r="CH770" s="40"/>
      <c r="CI770" s="5"/>
      <c r="CK770" s="40"/>
      <c r="CL770" s="5"/>
      <c r="CN770" s="40"/>
      <c r="CO770" s="5"/>
      <c r="CQ770" s="40"/>
      <c r="CR770" s="5"/>
    </row>
    <row r="771">
      <c r="AO771" s="40"/>
      <c r="AP771" s="5"/>
      <c r="AR771" s="40"/>
      <c r="AS771" s="5"/>
      <c r="AU771" s="40"/>
      <c r="AV771" s="5"/>
      <c r="AX771" s="40"/>
      <c r="AY771" s="5"/>
      <c r="BA771" s="40"/>
      <c r="BB771" s="5"/>
      <c r="BD771" s="40"/>
      <c r="BE771" s="5"/>
      <c r="BG771" s="40"/>
      <c r="BH771" s="5"/>
      <c r="BJ771" s="40"/>
      <c r="BK771" s="5"/>
      <c r="BM771" s="40"/>
      <c r="BN771" s="5"/>
      <c r="BP771" s="40"/>
      <c r="BQ771" s="5"/>
      <c r="BS771" s="40"/>
      <c r="BT771" s="5"/>
      <c r="BV771" s="40"/>
      <c r="BW771" s="5"/>
      <c r="BY771" s="40"/>
      <c r="BZ771" s="5"/>
      <c r="CB771" s="40"/>
      <c r="CC771" s="5"/>
      <c r="CE771" s="40"/>
      <c r="CF771" s="5"/>
      <c r="CH771" s="40"/>
      <c r="CI771" s="5"/>
      <c r="CK771" s="40"/>
      <c r="CL771" s="5"/>
      <c r="CN771" s="40"/>
      <c r="CO771" s="5"/>
      <c r="CQ771" s="40"/>
      <c r="CR771" s="5"/>
    </row>
    <row r="772">
      <c r="AO772" s="40"/>
      <c r="AP772" s="5"/>
      <c r="AR772" s="40"/>
      <c r="AS772" s="5"/>
      <c r="AU772" s="40"/>
      <c r="AV772" s="5"/>
      <c r="AX772" s="40"/>
      <c r="AY772" s="5"/>
      <c r="BA772" s="40"/>
      <c r="BB772" s="5"/>
      <c r="BD772" s="40"/>
      <c r="BE772" s="5"/>
      <c r="BG772" s="40"/>
      <c r="BH772" s="5"/>
      <c r="BJ772" s="40"/>
      <c r="BK772" s="5"/>
      <c r="BM772" s="40"/>
      <c r="BN772" s="5"/>
      <c r="BP772" s="40"/>
      <c r="BQ772" s="5"/>
      <c r="BS772" s="40"/>
      <c r="BT772" s="5"/>
      <c r="BV772" s="40"/>
      <c r="BW772" s="5"/>
      <c r="BY772" s="40"/>
      <c r="BZ772" s="5"/>
      <c r="CB772" s="40"/>
      <c r="CC772" s="5"/>
      <c r="CE772" s="40"/>
      <c r="CF772" s="5"/>
      <c r="CH772" s="40"/>
      <c r="CI772" s="5"/>
      <c r="CK772" s="40"/>
      <c r="CL772" s="5"/>
      <c r="CN772" s="40"/>
      <c r="CO772" s="5"/>
      <c r="CQ772" s="40"/>
      <c r="CR772" s="5"/>
    </row>
    <row r="773">
      <c r="AO773" s="40"/>
      <c r="AP773" s="5"/>
      <c r="AR773" s="40"/>
      <c r="AS773" s="5"/>
      <c r="AU773" s="40"/>
      <c r="AV773" s="5"/>
      <c r="AX773" s="40"/>
      <c r="AY773" s="5"/>
      <c r="BA773" s="40"/>
      <c r="BB773" s="5"/>
      <c r="BD773" s="40"/>
      <c r="BE773" s="5"/>
      <c r="BG773" s="40"/>
      <c r="BH773" s="5"/>
      <c r="BJ773" s="40"/>
      <c r="BK773" s="5"/>
      <c r="BM773" s="40"/>
      <c r="BN773" s="5"/>
      <c r="BP773" s="40"/>
      <c r="BQ773" s="5"/>
      <c r="BS773" s="40"/>
      <c r="BT773" s="5"/>
      <c r="BV773" s="40"/>
      <c r="BW773" s="5"/>
      <c r="BY773" s="40"/>
      <c r="BZ773" s="5"/>
      <c r="CB773" s="40"/>
      <c r="CC773" s="5"/>
      <c r="CE773" s="40"/>
      <c r="CF773" s="5"/>
      <c r="CH773" s="40"/>
      <c r="CI773" s="5"/>
      <c r="CK773" s="40"/>
      <c r="CL773" s="5"/>
      <c r="CN773" s="40"/>
      <c r="CO773" s="5"/>
      <c r="CQ773" s="40"/>
      <c r="CR773" s="5"/>
    </row>
    <row r="774">
      <c r="AO774" s="40"/>
      <c r="AP774" s="5"/>
      <c r="AR774" s="40"/>
      <c r="AS774" s="5"/>
      <c r="AU774" s="40"/>
      <c r="AV774" s="5"/>
      <c r="AX774" s="40"/>
      <c r="AY774" s="5"/>
      <c r="BA774" s="40"/>
      <c r="BB774" s="5"/>
      <c r="BD774" s="40"/>
      <c r="BE774" s="5"/>
      <c r="BG774" s="40"/>
      <c r="BH774" s="5"/>
      <c r="BJ774" s="40"/>
      <c r="BK774" s="5"/>
      <c r="BM774" s="40"/>
      <c r="BN774" s="5"/>
      <c r="BP774" s="40"/>
      <c r="BQ774" s="5"/>
      <c r="BS774" s="40"/>
      <c r="BT774" s="5"/>
      <c r="BV774" s="40"/>
      <c r="BW774" s="5"/>
      <c r="BY774" s="40"/>
      <c r="BZ774" s="5"/>
      <c r="CB774" s="40"/>
      <c r="CC774" s="5"/>
      <c r="CE774" s="40"/>
      <c r="CF774" s="5"/>
      <c r="CH774" s="40"/>
      <c r="CI774" s="5"/>
      <c r="CK774" s="40"/>
      <c r="CL774" s="5"/>
      <c r="CN774" s="40"/>
      <c r="CO774" s="5"/>
      <c r="CQ774" s="40"/>
      <c r="CR774" s="5"/>
    </row>
    <row r="775">
      <c r="AO775" s="40"/>
      <c r="AP775" s="5"/>
      <c r="AR775" s="40"/>
      <c r="AS775" s="5"/>
      <c r="AU775" s="40"/>
      <c r="AV775" s="5"/>
      <c r="AX775" s="40"/>
      <c r="AY775" s="5"/>
      <c r="BA775" s="40"/>
      <c r="BB775" s="5"/>
      <c r="BD775" s="40"/>
      <c r="BE775" s="5"/>
      <c r="BG775" s="40"/>
      <c r="BH775" s="5"/>
      <c r="BJ775" s="40"/>
      <c r="BK775" s="5"/>
      <c r="BM775" s="40"/>
      <c r="BN775" s="5"/>
      <c r="BP775" s="40"/>
      <c r="BQ775" s="5"/>
      <c r="BS775" s="40"/>
      <c r="BT775" s="5"/>
      <c r="BV775" s="40"/>
      <c r="BW775" s="5"/>
      <c r="BY775" s="40"/>
      <c r="BZ775" s="5"/>
      <c r="CB775" s="40"/>
      <c r="CC775" s="5"/>
      <c r="CE775" s="40"/>
      <c r="CF775" s="5"/>
      <c r="CH775" s="40"/>
      <c r="CI775" s="5"/>
      <c r="CK775" s="40"/>
      <c r="CL775" s="5"/>
      <c r="CN775" s="40"/>
      <c r="CO775" s="5"/>
      <c r="CQ775" s="40"/>
      <c r="CR775" s="5"/>
    </row>
    <row r="776">
      <c r="AO776" s="40"/>
      <c r="AP776" s="5"/>
      <c r="AR776" s="40"/>
      <c r="AS776" s="5"/>
      <c r="AU776" s="40"/>
      <c r="AV776" s="5"/>
      <c r="AX776" s="40"/>
      <c r="AY776" s="5"/>
      <c r="BA776" s="40"/>
      <c r="BB776" s="5"/>
      <c r="BD776" s="40"/>
      <c r="BE776" s="5"/>
      <c r="BG776" s="40"/>
      <c r="BH776" s="5"/>
      <c r="BJ776" s="40"/>
      <c r="BK776" s="5"/>
      <c r="BM776" s="40"/>
      <c r="BN776" s="5"/>
      <c r="BP776" s="40"/>
      <c r="BQ776" s="5"/>
      <c r="BS776" s="40"/>
      <c r="BT776" s="5"/>
      <c r="BV776" s="40"/>
      <c r="BW776" s="5"/>
      <c r="BY776" s="40"/>
      <c r="BZ776" s="5"/>
      <c r="CB776" s="40"/>
      <c r="CC776" s="5"/>
      <c r="CE776" s="40"/>
      <c r="CF776" s="5"/>
      <c r="CH776" s="40"/>
      <c r="CI776" s="5"/>
      <c r="CK776" s="40"/>
      <c r="CL776" s="5"/>
      <c r="CN776" s="40"/>
      <c r="CO776" s="5"/>
      <c r="CQ776" s="40"/>
      <c r="CR776" s="5"/>
    </row>
    <row r="777">
      <c r="AO777" s="40"/>
      <c r="AP777" s="5"/>
      <c r="AR777" s="40"/>
      <c r="AS777" s="5"/>
      <c r="AU777" s="40"/>
      <c r="AV777" s="5"/>
      <c r="AX777" s="40"/>
      <c r="AY777" s="5"/>
      <c r="BA777" s="40"/>
      <c r="BB777" s="5"/>
      <c r="BD777" s="40"/>
      <c r="BE777" s="5"/>
      <c r="BG777" s="40"/>
      <c r="BH777" s="5"/>
      <c r="BJ777" s="40"/>
      <c r="BK777" s="5"/>
      <c r="BM777" s="40"/>
      <c r="BN777" s="5"/>
      <c r="BP777" s="40"/>
      <c r="BQ777" s="5"/>
      <c r="BS777" s="40"/>
      <c r="BT777" s="5"/>
      <c r="BV777" s="40"/>
      <c r="BW777" s="5"/>
      <c r="BY777" s="40"/>
      <c r="BZ777" s="5"/>
      <c r="CB777" s="40"/>
      <c r="CC777" s="5"/>
      <c r="CE777" s="40"/>
      <c r="CF777" s="5"/>
      <c r="CH777" s="40"/>
      <c r="CI777" s="5"/>
      <c r="CK777" s="40"/>
      <c r="CL777" s="5"/>
      <c r="CN777" s="40"/>
      <c r="CO777" s="5"/>
      <c r="CQ777" s="40"/>
      <c r="CR777" s="5"/>
    </row>
    <row r="778">
      <c r="AO778" s="40"/>
      <c r="AP778" s="5"/>
      <c r="AR778" s="40"/>
      <c r="AS778" s="5"/>
      <c r="AU778" s="40"/>
      <c r="AV778" s="5"/>
      <c r="AX778" s="40"/>
      <c r="AY778" s="5"/>
      <c r="BA778" s="40"/>
      <c r="BB778" s="5"/>
      <c r="BD778" s="40"/>
      <c r="BE778" s="5"/>
      <c r="BG778" s="40"/>
      <c r="BH778" s="5"/>
      <c r="BJ778" s="40"/>
      <c r="BK778" s="5"/>
      <c r="BM778" s="40"/>
      <c r="BN778" s="5"/>
      <c r="BP778" s="40"/>
      <c r="BQ778" s="5"/>
      <c r="BS778" s="40"/>
      <c r="BT778" s="5"/>
      <c r="BV778" s="40"/>
      <c r="BW778" s="5"/>
      <c r="BY778" s="40"/>
      <c r="BZ778" s="5"/>
      <c r="CB778" s="40"/>
      <c r="CC778" s="5"/>
      <c r="CE778" s="40"/>
      <c r="CF778" s="5"/>
      <c r="CH778" s="40"/>
      <c r="CI778" s="5"/>
      <c r="CK778" s="40"/>
      <c r="CL778" s="5"/>
      <c r="CN778" s="40"/>
      <c r="CO778" s="5"/>
      <c r="CQ778" s="40"/>
      <c r="CR778" s="5"/>
    </row>
    <row r="779">
      <c r="AO779" s="40"/>
      <c r="AP779" s="5"/>
      <c r="AR779" s="40"/>
      <c r="AS779" s="5"/>
      <c r="AU779" s="40"/>
      <c r="AV779" s="5"/>
      <c r="AX779" s="40"/>
      <c r="AY779" s="5"/>
      <c r="BA779" s="40"/>
      <c r="BB779" s="5"/>
      <c r="BD779" s="40"/>
      <c r="BE779" s="5"/>
      <c r="BG779" s="40"/>
      <c r="BH779" s="5"/>
      <c r="BJ779" s="40"/>
      <c r="BK779" s="5"/>
      <c r="BM779" s="40"/>
      <c r="BN779" s="5"/>
      <c r="BP779" s="40"/>
      <c r="BQ779" s="5"/>
      <c r="BS779" s="40"/>
      <c r="BT779" s="5"/>
      <c r="BV779" s="40"/>
      <c r="BW779" s="5"/>
      <c r="BY779" s="40"/>
      <c r="BZ779" s="5"/>
      <c r="CB779" s="40"/>
      <c r="CC779" s="5"/>
      <c r="CE779" s="40"/>
      <c r="CF779" s="5"/>
      <c r="CH779" s="40"/>
      <c r="CI779" s="5"/>
      <c r="CK779" s="40"/>
      <c r="CL779" s="5"/>
      <c r="CN779" s="40"/>
      <c r="CO779" s="5"/>
      <c r="CQ779" s="40"/>
      <c r="CR779" s="5"/>
    </row>
    <row r="780">
      <c r="AO780" s="40"/>
      <c r="AP780" s="5"/>
      <c r="AR780" s="40"/>
      <c r="AS780" s="5"/>
      <c r="AU780" s="40"/>
      <c r="AV780" s="5"/>
      <c r="AX780" s="40"/>
      <c r="AY780" s="5"/>
      <c r="BA780" s="40"/>
      <c r="BB780" s="5"/>
      <c r="BD780" s="40"/>
      <c r="BE780" s="5"/>
      <c r="BG780" s="40"/>
      <c r="BH780" s="5"/>
      <c r="BJ780" s="40"/>
      <c r="BK780" s="5"/>
      <c r="BM780" s="40"/>
      <c r="BN780" s="5"/>
      <c r="BP780" s="40"/>
      <c r="BQ780" s="5"/>
      <c r="BS780" s="40"/>
      <c r="BT780" s="5"/>
      <c r="BV780" s="40"/>
      <c r="BW780" s="5"/>
      <c r="BY780" s="40"/>
      <c r="BZ780" s="5"/>
      <c r="CB780" s="40"/>
      <c r="CC780" s="5"/>
      <c r="CE780" s="40"/>
      <c r="CF780" s="5"/>
      <c r="CH780" s="40"/>
      <c r="CI780" s="5"/>
      <c r="CK780" s="40"/>
      <c r="CL780" s="5"/>
      <c r="CN780" s="40"/>
      <c r="CO780" s="5"/>
      <c r="CQ780" s="40"/>
      <c r="CR780" s="5"/>
    </row>
    <row r="781">
      <c r="AO781" s="40"/>
      <c r="AP781" s="5"/>
      <c r="AR781" s="40"/>
      <c r="AS781" s="5"/>
      <c r="AU781" s="40"/>
      <c r="AV781" s="5"/>
      <c r="AX781" s="40"/>
      <c r="AY781" s="5"/>
      <c r="BA781" s="40"/>
      <c r="BB781" s="5"/>
      <c r="BD781" s="40"/>
      <c r="BE781" s="5"/>
      <c r="BG781" s="40"/>
      <c r="BH781" s="5"/>
      <c r="BJ781" s="40"/>
      <c r="BK781" s="5"/>
      <c r="BM781" s="40"/>
      <c r="BN781" s="5"/>
      <c r="BP781" s="40"/>
      <c r="BQ781" s="5"/>
      <c r="BS781" s="40"/>
      <c r="BT781" s="5"/>
      <c r="BV781" s="40"/>
      <c r="BW781" s="5"/>
      <c r="BY781" s="40"/>
      <c r="BZ781" s="5"/>
      <c r="CB781" s="40"/>
      <c r="CC781" s="5"/>
      <c r="CE781" s="40"/>
      <c r="CF781" s="5"/>
      <c r="CH781" s="40"/>
      <c r="CI781" s="5"/>
      <c r="CK781" s="40"/>
      <c r="CL781" s="5"/>
      <c r="CN781" s="40"/>
      <c r="CO781" s="5"/>
      <c r="CQ781" s="40"/>
      <c r="CR781" s="5"/>
    </row>
    <row r="782">
      <c r="AO782" s="40"/>
      <c r="AP782" s="5"/>
      <c r="AR782" s="40"/>
      <c r="AS782" s="5"/>
      <c r="AU782" s="40"/>
      <c r="AV782" s="5"/>
      <c r="AX782" s="40"/>
      <c r="AY782" s="5"/>
      <c r="BA782" s="40"/>
      <c r="BB782" s="5"/>
      <c r="BD782" s="40"/>
      <c r="BE782" s="5"/>
      <c r="BG782" s="40"/>
      <c r="BH782" s="5"/>
      <c r="BJ782" s="40"/>
      <c r="BK782" s="5"/>
      <c r="BM782" s="40"/>
      <c r="BN782" s="5"/>
      <c r="BP782" s="40"/>
      <c r="BQ782" s="5"/>
      <c r="BS782" s="40"/>
      <c r="BT782" s="5"/>
      <c r="BV782" s="40"/>
      <c r="BW782" s="5"/>
      <c r="BY782" s="40"/>
      <c r="BZ782" s="5"/>
      <c r="CB782" s="40"/>
      <c r="CC782" s="5"/>
      <c r="CE782" s="40"/>
      <c r="CF782" s="5"/>
      <c r="CH782" s="40"/>
      <c r="CI782" s="5"/>
      <c r="CK782" s="40"/>
      <c r="CL782" s="5"/>
      <c r="CN782" s="40"/>
      <c r="CO782" s="5"/>
      <c r="CQ782" s="40"/>
      <c r="CR782" s="5"/>
    </row>
    <row r="783">
      <c r="AO783" s="40"/>
      <c r="AP783" s="5"/>
      <c r="AR783" s="40"/>
      <c r="AS783" s="5"/>
      <c r="AU783" s="40"/>
      <c r="AV783" s="5"/>
      <c r="AX783" s="40"/>
      <c r="AY783" s="5"/>
      <c r="BA783" s="40"/>
      <c r="BB783" s="5"/>
      <c r="BD783" s="40"/>
      <c r="BE783" s="5"/>
      <c r="BG783" s="40"/>
      <c r="BH783" s="5"/>
      <c r="BJ783" s="40"/>
      <c r="BK783" s="5"/>
      <c r="BM783" s="40"/>
      <c r="BN783" s="5"/>
      <c r="BP783" s="40"/>
      <c r="BQ783" s="5"/>
      <c r="BS783" s="40"/>
      <c r="BT783" s="5"/>
      <c r="BV783" s="40"/>
      <c r="BW783" s="5"/>
      <c r="BY783" s="40"/>
      <c r="BZ783" s="5"/>
      <c r="CB783" s="40"/>
      <c r="CC783" s="5"/>
      <c r="CE783" s="40"/>
      <c r="CF783" s="5"/>
      <c r="CH783" s="40"/>
      <c r="CI783" s="5"/>
      <c r="CK783" s="40"/>
      <c r="CL783" s="5"/>
      <c r="CN783" s="40"/>
      <c r="CO783" s="5"/>
      <c r="CQ783" s="40"/>
      <c r="CR783" s="5"/>
    </row>
    <row r="784">
      <c r="AO784" s="40"/>
      <c r="AP784" s="5"/>
      <c r="AR784" s="40"/>
      <c r="AS784" s="5"/>
      <c r="AU784" s="40"/>
      <c r="AV784" s="5"/>
      <c r="AX784" s="40"/>
      <c r="AY784" s="5"/>
      <c r="BA784" s="40"/>
      <c r="BB784" s="5"/>
      <c r="BD784" s="40"/>
      <c r="BE784" s="5"/>
      <c r="BG784" s="40"/>
      <c r="BH784" s="5"/>
      <c r="BJ784" s="40"/>
      <c r="BK784" s="5"/>
      <c r="BM784" s="40"/>
      <c r="BN784" s="5"/>
      <c r="BP784" s="40"/>
      <c r="BQ784" s="5"/>
      <c r="BS784" s="40"/>
      <c r="BT784" s="5"/>
      <c r="BV784" s="40"/>
      <c r="BW784" s="5"/>
      <c r="BY784" s="40"/>
      <c r="BZ784" s="5"/>
      <c r="CB784" s="40"/>
      <c r="CC784" s="5"/>
      <c r="CE784" s="40"/>
      <c r="CF784" s="5"/>
      <c r="CH784" s="40"/>
      <c r="CI784" s="5"/>
      <c r="CK784" s="40"/>
      <c r="CL784" s="5"/>
      <c r="CN784" s="40"/>
      <c r="CO784" s="5"/>
      <c r="CQ784" s="40"/>
      <c r="CR784" s="5"/>
    </row>
    <row r="785">
      <c r="AO785" s="40"/>
      <c r="AP785" s="5"/>
      <c r="AR785" s="40"/>
      <c r="AS785" s="5"/>
      <c r="AU785" s="40"/>
      <c r="AV785" s="5"/>
      <c r="AX785" s="40"/>
      <c r="AY785" s="5"/>
      <c r="BA785" s="40"/>
      <c r="BB785" s="5"/>
      <c r="BD785" s="40"/>
      <c r="BE785" s="5"/>
      <c r="BG785" s="40"/>
      <c r="BH785" s="5"/>
      <c r="BJ785" s="40"/>
      <c r="BK785" s="5"/>
      <c r="BM785" s="40"/>
      <c r="BN785" s="5"/>
      <c r="BP785" s="40"/>
      <c r="BQ785" s="5"/>
      <c r="BS785" s="40"/>
      <c r="BT785" s="5"/>
      <c r="BV785" s="40"/>
      <c r="BW785" s="5"/>
      <c r="BY785" s="40"/>
      <c r="BZ785" s="5"/>
      <c r="CB785" s="40"/>
      <c r="CC785" s="5"/>
      <c r="CE785" s="40"/>
      <c r="CF785" s="5"/>
      <c r="CH785" s="40"/>
      <c r="CI785" s="5"/>
      <c r="CK785" s="40"/>
      <c r="CL785" s="5"/>
      <c r="CN785" s="40"/>
      <c r="CO785" s="5"/>
      <c r="CQ785" s="40"/>
      <c r="CR785" s="5"/>
    </row>
    <row r="786">
      <c r="AO786" s="40"/>
      <c r="AP786" s="5"/>
      <c r="AR786" s="40"/>
      <c r="AS786" s="5"/>
      <c r="AU786" s="40"/>
      <c r="AV786" s="5"/>
      <c r="AX786" s="40"/>
      <c r="AY786" s="5"/>
      <c r="BA786" s="40"/>
      <c r="BB786" s="5"/>
      <c r="BD786" s="40"/>
      <c r="BE786" s="5"/>
      <c r="BG786" s="40"/>
      <c r="BH786" s="5"/>
      <c r="BJ786" s="40"/>
      <c r="BK786" s="5"/>
      <c r="BM786" s="40"/>
      <c r="BN786" s="5"/>
      <c r="BP786" s="40"/>
      <c r="BQ786" s="5"/>
      <c r="BS786" s="40"/>
      <c r="BT786" s="5"/>
      <c r="BV786" s="40"/>
      <c r="BW786" s="5"/>
      <c r="BY786" s="40"/>
      <c r="BZ786" s="5"/>
      <c r="CB786" s="40"/>
      <c r="CC786" s="5"/>
      <c r="CE786" s="40"/>
      <c r="CF786" s="5"/>
      <c r="CH786" s="40"/>
      <c r="CI786" s="5"/>
      <c r="CK786" s="40"/>
      <c r="CL786" s="5"/>
      <c r="CN786" s="40"/>
      <c r="CO786" s="5"/>
      <c r="CQ786" s="40"/>
      <c r="CR786" s="5"/>
    </row>
    <row r="787">
      <c r="AO787" s="40"/>
      <c r="AP787" s="5"/>
      <c r="AR787" s="40"/>
      <c r="AS787" s="5"/>
      <c r="AU787" s="40"/>
      <c r="AV787" s="5"/>
      <c r="AX787" s="40"/>
      <c r="AY787" s="5"/>
      <c r="BA787" s="40"/>
      <c r="BB787" s="5"/>
      <c r="BD787" s="40"/>
      <c r="BE787" s="5"/>
      <c r="BG787" s="40"/>
      <c r="BH787" s="5"/>
      <c r="BJ787" s="40"/>
      <c r="BK787" s="5"/>
      <c r="BM787" s="40"/>
      <c r="BN787" s="5"/>
      <c r="BP787" s="40"/>
      <c r="BQ787" s="5"/>
      <c r="BS787" s="40"/>
      <c r="BT787" s="5"/>
      <c r="BV787" s="40"/>
      <c r="BW787" s="5"/>
      <c r="BY787" s="40"/>
      <c r="BZ787" s="5"/>
      <c r="CB787" s="40"/>
      <c r="CC787" s="5"/>
      <c r="CE787" s="40"/>
      <c r="CF787" s="5"/>
      <c r="CH787" s="40"/>
      <c r="CI787" s="5"/>
      <c r="CK787" s="40"/>
      <c r="CL787" s="5"/>
      <c r="CN787" s="40"/>
      <c r="CO787" s="5"/>
      <c r="CQ787" s="40"/>
      <c r="CR787" s="5"/>
    </row>
    <row r="788">
      <c r="AO788" s="40"/>
      <c r="AP788" s="5"/>
      <c r="AR788" s="40"/>
      <c r="AS788" s="5"/>
      <c r="AU788" s="40"/>
      <c r="AV788" s="5"/>
      <c r="AX788" s="40"/>
      <c r="AY788" s="5"/>
      <c r="BA788" s="40"/>
      <c r="BB788" s="5"/>
      <c r="BD788" s="40"/>
      <c r="BE788" s="5"/>
      <c r="BG788" s="40"/>
      <c r="BH788" s="5"/>
      <c r="BJ788" s="40"/>
      <c r="BK788" s="5"/>
      <c r="BM788" s="40"/>
      <c r="BN788" s="5"/>
      <c r="BP788" s="40"/>
      <c r="BQ788" s="5"/>
      <c r="BS788" s="40"/>
      <c r="BT788" s="5"/>
      <c r="BV788" s="40"/>
      <c r="BW788" s="5"/>
      <c r="BY788" s="40"/>
      <c r="BZ788" s="5"/>
      <c r="CB788" s="40"/>
      <c r="CC788" s="5"/>
      <c r="CE788" s="40"/>
      <c r="CF788" s="5"/>
      <c r="CH788" s="40"/>
      <c r="CI788" s="5"/>
      <c r="CK788" s="40"/>
      <c r="CL788" s="5"/>
      <c r="CN788" s="40"/>
      <c r="CO788" s="5"/>
      <c r="CQ788" s="40"/>
      <c r="CR788" s="5"/>
    </row>
    <row r="789">
      <c r="AO789" s="40"/>
      <c r="AP789" s="5"/>
      <c r="AR789" s="40"/>
      <c r="AS789" s="5"/>
      <c r="AU789" s="40"/>
      <c r="AV789" s="5"/>
      <c r="AX789" s="40"/>
      <c r="AY789" s="5"/>
      <c r="BA789" s="40"/>
      <c r="BB789" s="5"/>
      <c r="BD789" s="40"/>
      <c r="BE789" s="5"/>
      <c r="BG789" s="40"/>
      <c r="BH789" s="5"/>
      <c r="BJ789" s="40"/>
      <c r="BK789" s="5"/>
      <c r="BM789" s="40"/>
      <c r="BN789" s="5"/>
      <c r="BP789" s="40"/>
      <c r="BQ789" s="5"/>
      <c r="BS789" s="40"/>
      <c r="BT789" s="5"/>
      <c r="BV789" s="40"/>
      <c r="BW789" s="5"/>
      <c r="BY789" s="40"/>
      <c r="BZ789" s="5"/>
      <c r="CB789" s="40"/>
      <c r="CC789" s="5"/>
      <c r="CE789" s="40"/>
      <c r="CF789" s="5"/>
      <c r="CH789" s="40"/>
      <c r="CI789" s="5"/>
      <c r="CK789" s="40"/>
      <c r="CL789" s="5"/>
      <c r="CN789" s="40"/>
      <c r="CO789" s="5"/>
      <c r="CQ789" s="40"/>
      <c r="CR789" s="5"/>
    </row>
    <row r="790">
      <c r="AO790" s="40"/>
      <c r="AP790" s="5"/>
      <c r="AR790" s="40"/>
      <c r="AS790" s="5"/>
      <c r="AU790" s="40"/>
      <c r="AV790" s="5"/>
      <c r="AX790" s="40"/>
      <c r="AY790" s="5"/>
      <c r="BA790" s="40"/>
      <c r="BB790" s="5"/>
      <c r="BD790" s="40"/>
      <c r="BE790" s="5"/>
      <c r="BG790" s="40"/>
      <c r="BH790" s="5"/>
      <c r="BJ790" s="40"/>
      <c r="BK790" s="5"/>
      <c r="BM790" s="40"/>
      <c r="BN790" s="5"/>
      <c r="BP790" s="40"/>
      <c r="BQ790" s="5"/>
      <c r="BS790" s="40"/>
      <c r="BT790" s="5"/>
      <c r="BV790" s="40"/>
      <c r="BW790" s="5"/>
      <c r="BY790" s="40"/>
      <c r="BZ790" s="5"/>
      <c r="CB790" s="40"/>
      <c r="CC790" s="5"/>
      <c r="CE790" s="40"/>
      <c r="CF790" s="5"/>
      <c r="CH790" s="40"/>
      <c r="CI790" s="5"/>
      <c r="CK790" s="40"/>
      <c r="CL790" s="5"/>
      <c r="CN790" s="40"/>
      <c r="CO790" s="5"/>
      <c r="CQ790" s="40"/>
      <c r="CR790" s="5"/>
    </row>
    <row r="791">
      <c r="AO791" s="40"/>
      <c r="AP791" s="5"/>
      <c r="AR791" s="40"/>
      <c r="AS791" s="5"/>
      <c r="AU791" s="40"/>
      <c r="AV791" s="5"/>
      <c r="AX791" s="40"/>
      <c r="AY791" s="5"/>
      <c r="BA791" s="40"/>
      <c r="BB791" s="5"/>
      <c r="BD791" s="40"/>
      <c r="BE791" s="5"/>
      <c r="BG791" s="40"/>
      <c r="BH791" s="5"/>
      <c r="BJ791" s="40"/>
      <c r="BK791" s="5"/>
      <c r="BM791" s="40"/>
      <c r="BN791" s="5"/>
      <c r="BP791" s="40"/>
      <c r="BQ791" s="5"/>
      <c r="BS791" s="40"/>
      <c r="BT791" s="5"/>
      <c r="BV791" s="40"/>
      <c r="BW791" s="5"/>
      <c r="BY791" s="40"/>
      <c r="BZ791" s="5"/>
      <c r="CB791" s="40"/>
      <c r="CC791" s="5"/>
      <c r="CE791" s="40"/>
      <c r="CF791" s="5"/>
      <c r="CH791" s="40"/>
      <c r="CI791" s="5"/>
      <c r="CK791" s="40"/>
      <c r="CL791" s="5"/>
      <c r="CN791" s="40"/>
      <c r="CO791" s="5"/>
      <c r="CQ791" s="40"/>
      <c r="CR791" s="5"/>
    </row>
    <row r="792">
      <c r="AO792" s="40"/>
      <c r="AP792" s="5"/>
      <c r="AR792" s="40"/>
      <c r="AS792" s="5"/>
      <c r="AU792" s="40"/>
      <c r="AV792" s="5"/>
      <c r="AX792" s="40"/>
      <c r="AY792" s="5"/>
      <c r="BA792" s="40"/>
      <c r="BB792" s="5"/>
      <c r="BD792" s="40"/>
      <c r="BE792" s="5"/>
      <c r="BG792" s="40"/>
      <c r="BH792" s="5"/>
      <c r="BJ792" s="40"/>
      <c r="BK792" s="5"/>
      <c r="BM792" s="40"/>
      <c r="BN792" s="5"/>
      <c r="BP792" s="40"/>
      <c r="BQ792" s="5"/>
      <c r="BS792" s="40"/>
      <c r="BT792" s="5"/>
      <c r="BV792" s="40"/>
      <c r="BW792" s="5"/>
      <c r="BY792" s="40"/>
      <c r="BZ792" s="5"/>
      <c r="CB792" s="40"/>
      <c r="CC792" s="5"/>
      <c r="CE792" s="40"/>
      <c r="CF792" s="5"/>
      <c r="CH792" s="40"/>
      <c r="CI792" s="5"/>
      <c r="CK792" s="40"/>
      <c r="CL792" s="5"/>
      <c r="CN792" s="40"/>
      <c r="CO792" s="5"/>
      <c r="CQ792" s="40"/>
      <c r="CR792" s="5"/>
    </row>
    <row r="793">
      <c r="AO793" s="40"/>
      <c r="AP793" s="5"/>
      <c r="AR793" s="40"/>
      <c r="AS793" s="5"/>
      <c r="AU793" s="40"/>
      <c r="AV793" s="5"/>
      <c r="AX793" s="40"/>
      <c r="AY793" s="5"/>
      <c r="BA793" s="40"/>
      <c r="BB793" s="5"/>
      <c r="BD793" s="40"/>
      <c r="BE793" s="5"/>
      <c r="BG793" s="40"/>
      <c r="BH793" s="5"/>
      <c r="BJ793" s="40"/>
      <c r="BK793" s="5"/>
      <c r="BM793" s="40"/>
      <c r="BN793" s="5"/>
      <c r="BP793" s="40"/>
      <c r="BQ793" s="5"/>
      <c r="BS793" s="40"/>
      <c r="BT793" s="5"/>
      <c r="BV793" s="40"/>
      <c r="BW793" s="5"/>
      <c r="BY793" s="40"/>
      <c r="BZ793" s="5"/>
      <c r="CB793" s="40"/>
      <c r="CC793" s="5"/>
      <c r="CE793" s="40"/>
      <c r="CF793" s="5"/>
      <c r="CH793" s="40"/>
      <c r="CI793" s="5"/>
      <c r="CK793" s="40"/>
      <c r="CL793" s="5"/>
      <c r="CN793" s="40"/>
      <c r="CO793" s="5"/>
      <c r="CQ793" s="40"/>
      <c r="CR793" s="5"/>
    </row>
    <row r="794">
      <c r="AO794" s="40"/>
      <c r="AP794" s="5"/>
      <c r="AR794" s="40"/>
      <c r="AS794" s="5"/>
      <c r="AU794" s="40"/>
      <c r="AV794" s="5"/>
      <c r="AX794" s="40"/>
      <c r="AY794" s="5"/>
      <c r="BA794" s="40"/>
      <c r="BB794" s="5"/>
      <c r="BD794" s="40"/>
      <c r="BE794" s="5"/>
      <c r="BG794" s="40"/>
      <c r="BH794" s="5"/>
      <c r="BJ794" s="40"/>
      <c r="BK794" s="5"/>
      <c r="BM794" s="40"/>
      <c r="BN794" s="5"/>
      <c r="BP794" s="40"/>
      <c r="BQ794" s="5"/>
      <c r="BS794" s="40"/>
      <c r="BT794" s="5"/>
      <c r="BV794" s="40"/>
      <c r="BW794" s="5"/>
      <c r="BY794" s="40"/>
      <c r="BZ794" s="5"/>
      <c r="CB794" s="40"/>
      <c r="CC794" s="5"/>
      <c r="CE794" s="40"/>
      <c r="CF794" s="5"/>
      <c r="CH794" s="40"/>
      <c r="CI794" s="5"/>
      <c r="CK794" s="40"/>
      <c r="CL794" s="5"/>
      <c r="CN794" s="40"/>
      <c r="CO794" s="5"/>
      <c r="CQ794" s="40"/>
      <c r="CR794" s="5"/>
    </row>
    <row r="795">
      <c r="AO795" s="40"/>
      <c r="AP795" s="5"/>
      <c r="AR795" s="40"/>
      <c r="AS795" s="5"/>
      <c r="AU795" s="40"/>
      <c r="AV795" s="5"/>
      <c r="AX795" s="40"/>
      <c r="AY795" s="5"/>
      <c r="BA795" s="40"/>
      <c r="BB795" s="5"/>
      <c r="BD795" s="40"/>
      <c r="BE795" s="5"/>
      <c r="BG795" s="40"/>
      <c r="BH795" s="5"/>
      <c r="BJ795" s="40"/>
      <c r="BK795" s="5"/>
      <c r="BM795" s="40"/>
      <c r="BN795" s="5"/>
      <c r="BP795" s="40"/>
      <c r="BQ795" s="5"/>
      <c r="BS795" s="40"/>
      <c r="BT795" s="5"/>
      <c r="BV795" s="40"/>
      <c r="BW795" s="5"/>
      <c r="BY795" s="40"/>
      <c r="BZ795" s="5"/>
      <c r="CB795" s="40"/>
      <c r="CC795" s="5"/>
      <c r="CE795" s="40"/>
      <c r="CF795" s="5"/>
      <c r="CH795" s="40"/>
      <c r="CI795" s="5"/>
      <c r="CK795" s="40"/>
      <c r="CL795" s="5"/>
      <c r="CN795" s="40"/>
      <c r="CO795" s="5"/>
      <c r="CQ795" s="40"/>
      <c r="CR795" s="5"/>
    </row>
    <row r="796">
      <c r="AO796" s="40"/>
      <c r="AP796" s="5"/>
      <c r="AR796" s="40"/>
      <c r="AS796" s="5"/>
      <c r="AU796" s="40"/>
      <c r="AV796" s="5"/>
      <c r="AX796" s="40"/>
      <c r="AY796" s="5"/>
      <c r="BA796" s="40"/>
      <c r="BB796" s="5"/>
      <c r="BD796" s="40"/>
      <c r="BE796" s="5"/>
      <c r="BG796" s="40"/>
      <c r="BH796" s="5"/>
      <c r="BJ796" s="40"/>
      <c r="BK796" s="5"/>
      <c r="BM796" s="40"/>
      <c r="BN796" s="5"/>
      <c r="BP796" s="40"/>
      <c r="BQ796" s="5"/>
      <c r="BS796" s="40"/>
      <c r="BT796" s="5"/>
      <c r="BV796" s="40"/>
      <c r="BW796" s="5"/>
      <c r="BY796" s="40"/>
      <c r="BZ796" s="5"/>
      <c r="CB796" s="40"/>
      <c r="CC796" s="5"/>
      <c r="CE796" s="40"/>
      <c r="CF796" s="5"/>
      <c r="CH796" s="40"/>
      <c r="CI796" s="5"/>
      <c r="CK796" s="40"/>
      <c r="CL796" s="5"/>
      <c r="CN796" s="40"/>
      <c r="CO796" s="5"/>
      <c r="CQ796" s="40"/>
      <c r="CR796" s="5"/>
    </row>
    <row r="797">
      <c r="AO797" s="40"/>
      <c r="AP797" s="5"/>
      <c r="AR797" s="40"/>
      <c r="AS797" s="5"/>
      <c r="AU797" s="40"/>
      <c r="AV797" s="5"/>
      <c r="AX797" s="40"/>
      <c r="AY797" s="5"/>
      <c r="BA797" s="40"/>
      <c r="BB797" s="5"/>
      <c r="BD797" s="40"/>
      <c r="BE797" s="5"/>
      <c r="BG797" s="40"/>
      <c r="BH797" s="5"/>
      <c r="BJ797" s="40"/>
      <c r="BK797" s="5"/>
      <c r="BM797" s="40"/>
      <c r="BN797" s="5"/>
      <c r="BP797" s="40"/>
      <c r="BQ797" s="5"/>
      <c r="BS797" s="40"/>
      <c r="BT797" s="5"/>
      <c r="BV797" s="40"/>
      <c r="BW797" s="5"/>
      <c r="BY797" s="40"/>
      <c r="BZ797" s="5"/>
      <c r="CB797" s="40"/>
      <c r="CC797" s="5"/>
      <c r="CE797" s="40"/>
      <c r="CF797" s="5"/>
      <c r="CH797" s="40"/>
      <c r="CI797" s="5"/>
      <c r="CK797" s="40"/>
      <c r="CL797" s="5"/>
      <c r="CN797" s="40"/>
      <c r="CO797" s="5"/>
      <c r="CQ797" s="40"/>
      <c r="CR797" s="5"/>
    </row>
    <row r="798">
      <c r="AO798" s="40"/>
      <c r="AP798" s="5"/>
      <c r="AR798" s="40"/>
      <c r="AS798" s="5"/>
      <c r="AU798" s="40"/>
      <c r="AV798" s="5"/>
      <c r="AX798" s="40"/>
      <c r="AY798" s="5"/>
      <c r="BA798" s="40"/>
      <c r="BB798" s="5"/>
      <c r="BD798" s="40"/>
      <c r="BE798" s="5"/>
      <c r="BG798" s="40"/>
      <c r="BH798" s="5"/>
      <c r="BJ798" s="40"/>
      <c r="BK798" s="5"/>
      <c r="BM798" s="40"/>
      <c r="BN798" s="5"/>
      <c r="BP798" s="40"/>
      <c r="BQ798" s="5"/>
      <c r="BS798" s="40"/>
      <c r="BT798" s="5"/>
      <c r="BV798" s="40"/>
      <c r="BW798" s="5"/>
      <c r="BY798" s="40"/>
      <c r="BZ798" s="5"/>
      <c r="CB798" s="40"/>
      <c r="CC798" s="5"/>
      <c r="CE798" s="40"/>
      <c r="CF798" s="5"/>
      <c r="CH798" s="40"/>
      <c r="CI798" s="5"/>
      <c r="CK798" s="40"/>
      <c r="CL798" s="5"/>
      <c r="CN798" s="40"/>
      <c r="CO798" s="5"/>
      <c r="CQ798" s="40"/>
      <c r="CR798" s="5"/>
    </row>
    <row r="799">
      <c r="AO799" s="40"/>
      <c r="AP799" s="5"/>
      <c r="AR799" s="40"/>
      <c r="AS799" s="5"/>
      <c r="AU799" s="40"/>
      <c r="AV799" s="5"/>
      <c r="AX799" s="40"/>
      <c r="AY799" s="5"/>
      <c r="BA799" s="40"/>
      <c r="BB799" s="5"/>
      <c r="BD799" s="40"/>
      <c r="BE799" s="5"/>
      <c r="BG799" s="40"/>
      <c r="BH799" s="5"/>
      <c r="BJ799" s="40"/>
      <c r="BK799" s="5"/>
      <c r="BM799" s="40"/>
      <c r="BN799" s="5"/>
      <c r="BP799" s="40"/>
      <c r="BQ799" s="5"/>
      <c r="BS799" s="40"/>
      <c r="BT799" s="5"/>
      <c r="BV799" s="40"/>
      <c r="BW799" s="5"/>
      <c r="BY799" s="40"/>
      <c r="BZ799" s="5"/>
      <c r="CB799" s="40"/>
      <c r="CC799" s="5"/>
      <c r="CE799" s="40"/>
      <c r="CF799" s="5"/>
      <c r="CH799" s="40"/>
      <c r="CI799" s="5"/>
      <c r="CK799" s="40"/>
      <c r="CL799" s="5"/>
      <c r="CN799" s="40"/>
      <c r="CO799" s="5"/>
      <c r="CQ799" s="40"/>
      <c r="CR799" s="5"/>
    </row>
    <row r="800">
      <c r="AO800" s="40"/>
      <c r="AP800" s="5"/>
      <c r="AR800" s="40"/>
      <c r="AS800" s="5"/>
      <c r="AU800" s="40"/>
      <c r="AV800" s="5"/>
      <c r="AX800" s="40"/>
      <c r="AY800" s="5"/>
      <c r="BA800" s="40"/>
      <c r="BB800" s="5"/>
      <c r="BD800" s="40"/>
      <c r="BE800" s="5"/>
      <c r="BG800" s="40"/>
      <c r="BH800" s="5"/>
      <c r="BJ800" s="40"/>
      <c r="BK800" s="5"/>
      <c r="BM800" s="40"/>
      <c r="BN800" s="5"/>
      <c r="BP800" s="40"/>
      <c r="BQ800" s="5"/>
      <c r="BS800" s="40"/>
      <c r="BT800" s="5"/>
      <c r="BV800" s="40"/>
      <c r="BW800" s="5"/>
      <c r="BY800" s="40"/>
      <c r="BZ800" s="5"/>
      <c r="CB800" s="40"/>
      <c r="CC800" s="5"/>
      <c r="CE800" s="40"/>
      <c r="CF800" s="5"/>
      <c r="CH800" s="40"/>
      <c r="CI800" s="5"/>
      <c r="CK800" s="40"/>
      <c r="CL800" s="5"/>
      <c r="CN800" s="40"/>
      <c r="CO800" s="5"/>
      <c r="CQ800" s="40"/>
      <c r="CR800" s="5"/>
    </row>
    <row r="801">
      <c r="AO801" s="40"/>
      <c r="AP801" s="5"/>
      <c r="AR801" s="40"/>
      <c r="AS801" s="5"/>
      <c r="AU801" s="40"/>
      <c r="AV801" s="5"/>
      <c r="AX801" s="40"/>
      <c r="AY801" s="5"/>
      <c r="BA801" s="40"/>
      <c r="BB801" s="5"/>
      <c r="BD801" s="40"/>
      <c r="BE801" s="5"/>
      <c r="BG801" s="40"/>
      <c r="BH801" s="5"/>
      <c r="BJ801" s="40"/>
      <c r="BK801" s="5"/>
      <c r="BM801" s="40"/>
      <c r="BN801" s="5"/>
      <c r="BP801" s="40"/>
      <c r="BQ801" s="5"/>
      <c r="BS801" s="40"/>
      <c r="BT801" s="5"/>
      <c r="BV801" s="40"/>
      <c r="BW801" s="5"/>
      <c r="BY801" s="40"/>
      <c r="BZ801" s="5"/>
      <c r="CB801" s="40"/>
      <c r="CC801" s="5"/>
      <c r="CE801" s="40"/>
      <c r="CF801" s="5"/>
      <c r="CH801" s="40"/>
      <c r="CI801" s="5"/>
      <c r="CK801" s="40"/>
      <c r="CL801" s="5"/>
      <c r="CN801" s="40"/>
      <c r="CO801" s="5"/>
      <c r="CQ801" s="40"/>
      <c r="CR801" s="5"/>
    </row>
    <row r="802">
      <c r="AO802" s="40"/>
      <c r="AP802" s="5"/>
      <c r="AR802" s="40"/>
      <c r="AS802" s="5"/>
      <c r="AU802" s="40"/>
      <c r="AV802" s="5"/>
      <c r="AX802" s="40"/>
      <c r="AY802" s="5"/>
      <c r="BA802" s="40"/>
      <c r="BB802" s="5"/>
      <c r="BD802" s="40"/>
      <c r="BE802" s="5"/>
      <c r="BG802" s="40"/>
      <c r="BH802" s="5"/>
      <c r="BJ802" s="40"/>
      <c r="BK802" s="5"/>
      <c r="BM802" s="40"/>
      <c r="BN802" s="5"/>
      <c r="BP802" s="40"/>
      <c r="BQ802" s="5"/>
      <c r="BS802" s="40"/>
      <c r="BT802" s="5"/>
      <c r="BV802" s="40"/>
      <c r="BW802" s="5"/>
      <c r="BY802" s="40"/>
      <c r="BZ802" s="5"/>
      <c r="CB802" s="40"/>
      <c r="CC802" s="5"/>
      <c r="CE802" s="40"/>
      <c r="CF802" s="5"/>
      <c r="CH802" s="40"/>
      <c r="CI802" s="5"/>
      <c r="CK802" s="40"/>
      <c r="CL802" s="5"/>
      <c r="CN802" s="40"/>
      <c r="CO802" s="5"/>
      <c r="CQ802" s="40"/>
      <c r="CR802" s="5"/>
    </row>
    <row r="803">
      <c r="AO803" s="40"/>
      <c r="AP803" s="5"/>
      <c r="AR803" s="40"/>
      <c r="AS803" s="5"/>
      <c r="AU803" s="40"/>
      <c r="AV803" s="5"/>
      <c r="AX803" s="40"/>
      <c r="AY803" s="5"/>
      <c r="BA803" s="40"/>
      <c r="BB803" s="5"/>
      <c r="BD803" s="40"/>
      <c r="BE803" s="5"/>
      <c r="BG803" s="40"/>
      <c r="BH803" s="5"/>
      <c r="BJ803" s="40"/>
      <c r="BK803" s="5"/>
      <c r="BM803" s="40"/>
      <c r="BN803" s="5"/>
      <c r="BP803" s="40"/>
      <c r="BQ803" s="5"/>
      <c r="BS803" s="40"/>
      <c r="BT803" s="5"/>
      <c r="BV803" s="40"/>
      <c r="BW803" s="5"/>
      <c r="BY803" s="40"/>
      <c r="BZ803" s="5"/>
      <c r="CB803" s="40"/>
      <c r="CC803" s="5"/>
      <c r="CE803" s="40"/>
      <c r="CF803" s="5"/>
      <c r="CH803" s="40"/>
      <c r="CI803" s="5"/>
      <c r="CK803" s="40"/>
      <c r="CL803" s="5"/>
      <c r="CN803" s="40"/>
      <c r="CO803" s="5"/>
      <c r="CQ803" s="40"/>
      <c r="CR803" s="5"/>
    </row>
    <row r="804">
      <c r="AO804" s="40"/>
      <c r="AP804" s="5"/>
      <c r="AR804" s="40"/>
      <c r="AS804" s="5"/>
      <c r="AU804" s="40"/>
      <c r="AV804" s="5"/>
      <c r="AX804" s="40"/>
      <c r="AY804" s="5"/>
      <c r="BA804" s="40"/>
      <c r="BB804" s="5"/>
      <c r="BD804" s="40"/>
      <c r="BE804" s="5"/>
      <c r="BG804" s="40"/>
      <c r="BH804" s="5"/>
      <c r="BJ804" s="40"/>
      <c r="BK804" s="5"/>
      <c r="BM804" s="40"/>
      <c r="BN804" s="5"/>
      <c r="BP804" s="40"/>
      <c r="BQ804" s="5"/>
      <c r="BS804" s="40"/>
      <c r="BT804" s="5"/>
      <c r="BV804" s="40"/>
      <c r="BW804" s="5"/>
      <c r="BY804" s="40"/>
      <c r="BZ804" s="5"/>
      <c r="CB804" s="40"/>
      <c r="CC804" s="5"/>
      <c r="CE804" s="40"/>
      <c r="CF804" s="5"/>
      <c r="CH804" s="40"/>
      <c r="CI804" s="5"/>
      <c r="CK804" s="40"/>
      <c r="CL804" s="5"/>
      <c r="CN804" s="40"/>
      <c r="CO804" s="5"/>
      <c r="CQ804" s="40"/>
      <c r="CR804" s="5"/>
    </row>
    <row r="805">
      <c r="AO805" s="40"/>
      <c r="AP805" s="5"/>
      <c r="AR805" s="40"/>
      <c r="AS805" s="5"/>
      <c r="AU805" s="40"/>
      <c r="AV805" s="5"/>
      <c r="AX805" s="40"/>
      <c r="AY805" s="5"/>
      <c r="BA805" s="40"/>
      <c r="BB805" s="5"/>
      <c r="BD805" s="40"/>
      <c r="BE805" s="5"/>
      <c r="BG805" s="40"/>
      <c r="BH805" s="5"/>
      <c r="BJ805" s="40"/>
      <c r="BK805" s="5"/>
      <c r="BM805" s="40"/>
      <c r="BN805" s="5"/>
      <c r="BP805" s="40"/>
      <c r="BQ805" s="5"/>
      <c r="BS805" s="40"/>
      <c r="BT805" s="5"/>
      <c r="BV805" s="40"/>
      <c r="BW805" s="5"/>
      <c r="BY805" s="40"/>
      <c r="BZ805" s="5"/>
      <c r="CB805" s="40"/>
      <c r="CC805" s="5"/>
      <c r="CE805" s="40"/>
      <c r="CF805" s="5"/>
      <c r="CH805" s="40"/>
      <c r="CI805" s="5"/>
      <c r="CK805" s="40"/>
      <c r="CL805" s="5"/>
      <c r="CN805" s="40"/>
      <c r="CO805" s="5"/>
      <c r="CQ805" s="40"/>
      <c r="CR805" s="5"/>
    </row>
    <row r="806">
      <c r="AO806" s="40"/>
      <c r="AP806" s="5"/>
      <c r="AR806" s="40"/>
      <c r="AS806" s="5"/>
      <c r="AU806" s="40"/>
      <c r="AV806" s="5"/>
      <c r="AX806" s="40"/>
      <c r="AY806" s="5"/>
      <c r="BA806" s="40"/>
      <c r="BB806" s="5"/>
      <c r="BD806" s="40"/>
      <c r="BE806" s="5"/>
      <c r="BG806" s="40"/>
      <c r="BH806" s="5"/>
      <c r="BJ806" s="40"/>
      <c r="BK806" s="5"/>
      <c r="BM806" s="40"/>
      <c r="BN806" s="5"/>
      <c r="BP806" s="40"/>
      <c r="BQ806" s="5"/>
      <c r="BS806" s="40"/>
      <c r="BT806" s="5"/>
      <c r="BV806" s="40"/>
      <c r="BW806" s="5"/>
      <c r="BY806" s="40"/>
      <c r="BZ806" s="5"/>
      <c r="CB806" s="40"/>
      <c r="CC806" s="5"/>
      <c r="CE806" s="40"/>
      <c r="CF806" s="5"/>
      <c r="CH806" s="40"/>
      <c r="CI806" s="5"/>
      <c r="CK806" s="40"/>
      <c r="CL806" s="5"/>
      <c r="CN806" s="40"/>
      <c r="CO806" s="5"/>
      <c r="CQ806" s="40"/>
      <c r="CR806" s="5"/>
    </row>
    <row r="807">
      <c r="AO807" s="40"/>
      <c r="AP807" s="5"/>
      <c r="AR807" s="40"/>
      <c r="AS807" s="5"/>
      <c r="AU807" s="40"/>
      <c r="AV807" s="5"/>
      <c r="AX807" s="40"/>
      <c r="AY807" s="5"/>
      <c r="BA807" s="40"/>
      <c r="BB807" s="5"/>
      <c r="BD807" s="40"/>
      <c r="BE807" s="5"/>
      <c r="BG807" s="40"/>
      <c r="BH807" s="5"/>
      <c r="BJ807" s="40"/>
      <c r="BK807" s="5"/>
      <c r="BM807" s="40"/>
      <c r="BN807" s="5"/>
      <c r="BP807" s="40"/>
      <c r="BQ807" s="5"/>
      <c r="BS807" s="40"/>
      <c r="BT807" s="5"/>
      <c r="BV807" s="40"/>
      <c r="BW807" s="5"/>
      <c r="BY807" s="40"/>
      <c r="BZ807" s="5"/>
      <c r="CB807" s="40"/>
      <c r="CC807" s="5"/>
      <c r="CE807" s="40"/>
      <c r="CF807" s="5"/>
      <c r="CH807" s="40"/>
      <c r="CI807" s="5"/>
      <c r="CK807" s="40"/>
      <c r="CL807" s="5"/>
      <c r="CN807" s="40"/>
      <c r="CO807" s="5"/>
      <c r="CQ807" s="40"/>
      <c r="CR807" s="5"/>
    </row>
    <row r="808">
      <c r="AO808" s="40"/>
      <c r="AP808" s="5"/>
      <c r="AR808" s="40"/>
      <c r="AS808" s="5"/>
      <c r="AU808" s="40"/>
      <c r="AV808" s="5"/>
      <c r="AX808" s="40"/>
      <c r="AY808" s="5"/>
      <c r="BA808" s="40"/>
      <c r="BB808" s="5"/>
      <c r="BD808" s="40"/>
      <c r="BE808" s="5"/>
      <c r="BG808" s="40"/>
      <c r="BH808" s="5"/>
      <c r="BJ808" s="40"/>
      <c r="BK808" s="5"/>
      <c r="BM808" s="40"/>
      <c r="BN808" s="5"/>
      <c r="BP808" s="40"/>
      <c r="BQ808" s="5"/>
      <c r="BS808" s="40"/>
      <c r="BT808" s="5"/>
      <c r="BV808" s="40"/>
      <c r="BW808" s="5"/>
      <c r="BY808" s="40"/>
      <c r="BZ808" s="5"/>
      <c r="CB808" s="40"/>
      <c r="CC808" s="5"/>
      <c r="CE808" s="40"/>
      <c r="CF808" s="5"/>
      <c r="CH808" s="40"/>
      <c r="CI808" s="5"/>
      <c r="CK808" s="40"/>
      <c r="CL808" s="5"/>
      <c r="CN808" s="40"/>
      <c r="CO808" s="5"/>
      <c r="CQ808" s="40"/>
      <c r="CR808" s="5"/>
    </row>
    <row r="809">
      <c r="AO809" s="40"/>
      <c r="AP809" s="5"/>
      <c r="AR809" s="40"/>
      <c r="AS809" s="5"/>
      <c r="AU809" s="40"/>
      <c r="AV809" s="5"/>
      <c r="AX809" s="40"/>
      <c r="AY809" s="5"/>
      <c r="BA809" s="40"/>
      <c r="BB809" s="5"/>
      <c r="BD809" s="40"/>
      <c r="BE809" s="5"/>
      <c r="BG809" s="40"/>
      <c r="BH809" s="5"/>
      <c r="BJ809" s="40"/>
      <c r="BK809" s="5"/>
      <c r="BM809" s="40"/>
      <c r="BN809" s="5"/>
      <c r="BP809" s="40"/>
      <c r="BQ809" s="5"/>
      <c r="BS809" s="40"/>
      <c r="BT809" s="5"/>
      <c r="BV809" s="40"/>
      <c r="BW809" s="5"/>
      <c r="BY809" s="40"/>
      <c r="BZ809" s="5"/>
      <c r="CB809" s="40"/>
      <c r="CC809" s="5"/>
      <c r="CE809" s="40"/>
      <c r="CF809" s="5"/>
      <c r="CH809" s="40"/>
      <c r="CI809" s="5"/>
      <c r="CK809" s="40"/>
      <c r="CL809" s="5"/>
      <c r="CN809" s="40"/>
      <c r="CO809" s="5"/>
      <c r="CQ809" s="40"/>
      <c r="CR809" s="5"/>
    </row>
    <row r="810">
      <c r="AO810" s="40"/>
      <c r="AP810" s="5"/>
      <c r="AR810" s="40"/>
      <c r="AS810" s="5"/>
      <c r="AU810" s="40"/>
      <c r="AV810" s="5"/>
      <c r="AX810" s="40"/>
      <c r="AY810" s="5"/>
      <c r="BA810" s="40"/>
      <c r="BB810" s="5"/>
      <c r="BD810" s="40"/>
      <c r="BE810" s="5"/>
      <c r="BG810" s="40"/>
      <c r="BH810" s="5"/>
      <c r="BJ810" s="40"/>
      <c r="BK810" s="5"/>
      <c r="BM810" s="40"/>
      <c r="BN810" s="5"/>
      <c r="BP810" s="40"/>
      <c r="BQ810" s="5"/>
      <c r="BS810" s="40"/>
      <c r="BT810" s="5"/>
      <c r="BV810" s="40"/>
      <c r="BW810" s="5"/>
      <c r="BY810" s="40"/>
      <c r="BZ810" s="5"/>
      <c r="CB810" s="40"/>
      <c r="CC810" s="5"/>
      <c r="CE810" s="40"/>
      <c r="CF810" s="5"/>
      <c r="CH810" s="40"/>
      <c r="CI810" s="5"/>
      <c r="CK810" s="40"/>
      <c r="CL810" s="5"/>
      <c r="CN810" s="40"/>
      <c r="CO810" s="5"/>
      <c r="CQ810" s="40"/>
      <c r="CR810" s="5"/>
    </row>
    <row r="811">
      <c r="AO811" s="40"/>
      <c r="AP811" s="5"/>
      <c r="AR811" s="40"/>
      <c r="AS811" s="5"/>
      <c r="AU811" s="40"/>
      <c r="AV811" s="5"/>
      <c r="AX811" s="40"/>
      <c r="AY811" s="5"/>
      <c r="BA811" s="40"/>
      <c r="BB811" s="5"/>
      <c r="BD811" s="40"/>
      <c r="BE811" s="5"/>
      <c r="BG811" s="40"/>
      <c r="BH811" s="5"/>
      <c r="BJ811" s="40"/>
      <c r="BK811" s="5"/>
      <c r="BM811" s="40"/>
      <c r="BN811" s="5"/>
      <c r="BP811" s="40"/>
      <c r="BQ811" s="5"/>
      <c r="BS811" s="40"/>
      <c r="BT811" s="5"/>
      <c r="BV811" s="40"/>
      <c r="BW811" s="5"/>
      <c r="BY811" s="40"/>
      <c r="BZ811" s="5"/>
      <c r="CB811" s="40"/>
      <c r="CC811" s="5"/>
      <c r="CE811" s="40"/>
      <c r="CF811" s="5"/>
      <c r="CH811" s="40"/>
      <c r="CI811" s="5"/>
      <c r="CK811" s="40"/>
      <c r="CL811" s="5"/>
      <c r="CN811" s="40"/>
      <c r="CO811" s="5"/>
      <c r="CQ811" s="40"/>
      <c r="CR811" s="5"/>
    </row>
    <row r="812">
      <c r="AO812" s="40"/>
      <c r="AP812" s="5"/>
      <c r="AR812" s="40"/>
      <c r="AS812" s="5"/>
      <c r="AU812" s="40"/>
      <c r="AV812" s="5"/>
      <c r="AX812" s="40"/>
      <c r="AY812" s="5"/>
      <c r="BA812" s="40"/>
      <c r="BB812" s="5"/>
      <c r="BD812" s="40"/>
      <c r="BE812" s="5"/>
      <c r="BG812" s="40"/>
      <c r="BH812" s="5"/>
      <c r="BJ812" s="40"/>
      <c r="BK812" s="5"/>
      <c r="BM812" s="40"/>
      <c r="BN812" s="5"/>
      <c r="BP812" s="40"/>
      <c r="BQ812" s="5"/>
      <c r="BS812" s="40"/>
      <c r="BT812" s="5"/>
      <c r="BV812" s="40"/>
      <c r="BW812" s="5"/>
      <c r="BY812" s="40"/>
      <c r="BZ812" s="5"/>
      <c r="CB812" s="40"/>
      <c r="CC812" s="5"/>
      <c r="CE812" s="40"/>
      <c r="CF812" s="5"/>
      <c r="CH812" s="40"/>
      <c r="CI812" s="5"/>
      <c r="CK812" s="40"/>
      <c r="CL812" s="5"/>
      <c r="CN812" s="40"/>
      <c r="CO812" s="5"/>
      <c r="CQ812" s="40"/>
      <c r="CR812" s="5"/>
    </row>
    <row r="813">
      <c r="AO813" s="40"/>
      <c r="AP813" s="5"/>
      <c r="AR813" s="40"/>
      <c r="AS813" s="5"/>
      <c r="AU813" s="40"/>
      <c r="AV813" s="5"/>
      <c r="AX813" s="40"/>
      <c r="AY813" s="5"/>
      <c r="BA813" s="40"/>
      <c r="BB813" s="5"/>
      <c r="BD813" s="40"/>
      <c r="BE813" s="5"/>
      <c r="BG813" s="40"/>
      <c r="BH813" s="5"/>
      <c r="BJ813" s="40"/>
      <c r="BK813" s="5"/>
      <c r="BM813" s="40"/>
      <c r="BN813" s="5"/>
      <c r="BP813" s="40"/>
      <c r="BQ813" s="5"/>
      <c r="BS813" s="40"/>
      <c r="BT813" s="5"/>
      <c r="BV813" s="40"/>
      <c r="BW813" s="5"/>
      <c r="BY813" s="40"/>
      <c r="BZ813" s="5"/>
      <c r="CB813" s="40"/>
      <c r="CC813" s="5"/>
      <c r="CE813" s="40"/>
      <c r="CF813" s="5"/>
      <c r="CH813" s="40"/>
      <c r="CI813" s="5"/>
      <c r="CK813" s="40"/>
      <c r="CL813" s="5"/>
      <c r="CN813" s="40"/>
      <c r="CO813" s="5"/>
      <c r="CQ813" s="40"/>
      <c r="CR813" s="5"/>
    </row>
    <row r="814">
      <c r="AO814" s="40"/>
      <c r="AP814" s="5"/>
      <c r="AR814" s="40"/>
      <c r="AS814" s="5"/>
      <c r="AU814" s="40"/>
      <c r="AV814" s="5"/>
      <c r="AX814" s="40"/>
      <c r="AY814" s="5"/>
      <c r="BA814" s="40"/>
      <c r="BB814" s="5"/>
      <c r="BD814" s="40"/>
      <c r="BE814" s="5"/>
      <c r="BG814" s="40"/>
      <c r="BH814" s="5"/>
      <c r="BJ814" s="40"/>
      <c r="BK814" s="5"/>
      <c r="BM814" s="40"/>
      <c r="BN814" s="5"/>
      <c r="BP814" s="40"/>
      <c r="BQ814" s="5"/>
      <c r="BS814" s="40"/>
      <c r="BT814" s="5"/>
      <c r="BV814" s="40"/>
      <c r="BW814" s="5"/>
      <c r="BY814" s="40"/>
      <c r="BZ814" s="5"/>
      <c r="CB814" s="40"/>
      <c r="CC814" s="5"/>
      <c r="CE814" s="40"/>
      <c r="CF814" s="5"/>
      <c r="CH814" s="40"/>
      <c r="CI814" s="5"/>
      <c r="CK814" s="40"/>
      <c r="CL814" s="5"/>
      <c r="CN814" s="40"/>
      <c r="CO814" s="5"/>
      <c r="CQ814" s="40"/>
      <c r="CR814" s="5"/>
    </row>
    <row r="815">
      <c r="AO815" s="40"/>
      <c r="AP815" s="5"/>
      <c r="AR815" s="40"/>
      <c r="AS815" s="5"/>
      <c r="AU815" s="40"/>
      <c r="AV815" s="5"/>
      <c r="AX815" s="40"/>
      <c r="AY815" s="5"/>
      <c r="BA815" s="40"/>
      <c r="BB815" s="5"/>
      <c r="BD815" s="40"/>
      <c r="BE815" s="5"/>
      <c r="BG815" s="40"/>
      <c r="BH815" s="5"/>
      <c r="BJ815" s="40"/>
      <c r="BK815" s="5"/>
      <c r="BM815" s="40"/>
      <c r="BN815" s="5"/>
      <c r="BP815" s="40"/>
      <c r="BQ815" s="5"/>
      <c r="BS815" s="40"/>
      <c r="BT815" s="5"/>
      <c r="BV815" s="40"/>
      <c r="BW815" s="5"/>
      <c r="BY815" s="40"/>
      <c r="BZ815" s="5"/>
      <c r="CB815" s="40"/>
      <c r="CC815" s="5"/>
      <c r="CE815" s="40"/>
      <c r="CF815" s="5"/>
      <c r="CH815" s="40"/>
      <c r="CI815" s="5"/>
      <c r="CK815" s="40"/>
      <c r="CL815" s="5"/>
      <c r="CN815" s="40"/>
      <c r="CO815" s="5"/>
      <c r="CQ815" s="40"/>
      <c r="CR815" s="5"/>
    </row>
    <row r="816">
      <c r="AO816" s="40"/>
      <c r="AP816" s="5"/>
      <c r="AR816" s="40"/>
      <c r="AS816" s="5"/>
      <c r="AU816" s="40"/>
      <c r="AV816" s="5"/>
      <c r="AX816" s="40"/>
      <c r="AY816" s="5"/>
      <c r="BA816" s="40"/>
      <c r="BB816" s="5"/>
      <c r="BD816" s="40"/>
      <c r="BE816" s="5"/>
      <c r="BG816" s="40"/>
      <c r="BH816" s="5"/>
      <c r="BJ816" s="40"/>
      <c r="BK816" s="5"/>
      <c r="BM816" s="40"/>
      <c r="BN816" s="5"/>
      <c r="BP816" s="40"/>
      <c r="BQ816" s="5"/>
      <c r="BS816" s="40"/>
      <c r="BT816" s="5"/>
      <c r="BV816" s="40"/>
      <c r="BW816" s="5"/>
      <c r="BY816" s="40"/>
      <c r="BZ816" s="5"/>
      <c r="CB816" s="40"/>
      <c r="CC816" s="5"/>
      <c r="CE816" s="40"/>
      <c r="CF816" s="5"/>
      <c r="CH816" s="40"/>
      <c r="CI816" s="5"/>
      <c r="CK816" s="40"/>
      <c r="CL816" s="5"/>
      <c r="CN816" s="40"/>
      <c r="CO816" s="5"/>
      <c r="CQ816" s="40"/>
      <c r="CR816" s="5"/>
    </row>
    <row r="817">
      <c r="AO817" s="40"/>
      <c r="AP817" s="5"/>
      <c r="AR817" s="40"/>
      <c r="AS817" s="5"/>
      <c r="AU817" s="40"/>
      <c r="AV817" s="5"/>
      <c r="AX817" s="40"/>
      <c r="AY817" s="5"/>
      <c r="BA817" s="40"/>
      <c r="BB817" s="5"/>
      <c r="BD817" s="40"/>
      <c r="BE817" s="5"/>
      <c r="BG817" s="40"/>
      <c r="BH817" s="5"/>
      <c r="BJ817" s="40"/>
      <c r="BK817" s="5"/>
      <c r="BM817" s="40"/>
      <c r="BN817" s="5"/>
      <c r="BP817" s="40"/>
      <c r="BQ817" s="5"/>
      <c r="BS817" s="40"/>
      <c r="BT817" s="5"/>
      <c r="BV817" s="40"/>
      <c r="BW817" s="5"/>
      <c r="BY817" s="40"/>
      <c r="BZ817" s="5"/>
      <c r="CB817" s="40"/>
      <c r="CC817" s="5"/>
      <c r="CE817" s="40"/>
      <c r="CF817" s="5"/>
      <c r="CH817" s="40"/>
      <c r="CI817" s="5"/>
      <c r="CK817" s="40"/>
      <c r="CL817" s="5"/>
      <c r="CN817" s="40"/>
      <c r="CO817" s="5"/>
      <c r="CQ817" s="40"/>
      <c r="CR817" s="5"/>
    </row>
    <row r="818">
      <c r="AO818" s="40"/>
      <c r="AP818" s="5"/>
      <c r="AR818" s="40"/>
      <c r="AS818" s="5"/>
      <c r="AU818" s="40"/>
      <c r="AV818" s="5"/>
      <c r="AX818" s="40"/>
      <c r="AY818" s="5"/>
      <c r="BA818" s="40"/>
      <c r="BB818" s="5"/>
      <c r="BD818" s="40"/>
      <c r="BE818" s="5"/>
      <c r="BG818" s="40"/>
      <c r="BH818" s="5"/>
      <c r="BJ818" s="40"/>
      <c r="BK818" s="5"/>
      <c r="BM818" s="40"/>
      <c r="BN818" s="5"/>
      <c r="BP818" s="40"/>
      <c r="BQ818" s="5"/>
      <c r="BS818" s="40"/>
      <c r="BT818" s="5"/>
      <c r="BV818" s="40"/>
      <c r="BW818" s="5"/>
      <c r="BY818" s="40"/>
      <c r="BZ818" s="5"/>
      <c r="CB818" s="40"/>
      <c r="CC818" s="5"/>
      <c r="CE818" s="40"/>
      <c r="CF818" s="5"/>
      <c r="CH818" s="40"/>
      <c r="CI818" s="5"/>
      <c r="CK818" s="40"/>
      <c r="CL818" s="5"/>
      <c r="CN818" s="40"/>
      <c r="CO818" s="5"/>
      <c r="CQ818" s="40"/>
      <c r="CR818" s="5"/>
    </row>
    <row r="819">
      <c r="AO819" s="40"/>
      <c r="AP819" s="5"/>
      <c r="AR819" s="40"/>
      <c r="AS819" s="5"/>
      <c r="AU819" s="40"/>
      <c r="AV819" s="5"/>
      <c r="AX819" s="40"/>
      <c r="AY819" s="5"/>
      <c r="BA819" s="40"/>
      <c r="BB819" s="5"/>
      <c r="BD819" s="40"/>
      <c r="BE819" s="5"/>
      <c r="BG819" s="40"/>
      <c r="BH819" s="5"/>
      <c r="BJ819" s="40"/>
      <c r="BK819" s="5"/>
      <c r="BM819" s="40"/>
      <c r="BN819" s="5"/>
      <c r="BP819" s="40"/>
      <c r="BQ819" s="5"/>
      <c r="BS819" s="40"/>
      <c r="BT819" s="5"/>
      <c r="BV819" s="40"/>
      <c r="BW819" s="5"/>
      <c r="BY819" s="40"/>
      <c r="BZ819" s="5"/>
      <c r="CB819" s="40"/>
      <c r="CC819" s="5"/>
      <c r="CE819" s="40"/>
      <c r="CF819" s="5"/>
      <c r="CH819" s="40"/>
      <c r="CI819" s="5"/>
      <c r="CK819" s="40"/>
      <c r="CL819" s="5"/>
      <c r="CN819" s="40"/>
      <c r="CO819" s="5"/>
      <c r="CQ819" s="40"/>
      <c r="CR819" s="5"/>
    </row>
    <row r="820">
      <c r="AO820" s="40"/>
      <c r="AP820" s="5"/>
      <c r="AR820" s="40"/>
      <c r="AS820" s="5"/>
      <c r="AU820" s="40"/>
      <c r="AV820" s="5"/>
      <c r="AX820" s="40"/>
      <c r="AY820" s="5"/>
      <c r="BA820" s="40"/>
      <c r="BB820" s="5"/>
      <c r="BD820" s="40"/>
      <c r="BE820" s="5"/>
      <c r="BG820" s="40"/>
      <c r="BH820" s="5"/>
      <c r="BJ820" s="40"/>
      <c r="BK820" s="5"/>
      <c r="BM820" s="40"/>
      <c r="BN820" s="5"/>
      <c r="BP820" s="40"/>
      <c r="BQ820" s="5"/>
      <c r="BS820" s="40"/>
      <c r="BT820" s="5"/>
      <c r="BV820" s="40"/>
      <c r="BW820" s="5"/>
      <c r="BY820" s="40"/>
      <c r="BZ820" s="5"/>
      <c r="CB820" s="40"/>
      <c r="CC820" s="5"/>
      <c r="CE820" s="40"/>
      <c r="CF820" s="5"/>
      <c r="CH820" s="40"/>
      <c r="CI820" s="5"/>
      <c r="CK820" s="40"/>
      <c r="CL820" s="5"/>
      <c r="CN820" s="40"/>
      <c r="CO820" s="5"/>
      <c r="CQ820" s="40"/>
      <c r="CR820" s="5"/>
    </row>
    <row r="821">
      <c r="AO821" s="40"/>
      <c r="AP821" s="5"/>
      <c r="AR821" s="40"/>
      <c r="AS821" s="5"/>
      <c r="AU821" s="40"/>
      <c r="AV821" s="5"/>
      <c r="AX821" s="40"/>
      <c r="AY821" s="5"/>
      <c r="BA821" s="40"/>
      <c r="BB821" s="5"/>
      <c r="BD821" s="40"/>
      <c r="BE821" s="5"/>
      <c r="BG821" s="40"/>
      <c r="BH821" s="5"/>
      <c r="BJ821" s="40"/>
      <c r="BK821" s="5"/>
      <c r="BM821" s="40"/>
      <c r="BN821" s="5"/>
      <c r="BP821" s="40"/>
      <c r="BQ821" s="5"/>
      <c r="BS821" s="40"/>
      <c r="BT821" s="5"/>
      <c r="BV821" s="40"/>
      <c r="BW821" s="5"/>
      <c r="BY821" s="40"/>
      <c r="BZ821" s="5"/>
      <c r="CB821" s="40"/>
      <c r="CC821" s="5"/>
      <c r="CE821" s="40"/>
      <c r="CF821" s="5"/>
      <c r="CH821" s="40"/>
      <c r="CI821" s="5"/>
      <c r="CK821" s="40"/>
      <c r="CL821" s="5"/>
      <c r="CN821" s="40"/>
      <c r="CO821" s="5"/>
      <c r="CQ821" s="40"/>
      <c r="CR821" s="5"/>
    </row>
    <row r="822">
      <c r="AO822" s="40"/>
      <c r="AP822" s="5"/>
      <c r="AR822" s="40"/>
      <c r="AS822" s="5"/>
      <c r="AU822" s="40"/>
      <c r="AV822" s="5"/>
      <c r="AX822" s="40"/>
      <c r="AY822" s="5"/>
      <c r="BA822" s="40"/>
      <c r="BB822" s="5"/>
      <c r="BD822" s="40"/>
      <c r="BE822" s="5"/>
      <c r="BG822" s="40"/>
      <c r="BH822" s="5"/>
      <c r="BJ822" s="40"/>
      <c r="BK822" s="5"/>
      <c r="BM822" s="40"/>
      <c r="BN822" s="5"/>
      <c r="BP822" s="40"/>
      <c r="BQ822" s="5"/>
      <c r="BS822" s="40"/>
      <c r="BT822" s="5"/>
      <c r="BV822" s="40"/>
      <c r="BW822" s="5"/>
      <c r="BY822" s="40"/>
      <c r="BZ822" s="5"/>
      <c r="CB822" s="40"/>
      <c r="CC822" s="5"/>
      <c r="CE822" s="40"/>
      <c r="CF822" s="5"/>
      <c r="CH822" s="40"/>
      <c r="CI822" s="5"/>
      <c r="CK822" s="40"/>
      <c r="CL822" s="5"/>
      <c r="CN822" s="40"/>
      <c r="CO822" s="5"/>
      <c r="CQ822" s="40"/>
      <c r="CR822" s="5"/>
    </row>
    <row r="823">
      <c r="AO823" s="40"/>
      <c r="AP823" s="5"/>
      <c r="AR823" s="40"/>
      <c r="AS823" s="5"/>
      <c r="AU823" s="40"/>
      <c r="AV823" s="5"/>
      <c r="AX823" s="40"/>
      <c r="AY823" s="5"/>
      <c r="BA823" s="40"/>
      <c r="BB823" s="5"/>
      <c r="BD823" s="40"/>
      <c r="BE823" s="5"/>
      <c r="BG823" s="40"/>
      <c r="BH823" s="5"/>
      <c r="BJ823" s="40"/>
      <c r="BK823" s="5"/>
      <c r="BM823" s="40"/>
      <c r="BN823" s="5"/>
      <c r="BP823" s="40"/>
      <c r="BQ823" s="5"/>
      <c r="BS823" s="40"/>
      <c r="BT823" s="5"/>
      <c r="BV823" s="40"/>
      <c r="BW823" s="5"/>
      <c r="BY823" s="40"/>
      <c r="BZ823" s="5"/>
      <c r="CB823" s="40"/>
      <c r="CC823" s="5"/>
      <c r="CE823" s="40"/>
      <c r="CF823" s="5"/>
      <c r="CH823" s="40"/>
      <c r="CI823" s="5"/>
      <c r="CK823" s="40"/>
      <c r="CL823" s="5"/>
      <c r="CN823" s="40"/>
      <c r="CO823" s="5"/>
      <c r="CQ823" s="40"/>
      <c r="CR823" s="5"/>
    </row>
    <row r="824">
      <c r="AO824" s="40"/>
      <c r="AP824" s="5"/>
      <c r="AR824" s="40"/>
      <c r="AS824" s="5"/>
      <c r="AU824" s="40"/>
      <c r="AV824" s="5"/>
      <c r="AX824" s="40"/>
      <c r="AY824" s="5"/>
      <c r="BA824" s="40"/>
      <c r="BB824" s="5"/>
      <c r="BD824" s="40"/>
      <c r="BE824" s="5"/>
      <c r="BG824" s="40"/>
      <c r="BH824" s="5"/>
      <c r="BJ824" s="40"/>
      <c r="BK824" s="5"/>
      <c r="BM824" s="40"/>
      <c r="BN824" s="5"/>
      <c r="BP824" s="40"/>
      <c r="BQ824" s="5"/>
      <c r="BS824" s="40"/>
      <c r="BT824" s="5"/>
      <c r="BV824" s="40"/>
      <c r="BW824" s="5"/>
      <c r="BY824" s="40"/>
      <c r="BZ824" s="5"/>
      <c r="CB824" s="40"/>
      <c r="CC824" s="5"/>
      <c r="CE824" s="40"/>
      <c r="CF824" s="5"/>
      <c r="CH824" s="40"/>
      <c r="CI824" s="5"/>
      <c r="CK824" s="40"/>
      <c r="CL824" s="5"/>
      <c r="CN824" s="40"/>
      <c r="CO824" s="5"/>
      <c r="CQ824" s="40"/>
      <c r="CR824" s="5"/>
    </row>
    <row r="825">
      <c r="AO825" s="40"/>
      <c r="AP825" s="5"/>
      <c r="AR825" s="40"/>
      <c r="AS825" s="5"/>
      <c r="AU825" s="40"/>
      <c r="AV825" s="5"/>
      <c r="AX825" s="40"/>
      <c r="AY825" s="5"/>
      <c r="BA825" s="40"/>
      <c r="BB825" s="5"/>
      <c r="BD825" s="40"/>
      <c r="BE825" s="5"/>
      <c r="BG825" s="40"/>
      <c r="BH825" s="5"/>
      <c r="BJ825" s="40"/>
      <c r="BK825" s="5"/>
      <c r="BM825" s="40"/>
      <c r="BN825" s="5"/>
      <c r="BP825" s="40"/>
      <c r="BQ825" s="5"/>
      <c r="BS825" s="40"/>
      <c r="BT825" s="5"/>
      <c r="BV825" s="40"/>
      <c r="BW825" s="5"/>
      <c r="BY825" s="40"/>
      <c r="BZ825" s="5"/>
      <c r="CB825" s="40"/>
      <c r="CC825" s="5"/>
      <c r="CE825" s="40"/>
      <c r="CF825" s="5"/>
      <c r="CH825" s="40"/>
      <c r="CI825" s="5"/>
      <c r="CK825" s="40"/>
      <c r="CL825" s="5"/>
      <c r="CN825" s="40"/>
      <c r="CO825" s="5"/>
      <c r="CQ825" s="40"/>
      <c r="CR825" s="5"/>
    </row>
    <row r="826">
      <c r="AO826" s="40"/>
      <c r="AP826" s="5"/>
      <c r="AR826" s="40"/>
      <c r="AS826" s="5"/>
      <c r="AU826" s="40"/>
      <c r="AV826" s="5"/>
      <c r="AX826" s="40"/>
      <c r="AY826" s="5"/>
      <c r="BA826" s="40"/>
      <c r="BB826" s="5"/>
      <c r="BD826" s="40"/>
      <c r="BE826" s="5"/>
      <c r="BG826" s="40"/>
      <c r="BH826" s="5"/>
      <c r="BJ826" s="40"/>
      <c r="BK826" s="5"/>
      <c r="BM826" s="40"/>
      <c r="BN826" s="5"/>
      <c r="BP826" s="40"/>
      <c r="BQ826" s="5"/>
      <c r="BS826" s="40"/>
      <c r="BT826" s="5"/>
      <c r="BV826" s="40"/>
      <c r="BW826" s="5"/>
      <c r="BY826" s="40"/>
      <c r="BZ826" s="5"/>
      <c r="CB826" s="40"/>
      <c r="CC826" s="5"/>
      <c r="CE826" s="40"/>
      <c r="CF826" s="5"/>
      <c r="CH826" s="40"/>
      <c r="CI826" s="5"/>
      <c r="CK826" s="40"/>
      <c r="CL826" s="5"/>
      <c r="CN826" s="40"/>
      <c r="CO826" s="5"/>
      <c r="CQ826" s="40"/>
      <c r="CR826" s="5"/>
    </row>
    <row r="827">
      <c r="AO827" s="40"/>
      <c r="AP827" s="5"/>
      <c r="AR827" s="40"/>
      <c r="AS827" s="5"/>
      <c r="AU827" s="40"/>
      <c r="AV827" s="5"/>
      <c r="AX827" s="40"/>
      <c r="AY827" s="5"/>
      <c r="BA827" s="40"/>
      <c r="BB827" s="5"/>
      <c r="BD827" s="40"/>
      <c r="BE827" s="5"/>
      <c r="BG827" s="40"/>
      <c r="BH827" s="5"/>
      <c r="BJ827" s="40"/>
      <c r="BK827" s="5"/>
      <c r="BM827" s="40"/>
      <c r="BN827" s="5"/>
      <c r="BP827" s="40"/>
      <c r="BQ827" s="5"/>
      <c r="BS827" s="40"/>
      <c r="BT827" s="5"/>
      <c r="BV827" s="40"/>
      <c r="BW827" s="5"/>
      <c r="BY827" s="40"/>
      <c r="BZ827" s="5"/>
      <c r="CB827" s="40"/>
      <c r="CC827" s="5"/>
      <c r="CE827" s="40"/>
      <c r="CF827" s="5"/>
      <c r="CH827" s="40"/>
      <c r="CI827" s="5"/>
      <c r="CK827" s="40"/>
      <c r="CL827" s="5"/>
      <c r="CN827" s="40"/>
      <c r="CO827" s="5"/>
      <c r="CQ827" s="40"/>
      <c r="CR827" s="5"/>
    </row>
    <row r="828">
      <c r="AO828" s="40"/>
      <c r="AP828" s="5"/>
      <c r="AR828" s="40"/>
      <c r="AS828" s="5"/>
      <c r="AU828" s="40"/>
      <c r="AV828" s="5"/>
      <c r="AX828" s="40"/>
      <c r="AY828" s="5"/>
      <c r="BA828" s="40"/>
      <c r="BB828" s="5"/>
      <c r="BD828" s="40"/>
      <c r="BE828" s="5"/>
      <c r="BG828" s="40"/>
      <c r="BH828" s="5"/>
      <c r="BJ828" s="40"/>
      <c r="BK828" s="5"/>
      <c r="BM828" s="40"/>
      <c r="BN828" s="5"/>
      <c r="BP828" s="40"/>
      <c r="BQ828" s="5"/>
      <c r="BS828" s="40"/>
      <c r="BT828" s="5"/>
      <c r="BV828" s="40"/>
      <c r="BW828" s="5"/>
      <c r="BY828" s="40"/>
      <c r="BZ828" s="5"/>
      <c r="CB828" s="40"/>
      <c r="CC828" s="5"/>
      <c r="CE828" s="40"/>
      <c r="CF828" s="5"/>
      <c r="CH828" s="40"/>
      <c r="CI828" s="5"/>
      <c r="CK828" s="40"/>
      <c r="CL828" s="5"/>
      <c r="CN828" s="40"/>
      <c r="CO828" s="5"/>
      <c r="CQ828" s="40"/>
      <c r="CR828" s="5"/>
    </row>
    <row r="829">
      <c r="AO829" s="40"/>
      <c r="AP829" s="5"/>
      <c r="AR829" s="40"/>
      <c r="AS829" s="5"/>
      <c r="AU829" s="40"/>
      <c r="AV829" s="5"/>
      <c r="AX829" s="40"/>
      <c r="AY829" s="5"/>
      <c r="BA829" s="40"/>
      <c r="BB829" s="5"/>
      <c r="BD829" s="40"/>
      <c r="BE829" s="5"/>
      <c r="BG829" s="40"/>
      <c r="BH829" s="5"/>
      <c r="BJ829" s="40"/>
      <c r="BK829" s="5"/>
      <c r="BM829" s="40"/>
      <c r="BN829" s="5"/>
      <c r="BP829" s="40"/>
      <c r="BQ829" s="5"/>
      <c r="BS829" s="40"/>
      <c r="BT829" s="5"/>
      <c r="BV829" s="40"/>
      <c r="BW829" s="5"/>
      <c r="BY829" s="40"/>
      <c r="BZ829" s="5"/>
      <c r="CB829" s="40"/>
      <c r="CC829" s="5"/>
      <c r="CE829" s="40"/>
      <c r="CF829" s="5"/>
      <c r="CH829" s="40"/>
      <c r="CI829" s="5"/>
      <c r="CK829" s="40"/>
      <c r="CL829" s="5"/>
      <c r="CN829" s="40"/>
      <c r="CO829" s="5"/>
      <c r="CQ829" s="40"/>
      <c r="CR829" s="5"/>
    </row>
    <row r="830">
      <c r="AO830" s="40"/>
      <c r="AP830" s="5"/>
      <c r="AR830" s="40"/>
      <c r="AS830" s="5"/>
      <c r="AU830" s="40"/>
      <c r="AV830" s="5"/>
      <c r="AX830" s="40"/>
      <c r="AY830" s="5"/>
      <c r="BA830" s="40"/>
      <c r="BB830" s="5"/>
      <c r="BD830" s="40"/>
      <c r="BE830" s="5"/>
      <c r="BG830" s="40"/>
      <c r="BH830" s="5"/>
      <c r="BJ830" s="40"/>
      <c r="BK830" s="5"/>
      <c r="BM830" s="40"/>
      <c r="BN830" s="5"/>
      <c r="BP830" s="40"/>
      <c r="BQ830" s="5"/>
      <c r="BS830" s="40"/>
      <c r="BT830" s="5"/>
      <c r="BV830" s="40"/>
      <c r="BW830" s="5"/>
      <c r="BY830" s="40"/>
      <c r="BZ830" s="5"/>
      <c r="CB830" s="40"/>
      <c r="CC830" s="5"/>
      <c r="CE830" s="40"/>
      <c r="CF830" s="5"/>
      <c r="CH830" s="40"/>
      <c r="CI830" s="5"/>
      <c r="CK830" s="40"/>
      <c r="CL830" s="5"/>
      <c r="CN830" s="40"/>
      <c r="CO830" s="5"/>
      <c r="CQ830" s="40"/>
      <c r="CR830" s="5"/>
    </row>
    <row r="831">
      <c r="AO831" s="40"/>
      <c r="AP831" s="5"/>
      <c r="AR831" s="40"/>
      <c r="AS831" s="5"/>
      <c r="AU831" s="40"/>
      <c r="AV831" s="5"/>
      <c r="AX831" s="40"/>
      <c r="AY831" s="5"/>
      <c r="BA831" s="40"/>
      <c r="BB831" s="5"/>
      <c r="BD831" s="40"/>
      <c r="BE831" s="5"/>
      <c r="BG831" s="40"/>
      <c r="BH831" s="5"/>
      <c r="BJ831" s="40"/>
      <c r="BK831" s="5"/>
      <c r="BM831" s="40"/>
      <c r="BN831" s="5"/>
      <c r="BP831" s="40"/>
      <c r="BQ831" s="5"/>
      <c r="BS831" s="40"/>
      <c r="BT831" s="5"/>
      <c r="BV831" s="40"/>
      <c r="BW831" s="5"/>
      <c r="BY831" s="40"/>
      <c r="BZ831" s="5"/>
      <c r="CB831" s="40"/>
      <c r="CC831" s="5"/>
      <c r="CE831" s="40"/>
      <c r="CF831" s="5"/>
      <c r="CH831" s="40"/>
      <c r="CI831" s="5"/>
      <c r="CK831" s="40"/>
      <c r="CL831" s="5"/>
      <c r="CN831" s="40"/>
      <c r="CO831" s="5"/>
      <c r="CQ831" s="40"/>
      <c r="CR831" s="5"/>
    </row>
    <row r="832">
      <c r="AO832" s="40"/>
      <c r="AP832" s="5"/>
      <c r="AR832" s="40"/>
      <c r="AS832" s="5"/>
      <c r="AU832" s="40"/>
      <c r="AV832" s="5"/>
      <c r="AX832" s="40"/>
      <c r="AY832" s="5"/>
      <c r="BA832" s="40"/>
      <c r="BB832" s="5"/>
      <c r="BD832" s="40"/>
      <c r="BE832" s="5"/>
      <c r="BG832" s="40"/>
      <c r="BH832" s="5"/>
      <c r="BJ832" s="40"/>
      <c r="BK832" s="5"/>
      <c r="BM832" s="40"/>
      <c r="BN832" s="5"/>
      <c r="BP832" s="40"/>
      <c r="BQ832" s="5"/>
      <c r="BS832" s="40"/>
      <c r="BT832" s="5"/>
      <c r="BV832" s="40"/>
      <c r="BW832" s="5"/>
      <c r="BY832" s="40"/>
      <c r="BZ832" s="5"/>
      <c r="CB832" s="40"/>
      <c r="CC832" s="5"/>
      <c r="CE832" s="40"/>
      <c r="CF832" s="5"/>
      <c r="CH832" s="40"/>
      <c r="CI832" s="5"/>
      <c r="CK832" s="40"/>
      <c r="CL832" s="5"/>
      <c r="CN832" s="40"/>
      <c r="CO832" s="5"/>
      <c r="CQ832" s="40"/>
      <c r="CR832" s="5"/>
    </row>
    <row r="833">
      <c r="AO833" s="40"/>
      <c r="AP833" s="5"/>
      <c r="AR833" s="40"/>
      <c r="AS833" s="5"/>
      <c r="AU833" s="40"/>
      <c r="AV833" s="5"/>
      <c r="AX833" s="40"/>
      <c r="AY833" s="5"/>
      <c r="BA833" s="40"/>
      <c r="BB833" s="5"/>
      <c r="BD833" s="40"/>
      <c r="BE833" s="5"/>
      <c r="BG833" s="40"/>
      <c r="BH833" s="5"/>
      <c r="BJ833" s="40"/>
      <c r="BK833" s="5"/>
      <c r="BM833" s="40"/>
      <c r="BN833" s="5"/>
      <c r="BP833" s="40"/>
      <c r="BQ833" s="5"/>
      <c r="BS833" s="40"/>
      <c r="BT833" s="5"/>
      <c r="BV833" s="40"/>
      <c r="BW833" s="5"/>
      <c r="BY833" s="40"/>
      <c r="BZ833" s="5"/>
      <c r="CB833" s="40"/>
      <c r="CC833" s="5"/>
      <c r="CE833" s="40"/>
      <c r="CF833" s="5"/>
      <c r="CH833" s="40"/>
      <c r="CI833" s="5"/>
      <c r="CK833" s="40"/>
      <c r="CL833" s="5"/>
      <c r="CN833" s="40"/>
      <c r="CO833" s="5"/>
      <c r="CQ833" s="40"/>
      <c r="CR833" s="5"/>
    </row>
    <row r="834">
      <c r="AO834" s="40"/>
      <c r="AP834" s="5"/>
      <c r="AR834" s="40"/>
      <c r="AS834" s="5"/>
      <c r="AU834" s="40"/>
      <c r="AV834" s="5"/>
      <c r="AX834" s="40"/>
      <c r="AY834" s="5"/>
      <c r="BA834" s="40"/>
      <c r="BB834" s="5"/>
      <c r="BD834" s="40"/>
      <c r="BE834" s="5"/>
      <c r="BG834" s="40"/>
      <c r="BH834" s="5"/>
      <c r="BJ834" s="40"/>
      <c r="BK834" s="5"/>
      <c r="BM834" s="40"/>
      <c r="BN834" s="5"/>
      <c r="BP834" s="40"/>
      <c r="BQ834" s="5"/>
      <c r="BS834" s="40"/>
      <c r="BT834" s="5"/>
      <c r="BV834" s="40"/>
      <c r="BW834" s="5"/>
      <c r="BY834" s="40"/>
      <c r="BZ834" s="5"/>
      <c r="CB834" s="40"/>
      <c r="CC834" s="5"/>
      <c r="CE834" s="40"/>
      <c r="CF834" s="5"/>
      <c r="CH834" s="40"/>
      <c r="CI834" s="5"/>
      <c r="CK834" s="40"/>
      <c r="CL834" s="5"/>
      <c r="CN834" s="40"/>
      <c r="CO834" s="5"/>
      <c r="CQ834" s="40"/>
      <c r="CR834" s="5"/>
    </row>
    <row r="835">
      <c r="AO835" s="40"/>
      <c r="AP835" s="5"/>
      <c r="AR835" s="40"/>
      <c r="AS835" s="5"/>
      <c r="AU835" s="40"/>
      <c r="AV835" s="5"/>
      <c r="AX835" s="40"/>
      <c r="AY835" s="5"/>
      <c r="BA835" s="40"/>
      <c r="BB835" s="5"/>
      <c r="BD835" s="40"/>
      <c r="BE835" s="5"/>
      <c r="BG835" s="40"/>
      <c r="BH835" s="5"/>
      <c r="BJ835" s="40"/>
      <c r="BK835" s="5"/>
      <c r="BM835" s="40"/>
      <c r="BN835" s="5"/>
      <c r="BP835" s="40"/>
      <c r="BQ835" s="5"/>
      <c r="BS835" s="40"/>
      <c r="BT835" s="5"/>
      <c r="BV835" s="40"/>
      <c r="BW835" s="5"/>
      <c r="BY835" s="40"/>
      <c r="BZ835" s="5"/>
      <c r="CB835" s="40"/>
      <c r="CC835" s="5"/>
      <c r="CE835" s="40"/>
      <c r="CF835" s="5"/>
      <c r="CH835" s="40"/>
      <c r="CI835" s="5"/>
      <c r="CK835" s="40"/>
      <c r="CL835" s="5"/>
      <c r="CN835" s="40"/>
      <c r="CO835" s="5"/>
      <c r="CQ835" s="40"/>
      <c r="CR835" s="5"/>
    </row>
    <row r="836">
      <c r="AO836" s="40"/>
      <c r="AP836" s="5"/>
      <c r="AR836" s="40"/>
      <c r="AS836" s="5"/>
      <c r="AU836" s="40"/>
      <c r="AV836" s="5"/>
      <c r="AX836" s="40"/>
      <c r="AY836" s="5"/>
      <c r="BA836" s="40"/>
      <c r="BB836" s="5"/>
      <c r="BD836" s="40"/>
      <c r="BE836" s="5"/>
      <c r="BG836" s="40"/>
      <c r="BH836" s="5"/>
      <c r="BJ836" s="40"/>
      <c r="BK836" s="5"/>
      <c r="BM836" s="40"/>
      <c r="BN836" s="5"/>
      <c r="BP836" s="40"/>
      <c r="BQ836" s="5"/>
      <c r="BS836" s="40"/>
      <c r="BT836" s="5"/>
      <c r="BV836" s="40"/>
      <c r="BW836" s="5"/>
      <c r="BY836" s="40"/>
      <c r="BZ836" s="5"/>
      <c r="CB836" s="40"/>
      <c r="CC836" s="5"/>
      <c r="CE836" s="40"/>
      <c r="CF836" s="5"/>
      <c r="CH836" s="40"/>
      <c r="CI836" s="5"/>
      <c r="CK836" s="40"/>
      <c r="CL836" s="5"/>
      <c r="CN836" s="40"/>
      <c r="CO836" s="5"/>
      <c r="CQ836" s="40"/>
      <c r="CR836" s="5"/>
    </row>
    <row r="837">
      <c r="AO837" s="40"/>
      <c r="AP837" s="5"/>
      <c r="AR837" s="40"/>
      <c r="AS837" s="5"/>
      <c r="AU837" s="40"/>
      <c r="AV837" s="5"/>
      <c r="AX837" s="40"/>
      <c r="AY837" s="5"/>
      <c r="BA837" s="40"/>
      <c r="BB837" s="5"/>
      <c r="BD837" s="40"/>
      <c r="BE837" s="5"/>
      <c r="BG837" s="40"/>
      <c r="BH837" s="5"/>
      <c r="BJ837" s="40"/>
      <c r="BK837" s="5"/>
      <c r="BM837" s="40"/>
      <c r="BN837" s="5"/>
      <c r="BP837" s="40"/>
      <c r="BQ837" s="5"/>
      <c r="BS837" s="40"/>
      <c r="BT837" s="5"/>
      <c r="BV837" s="40"/>
      <c r="BW837" s="5"/>
      <c r="BY837" s="40"/>
      <c r="BZ837" s="5"/>
      <c r="CB837" s="40"/>
      <c r="CC837" s="5"/>
      <c r="CE837" s="40"/>
      <c r="CF837" s="5"/>
      <c r="CH837" s="40"/>
      <c r="CI837" s="5"/>
      <c r="CK837" s="40"/>
      <c r="CL837" s="5"/>
      <c r="CN837" s="40"/>
      <c r="CO837" s="5"/>
      <c r="CQ837" s="40"/>
      <c r="CR837" s="5"/>
    </row>
    <row r="838">
      <c r="AO838" s="40"/>
      <c r="AP838" s="5"/>
      <c r="AR838" s="40"/>
      <c r="AS838" s="5"/>
      <c r="AU838" s="40"/>
      <c r="AV838" s="5"/>
      <c r="AX838" s="40"/>
      <c r="AY838" s="5"/>
      <c r="BA838" s="40"/>
      <c r="BB838" s="5"/>
      <c r="BD838" s="40"/>
      <c r="BE838" s="5"/>
      <c r="BG838" s="40"/>
      <c r="BH838" s="5"/>
      <c r="BJ838" s="40"/>
      <c r="BK838" s="5"/>
      <c r="BM838" s="40"/>
      <c r="BN838" s="5"/>
      <c r="BP838" s="40"/>
      <c r="BQ838" s="5"/>
      <c r="BS838" s="40"/>
      <c r="BT838" s="5"/>
      <c r="BV838" s="40"/>
      <c r="BW838" s="5"/>
      <c r="BY838" s="40"/>
      <c r="BZ838" s="5"/>
      <c r="CB838" s="40"/>
      <c r="CC838" s="5"/>
      <c r="CE838" s="40"/>
      <c r="CF838" s="5"/>
      <c r="CH838" s="40"/>
      <c r="CI838" s="5"/>
      <c r="CK838" s="40"/>
      <c r="CL838" s="5"/>
      <c r="CN838" s="40"/>
      <c r="CO838" s="5"/>
      <c r="CQ838" s="40"/>
      <c r="CR838" s="5"/>
    </row>
    <row r="839">
      <c r="AO839" s="40"/>
      <c r="AP839" s="5"/>
      <c r="AR839" s="40"/>
      <c r="AS839" s="5"/>
      <c r="AU839" s="40"/>
      <c r="AV839" s="5"/>
      <c r="AX839" s="40"/>
      <c r="AY839" s="5"/>
      <c r="BA839" s="40"/>
      <c r="BB839" s="5"/>
      <c r="BD839" s="40"/>
      <c r="BE839" s="5"/>
      <c r="BG839" s="40"/>
      <c r="BH839" s="5"/>
      <c r="BJ839" s="40"/>
      <c r="BK839" s="5"/>
      <c r="BM839" s="40"/>
      <c r="BN839" s="5"/>
      <c r="BP839" s="40"/>
      <c r="BQ839" s="5"/>
      <c r="BS839" s="40"/>
      <c r="BT839" s="5"/>
      <c r="BV839" s="40"/>
      <c r="BW839" s="5"/>
      <c r="BY839" s="40"/>
      <c r="BZ839" s="5"/>
      <c r="CB839" s="40"/>
      <c r="CC839" s="5"/>
      <c r="CE839" s="40"/>
      <c r="CF839" s="5"/>
      <c r="CH839" s="40"/>
      <c r="CI839" s="5"/>
      <c r="CK839" s="40"/>
      <c r="CL839" s="5"/>
      <c r="CN839" s="40"/>
      <c r="CO839" s="5"/>
      <c r="CQ839" s="40"/>
      <c r="CR839" s="5"/>
    </row>
    <row r="840">
      <c r="AO840" s="40"/>
      <c r="AP840" s="5"/>
      <c r="AR840" s="40"/>
      <c r="AS840" s="5"/>
      <c r="AU840" s="40"/>
      <c r="AV840" s="5"/>
      <c r="AX840" s="40"/>
      <c r="AY840" s="5"/>
      <c r="BA840" s="40"/>
      <c r="BB840" s="5"/>
      <c r="BD840" s="40"/>
      <c r="BE840" s="5"/>
      <c r="BG840" s="40"/>
      <c r="BH840" s="5"/>
      <c r="BJ840" s="40"/>
      <c r="BK840" s="5"/>
      <c r="BM840" s="40"/>
      <c r="BN840" s="5"/>
      <c r="BP840" s="40"/>
      <c r="BQ840" s="5"/>
      <c r="BS840" s="40"/>
      <c r="BT840" s="5"/>
      <c r="BV840" s="40"/>
      <c r="BW840" s="5"/>
      <c r="BY840" s="40"/>
      <c r="BZ840" s="5"/>
      <c r="CB840" s="40"/>
      <c r="CC840" s="5"/>
      <c r="CE840" s="40"/>
      <c r="CF840" s="5"/>
      <c r="CH840" s="40"/>
      <c r="CI840" s="5"/>
      <c r="CK840" s="40"/>
      <c r="CL840" s="5"/>
      <c r="CN840" s="40"/>
      <c r="CO840" s="5"/>
      <c r="CQ840" s="40"/>
      <c r="CR840" s="5"/>
    </row>
    <row r="841">
      <c r="AO841" s="40"/>
      <c r="AP841" s="5"/>
      <c r="AR841" s="40"/>
      <c r="AS841" s="5"/>
      <c r="AU841" s="40"/>
      <c r="AV841" s="5"/>
      <c r="AX841" s="40"/>
      <c r="AY841" s="5"/>
      <c r="BA841" s="40"/>
      <c r="BB841" s="5"/>
      <c r="BD841" s="40"/>
      <c r="BE841" s="5"/>
      <c r="BG841" s="40"/>
      <c r="BH841" s="5"/>
      <c r="BJ841" s="40"/>
      <c r="BK841" s="5"/>
      <c r="BM841" s="40"/>
      <c r="BN841" s="5"/>
      <c r="BP841" s="40"/>
      <c r="BQ841" s="5"/>
      <c r="BS841" s="40"/>
      <c r="BT841" s="5"/>
      <c r="BV841" s="40"/>
      <c r="BW841" s="5"/>
      <c r="BY841" s="40"/>
      <c r="BZ841" s="5"/>
      <c r="CB841" s="40"/>
      <c r="CC841" s="5"/>
      <c r="CE841" s="40"/>
      <c r="CF841" s="5"/>
      <c r="CH841" s="40"/>
      <c r="CI841" s="5"/>
      <c r="CK841" s="40"/>
      <c r="CL841" s="5"/>
      <c r="CN841" s="40"/>
      <c r="CO841" s="5"/>
      <c r="CQ841" s="40"/>
      <c r="CR841" s="5"/>
    </row>
    <row r="842">
      <c r="AO842" s="40"/>
      <c r="AP842" s="5"/>
      <c r="AR842" s="40"/>
      <c r="AS842" s="5"/>
      <c r="AU842" s="40"/>
      <c r="AV842" s="5"/>
      <c r="AX842" s="40"/>
      <c r="AY842" s="5"/>
      <c r="BA842" s="40"/>
      <c r="BB842" s="5"/>
      <c r="BD842" s="40"/>
      <c r="BE842" s="5"/>
      <c r="BG842" s="40"/>
      <c r="BH842" s="5"/>
      <c r="BJ842" s="40"/>
      <c r="BK842" s="5"/>
      <c r="BM842" s="40"/>
      <c r="BN842" s="5"/>
      <c r="BP842" s="40"/>
      <c r="BQ842" s="5"/>
      <c r="BS842" s="40"/>
      <c r="BT842" s="5"/>
      <c r="BV842" s="40"/>
      <c r="BW842" s="5"/>
      <c r="BY842" s="40"/>
      <c r="BZ842" s="5"/>
      <c r="CB842" s="40"/>
      <c r="CC842" s="5"/>
      <c r="CE842" s="40"/>
      <c r="CF842" s="5"/>
      <c r="CH842" s="40"/>
      <c r="CI842" s="5"/>
      <c r="CK842" s="40"/>
      <c r="CL842" s="5"/>
      <c r="CN842" s="40"/>
      <c r="CO842" s="5"/>
      <c r="CQ842" s="40"/>
      <c r="CR842" s="5"/>
    </row>
    <row r="843">
      <c r="AO843" s="40"/>
      <c r="AP843" s="5"/>
      <c r="AR843" s="40"/>
      <c r="AS843" s="5"/>
      <c r="AU843" s="40"/>
      <c r="AV843" s="5"/>
      <c r="AX843" s="40"/>
      <c r="AY843" s="5"/>
      <c r="BA843" s="40"/>
      <c r="BB843" s="5"/>
      <c r="BD843" s="40"/>
      <c r="BE843" s="5"/>
      <c r="BG843" s="40"/>
      <c r="BH843" s="5"/>
      <c r="BJ843" s="40"/>
      <c r="BK843" s="5"/>
      <c r="BM843" s="40"/>
      <c r="BN843" s="5"/>
      <c r="BP843" s="40"/>
      <c r="BQ843" s="5"/>
      <c r="BS843" s="40"/>
      <c r="BT843" s="5"/>
      <c r="BV843" s="40"/>
      <c r="BW843" s="5"/>
      <c r="BY843" s="40"/>
      <c r="BZ843" s="5"/>
      <c r="CB843" s="40"/>
      <c r="CC843" s="5"/>
      <c r="CE843" s="40"/>
      <c r="CF843" s="5"/>
      <c r="CH843" s="40"/>
      <c r="CI843" s="5"/>
      <c r="CK843" s="40"/>
      <c r="CL843" s="5"/>
      <c r="CN843" s="40"/>
      <c r="CO843" s="5"/>
      <c r="CQ843" s="40"/>
      <c r="CR843" s="5"/>
    </row>
    <row r="844">
      <c r="AO844" s="40"/>
      <c r="AP844" s="5"/>
      <c r="AR844" s="40"/>
      <c r="AS844" s="5"/>
      <c r="AU844" s="40"/>
      <c r="AV844" s="5"/>
      <c r="AX844" s="40"/>
      <c r="AY844" s="5"/>
      <c r="BA844" s="40"/>
      <c r="BB844" s="5"/>
      <c r="BD844" s="40"/>
      <c r="BE844" s="5"/>
      <c r="BG844" s="40"/>
      <c r="BH844" s="5"/>
      <c r="BJ844" s="40"/>
      <c r="BK844" s="5"/>
      <c r="BM844" s="40"/>
      <c r="BN844" s="5"/>
      <c r="BP844" s="40"/>
      <c r="BQ844" s="5"/>
      <c r="BS844" s="40"/>
      <c r="BT844" s="5"/>
      <c r="BV844" s="40"/>
      <c r="BW844" s="5"/>
      <c r="BY844" s="40"/>
      <c r="BZ844" s="5"/>
      <c r="CB844" s="40"/>
      <c r="CC844" s="5"/>
      <c r="CE844" s="40"/>
      <c r="CF844" s="5"/>
      <c r="CH844" s="40"/>
      <c r="CI844" s="5"/>
      <c r="CK844" s="40"/>
      <c r="CL844" s="5"/>
      <c r="CN844" s="40"/>
      <c r="CO844" s="5"/>
      <c r="CQ844" s="40"/>
      <c r="CR844" s="5"/>
    </row>
    <row r="845">
      <c r="AO845" s="40"/>
      <c r="AP845" s="5"/>
      <c r="AR845" s="40"/>
      <c r="AS845" s="5"/>
      <c r="AU845" s="40"/>
      <c r="AV845" s="5"/>
      <c r="AX845" s="40"/>
      <c r="AY845" s="5"/>
      <c r="BA845" s="40"/>
      <c r="BB845" s="5"/>
      <c r="BD845" s="40"/>
      <c r="BE845" s="5"/>
      <c r="BG845" s="40"/>
      <c r="BH845" s="5"/>
      <c r="BJ845" s="40"/>
      <c r="BK845" s="5"/>
      <c r="BM845" s="40"/>
      <c r="BN845" s="5"/>
      <c r="BP845" s="40"/>
      <c r="BQ845" s="5"/>
      <c r="BS845" s="40"/>
      <c r="BT845" s="5"/>
      <c r="BV845" s="40"/>
      <c r="BW845" s="5"/>
      <c r="BY845" s="40"/>
      <c r="BZ845" s="5"/>
      <c r="CB845" s="40"/>
      <c r="CC845" s="5"/>
      <c r="CE845" s="40"/>
      <c r="CF845" s="5"/>
      <c r="CH845" s="40"/>
      <c r="CI845" s="5"/>
      <c r="CK845" s="40"/>
      <c r="CL845" s="5"/>
      <c r="CN845" s="40"/>
      <c r="CO845" s="5"/>
      <c r="CQ845" s="40"/>
      <c r="CR845" s="5"/>
    </row>
    <row r="846">
      <c r="AO846" s="40"/>
      <c r="AP846" s="5"/>
      <c r="AR846" s="40"/>
      <c r="AS846" s="5"/>
      <c r="AU846" s="40"/>
      <c r="AV846" s="5"/>
      <c r="AX846" s="40"/>
      <c r="AY846" s="5"/>
      <c r="BA846" s="40"/>
      <c r="BB846" s="5"/>
      <c r="BD846" s="40"/>
      <c r="BE846" s="5"/>
      <c r="BG846" s="40"/>
      <c r="BH846" s="5"/>
      <c r="BJ846" s="40"/>
      <c r="BK846" s="5"/>
      <c r="BM846" s="40"/>
      <c r="BN846" s="5"/>
      <c r="BP846" s="40"/>
      <c r="BQ846" s="5"/>
      <c r="BS846" s="40"/>
      <c r="BT846" s="5"/>
      <c r="BV846" s="40"/>
      <c r="BW846" s="5"/>
      <c r="BY846" s="40"/>
      <c r="BZ846" s="5"/>
      <c r="CB846" s="40"/>
      <c r="CC846" s="5"/>
      <c r="CE846" s="40"/>
      <c r="CF846" s="5"/>
      <c r="CH846" s="40"/>
      <c r="CI846" s="5"/>
      <c r="CK846" s="40"/>
      <c r="CL846" s="5"/>
      <c r="CN846" s="40"/>
      <c r="CO846" s="5"/>
      <c r="CQ846" s="40"/>
      <c r="CR846" s="5"/>
    </row>
    <row r="847">
      <c r="AO847" s="40"/>
      <c r="AP847" s="5"/>
      <c r="AR847" s="40"/>
      <c r="AS847" s="5"/>
      <c r="AU847" s="40"/>
      <c r="AV847" s="5"/>
      <c r="AX847" s="40"/>
      <c r="AY847" s="5"/>
      <c r="BA847" s="40"/>
      <c r="BB847" s="5"/>
      <c r="BD847" s="40"/>
      <c r="BE847" s="5"/>
      <c r="BG847" s="40"/>
      <c r="BH847" s="5"/>
      <c r="BJ847" s="40"/>
      <c r="BK847" s="5"/>
      <c r="BM847" s="40"/>
      <c r="BN847" s="5"/>
      <c r="BP847" s="40"/>
      <c r="BQ847" s="5"/>
      <c r="BS847" s="40"/>
      <c r="BT847" s="5"/>
      <c r="BV847" s="40"/>
      <c r="BW847" s="5"/>
      <c r="BY847" s="40"/>
      <c r="BZ847" s="5"/>
      <c r="CB847" s="40"/>
      <c r="CC847" s="5"/>
      <c r="CE847" s="40"/>
      <c r="CF847" s="5"/>
      <c r="CH847" s="40"/>
      <c r="CI847" s="5"/>
      <c r="CK847" s="40"/>
      <c r="CL847" s="5"/>
      <c r="CN847" s="40"/>
      <c r="CO847" s="5"/>
      <c r="CQ847" s="40"/>
      <c r="CR847" s="5"/>
    </row>
    <row r="848">
      <c r="AO848" s="40"/>
      <c r="AP848" s="5"/>
      <c r="AR848" s="40"/>
      <c r="AS848" s="5"/>
      <c r="AU848" s="40"/>
      <c r="AV848" s="5"/>
      <c r="AX848" s="40"/>
      <c r="AY848" s="5"/>
      <c r="BA848" s="40"/>
      <c r="BB848" s="5"/>
      <c r="BD848" s="40"/>
      <c r="BE848" s="5"/>
      <c r="BG848" s="40"/>
      <c r="BH848" s="5"/>
      <c r="BJ848" s="40"/>
      <c r="BK848" s="5"/>
      <c r="BM848" s="40"/>
      <c r="BN848" s="5"/>
      <c r="BP848" s="40"/>
      <c r="BQ848" s="5"/>
      <c r="BS848" s="40"/>
      <c r="BT848" s="5"/>
      <c r="BV848" s="40"/>
      <c r="BW848" s="5"/>
      <c r="BY848" s="40"/>
      <c r="BZ848" s="5"/>
      <c r="CB848" s="40"/>
      <c r="CC848" s="5"/>
      <c r="CE848" s="40"/>
      <c r="CF848" s="5"/>
      <c r="CH848" s="40"/>
      <c r="CI848" s="5"/>
      <c r="CK848" s="40"/>
      <c r="CL848" s="5"/>
      <c r="CN848" s="40"/>
      <c r="CO848" s="5"/>
      <c r="CQ848" s="40"/>
      <c r="CR848" s="5"/>
    </row>
    <row r="849">
      <c r="AO849" s="40"/>
      <c r="AP849" s="5"/>
      <c r="AR849" s="40"/>
      <c r="AS849" s="5"/>
      <c r="AU849" s="40"/>
      <c r="AV849" s="5"/>
      <c r="AX849" s="40"/>
      <c r="AY849" s="5"/>
      <c r="BA849" s="40"/>
      <c r="BB849" s="5"/>
      <c r="BD849" s="40"/>
      <c r="BE849" s="5"/>
      <c r="BG849" s="40"/>
      <c r="BH849" s="5"/>
      <c r="BJ849" s="40"/>
      <c r="BK849" s="5"/>
      <c r="BM849" s="40"/>
      <c r="BN849" s="5"/>
      <c r="BP849" s="40"/>
      <c r="BQ849" s="5"/>
      <c r="BS849" s="40"/>
      <c r="BT849" s="5"/>
      <c r="BV849" s="40"/>
      <c r="BW849" s="5"/>
      <c r="BY849" s="40"/>
      <c r="BZ849" s="5"/>
      <c r="CB849" s="40"/>
      <c r="CC849" s="5"/>
      <c r="CE849" s="40"/>
      <c r="CF849" s="5"/>
      <c r="CH849" s="40"/>
      <c r="CI849" s="5"/>
      <c r="CK849" s="40"/>
      <c r="CL849" s="5"/>
      <c r="CN849" s="40"/>
      <c r="CO849" s="5"/>
      <c r="CQ849" s="40"/>
      <c r="CR849" s="5"/>
    </row>
    <row r="850">
      <c r="AO850" s="40"/>
      <c r="AP850" s="5"/>
      <c r="AR850" s="40"/>
      <c r="AS850" s="5"/>
      <c r="AU850" s="40"/>
      <c r="AV850" s="5"/>
      <c r="AX850" s="40"/>
      <c r="AY850" s="5"/>
      <c r="BA850" s="40"/>
      <c r="BB850" s="5"/>
      <c r="BD850" s="40"/>
      <c r="BE850" s="5"/>
      <c r="BG850" s="40"/>
      <c r="BH850" s="5"/>
      <c r="BJ850" s="40"/>
      <c r="BK850" s="5"/>
      <c r="BM850" s="40"/>
      <c r="BN850" s="5"/>
      <c r="BP850" s="40"/>
      <c r="BQ850" s="5"/>
      <c r="BS850" s="40"/>
      <c r="BT850" s="5"/>
      <c r="BV850" s="40"/>
      <c r="BW850" s="5"/>
      <c r="BY850" s="40"/>
      <c r="BZ850" s="5"/>
      <c r="CB850" s="40"/>
      <c r="CC850" s="5"/>
      <c r="CE850" s="40"/>
      <c r="CF850" s="5"/>
      <c r="CH850" s="40"/>
      <c r="CI850" s="5"/>
      <c r="CK850" s="40"/>
      <c r="CL850" s="5"/>
      <c r="CN850" s="40"/>
      <c r="CO850" s="5"/>
      <c r="CQ850" s="40"/>
      <c r="CR850" s="5"/>
    </row>
    <row r="851">
      <c r="AO851" s="40"/>
      <c r="AP851" s="5"/>
      <c r="AR851" s="40"/>
      <c r="AS851" s="5"/>
      <c r="AU851" s="40"/>
      <c r="AV851" s="5"/>
      <c r="AX851" s="40"/>
      <c r="AY851" s="5"/>
      <c r="BA851" s="40"/>
      <c r="BB851" s="5"/>
      <c r="BD851" s="40"/>
      <c r="BE851" s="5"/>
      <c r="BG851" s="40"/>
      <c r="BH851" s="5"/>
      <c r="BJ851" s="40"/>
      <c r="BK851" s="5"/>
      <c r="BM851" s="40"/>
      <c r="BN851" s="5"/>
      <c r="BP851" s="40"/>
      <c r="BQ851" s="5"/>
      <c r="BS851" s="40"/>
      <c r="BT851" s="5"/>
      <c r="BV851" s="40"/>
      <c r="BW851" s="5"/>
      <c r="BY851" s="40"/>
      <c r="BZ851" s="5"/>
      <c r="CB851" s="40"/>
      <c r="CC851" s="5"/>
      <c r="CE851" s="40"/>
      <c r="CF851" s="5"/>
      <c r="CH851" s="40"/>
      <c r="CI851" s="5"/>
      <c r="CK851" s="40"/>
      <c r="CL851" s="5"/>
      <c r="CN851" s="40"/>
      <c r="CO851" s="5"/>
      <c r="CQ851" s="40"/>
      <c r="CR851" s="5"/>
    </row>
    <row r="852">
      <c r="AO852" s="40"/>
      <c r="AP852" s="5"/>
      <c r="AR852" s="40"/>
      <c r="AS852" s="5"/>
      <c r="AU852" s="40"/>
      <c r="AV852" s="5"/>
      <c r="AX852" s="40"/>
      <c r="AY852" s="5"/>
      <c r="BA852" s="40"/>
      <c r="BB852" s="5"/>
      <c r="BD852" s="40"/>
      <c r="BE852" s="5"/>
      <c r="BG852" s="40"/>
      <c r="BH852" s="5"/>
      <c r="BJ852" s="40"/>
      <c r="BK852" s="5"/>
      <c r="BM852" s="40"/>
      <c r="BN852" s="5"/>
      <c r="BP852" s="40"/>
      <c r="BQ852" s="5"/>
      <c r="BS852" s="40"/>
      <c r="BT852" s="5"/>
      <c r="BV852" s="40"/>
      <c r="BW852" s="5"/>
      <c r="BY852" s="40"/>
      <c r="BZ852" s="5"/>
      <c r="CB852" s="40"/>
      <c r="CC852" s="5"/>
      <c r="CE852" s="40"/>
      <c r="CF852" s="5"/>
      <c r="CH852" s="40"/>
      <c r="CI852" s="5"/>
      <c r="CK852" s="40"/>
      <c r="CL852" s="5"/>
      <c r="CN852" s="40"/>
      <c r="CO852" s="5"/>
      <c r="CQ852" s="40"/>
      <c r="CR852" s="5"/>
    </row>
    <row r="853">
      <c r="AO853" s="40"/>
      <c r="AP853" s="5"/>
      <c r="AR853" s="40"/>
      <c r="AS853" s="5"/>
      <c r="AU853" s="40"/>
      <c r="AV853" s="5"/>
      <c r="AX853" s="40"/>
      <c r="AY853" s="5"/>
      <c r="BA853" s="40"/>
      <c r="BB853" s="5"/>
      <c r="BD853" s="40"/>
      <c r="BE853" s="5"/>
      <c r="BG853" s="40"/>
      <c r="BH853" s="5"/>
      <c r="BJ853" s="40"/>
      <c r="BK853" s="5"/>
      <c r="BM853" s="40"/>
      <c r="BN853" s="5"/>
      <c r="BP853" s="40"/>
      <c r="BQ853" s="5"/>
      <c r="BS853" s="40"/>
      <c r="BT853" s="5"/>
      <c r="BV853" s="40"/>
      <c r="BW853" s="5"/>
      <c r="BY853" s="40"/>
      <c r="BZ853" s="5"/>
      <c r="CB853" s="40"/>
      <c r="CC853" s="5"/>
      <c r="CE853" s="40"/>
      <c r="CF853" s="5"/>
      <c r="CH853" s="40"/>
      <c r="CI853" s="5"/>
      <c r="CK853" s="40"/>
      <c r="CL853" s="5"/>
      <c r="CN853" s="40"/>
      <c r="CO853" s="5"/>
      <c r="CQ853" s="40"/>
      <c r="CR853" s="5"/>
    </row>
    <row r="854">
      <c r="AO854" s="40"/>
      <c r="AP854" s="5"/>
      <c r="AR854" s="40"/>
      <c r="AS854" s="5"/>
      <c r="AU854" s="40"/>
      <c r="AV854" s="5"/>
      <c r="AX854" s="40"/>
      <c r="AY854" s="5"/>
      <c r="BA854" s="40"/>
      <c r="BB854" s="5"/>
      <c r="BD854" s="40"/>
      <c r="BE854" s="5"/>
      <c r="BG854" s="40"/>
      <c r="BH854" s="5"/>
      <c r="BJ854" s="40"/>
      <c r="BK854" s="5"/>
      <c r="BM854" s="40"/>
      <c r="BN854" s="5"/>
      <c r="BP854" s="40"/>
      <c r="BQ854" s="5"/>
      <c r="BS854" s="40"/>
      <c r="BT854" s="5"/>
      <c r="BV854" s="40"/>
      <c r="BW854" s="5"/>
      <c r="BY854" s="40"/>
      <c r="BZ854" s="5"/>
      <c r="CB854" s="40"/>
      <c r="CC854" s="5"/>
      <c r="CE854" s="40"/>
      <c r="CF854" s="5"/>
      <c r="CH854" s="40"/>
      <c r="CI854" s="5"/>
      <c r="CK854" s="40"/>
      <c r="CL854" s="5"/>
      <c r="CN854" s="40"/>
      <c r="CO854" s="5"/>
      <c r="CQ854" s="40"/>
      <c r="CR854" s="5"/>
    </row>
    <row r="855">
      <c r="AO855" s="40"/>
      <c r="AP855" s="5"/>
      <c r="AR855" s="40"/>
      <c r="AS855" s="5"/>
      <c r="AU855" s="40"/>
      <c r="AV855" s="5"/>
      <c r="AX855" s="40"/>
      <c r="AY855" s="5"/>
      <c r="BA855" s="40"/>
      <c r="BB855" s="5"/>
      <c r="BD855" s="40"/>
      <c r="BE855" s="5"/>
      <c r="BG855" s="40"/>
      <c r="BH855" s="5"/>
      <c r="BJ855" s="40"/>
      <c r="BK855" s="5"/>
      <c r="BM855" s="40"/>
      <c r="BN855" s="5"/>
      <c r="BP855" s="40"/>
      <c r="BQ855" s="5"/>
      <c r="BS855" s="40"/>
      <c r="BT855" s="5"/>
      <c r="BV855" s="40"/>
      <c r="BW855" s="5"/>
      <c r="BY855" s="40"/>
      <c r="BZ855" s="5"/>
      <c r="CB855" s="40"/>
      <c r="CC855" s="5"/>
      <c r="CE855" s="40"/>
      <c r="CF855" s="5"/>
      <c r="CH855" s="40"/>
      <c r="CI855" s="5"/>
      <c r="CK855" s="40"/>
      <c r="CL855" s="5"/>
      <c r="CN855" s="40"/>
      <c r="CO855" s="5"/>
      <c r="CQ855" s="40"/>
      <c r="CR855" s="5"/>
    </row>
    <row r="856">
      <c r="AO856" s="40"/>
      <c r="AP856" s="5"/>
      <c r="AR856" s="40"/>
      <c r="AS856" s="5"/>
      <c r="AU856" s="40"/>
      <c r="AV856" s="5"/>
      <c r="AX856" s="40"/>
      <c r="AY856" s="5"/>
      <c r="BA856" s="40"/>
      <c r="BB856" s="5"/>
      <c r="BD856" s="40"/>
      <c r="BE856" s="5"/>
      <c r="BG856" s="40"/>
      <c r="BH856" s="5"/>
      <c r="BJ856" s="40"/>
      <c r="BK856" s="5"/>
      <c r="BM856" s="40"/>
      <c r="BN856" s="5"/>
      <c r="BP856" s="40"/>
      <c r="BQ856" s="5"/>
      <c r="BS856" s="40"/>
      <c r="BT856" s="5"/>
      <c r="BV856" s="40"/>
      <c r="BW856" s="5"/>
      <c r="BY856" s="40"/>
      <c r="BZ856" s="5"/>
      <c r="CB856" s="40"/>
      <c r="CC856" s="5"/>
      <c r="CE856" s="40"/>
      <c r="CF856" s="5"/>
      <c r="CH856" s="40"/>
      <c r="CI856" s="5"/>
      <c r="CK856" s="40"/>
      <c r="CL856" s="5"/>
      <c r="CN856" s="40"/>
      <c r="CO856" s="5"/>
      <c r="CQ856" s="40"/>
      <c r="CR856" s="5"/>
    </row>
    <row r="857">
      <c r="AO857" s="40"/>
      <c r="AP857" s="5"/>
      <c r="AR857" s="40"/>
      <c r="AS857" s="5"/>
      <c r="AU857" s="40"/>
      <c r="AV857" s="5"/>
      <c r="AX857" s="40"/>
      <c r="AY857" s="5"/>
      <c r="BA857" s="40"/>
      <c r="BB857" s="5"/>
      <c r="BD857" s="40"/>
      <c r="BE857" s="5"/>
      <c r="BG857" s="40"/>
      <c r="BH857" s="5"/>
      <c r="BJ857" s="40"/>
      <c r="BK857" s="5"/>
      <c r="BM857" s="40"/>
      <c r="BN857" s="5"/>
      <c r="BP857" s="40"/>
      <c r="BQ857" s="5"/>
      <c r="BS857" s="40"/>
      <c r="BT857" s="5"/>
      <c r="BV857" s="40"/>
      <c r="BW857" s="5"/>
      <c r="BY857" s="40"/>
      <c r="BZ857" s="5"/>
      <c r="CB857" s="40"/>
      <c r="CC857" s="5"/>
      <c r="CE857" s="40"/>
      <c r="CF857" s="5"/>
      <c r="CH857" s="40"/>
      <c r="CI857" s="5"/>
      <c r="CK857" s="40"/>
      <c r="CL857" s="5"/>
      <c r="CN857" s="40"/>
      <c r="CO857" s="5"/>
      <c r="CQ857" s="40"/>
      <c r="CR857" s="5"/>
    </row>
    <row r="858">
      <c r="AO858" s="40"/>
      <c r="AP858" s="5"/>
      <c r="AR858" s="40"/>
      <c r="AS858" s="5"/>
      <c r="AU858" s="40"/>
      <c r="AV858" s="5"/>
      <c r="AX858" s="40"/>
      <c r="AY858" s="5"/>
      <c r="BA858" s="40"/>
      <c r="BB858" s="5"/>
      <c r="BD858" s="40"/>
      <c r="BE858" s="5"/>
      <c r="BG858" s="40"/>
      <c r="BH858" s="5"/>
      <c r="BJ858" s="40"/>
      <c r="BK858" s="5"/>
      <c r="BM858" s="40"/>
      <c r="BN858" s="5"/>
      <c r="BP858" s="40"/>
      <c r="BQ858" s="5"/>
      <c r="BS858" s="40"/>
      <c r="BT858" s="5"/>
      <c r="BV858" s="40"/>
      <c r="BW858" s="5"/>
      <c r="BY858" s="40"/>
      <c r="BZ858" s="5"/>
      <c r="CB858" s="40"/>
      <c r="CC858" s="5"/>
      <c r="CE858" s="40"/>
      <c r="CF858" s="5"/>
      <c r="CH858" s="40"/>
      <c r="CI858" s="5"/>
      <c r="CK858" s="40"/>
      <c r="CL858" s="5"/>
      <c r="CN858" s="40"/>
      <c r="CO858" s="5"/>
      <c r="CQ858" s="40"/>
      <c r="CR858" s="5"/>
    </row>
    <row r="859">
      <c r="AO859" s="40"/>
      <c r="AP859" s="5"/>
      <c r="AR859" s="40"/>
      <c r="AS859" s="5"/>
      <c r="AU859" s="40"/>
      <c r="AV859" s="5"/>
      <c r="AX859" s="40"/>
      <c r="AY859" s="5"/>
      <c r="BA859" s="40"/>
      <c r="BB859" s="5"/>
      <c r="BD859" s="40"/>
      <c r="BE859" s="5"/>
      <c r="BG859" s="40"/>
      <c r="BH859" s="5"/>
      <c r="BJ859" s="40"/>
      <c r="BK859" s="5"/>
      <c r="BM859" s="40"/>
      <c r="BN859" s="5"/>
      <c r="BP859" s="40"/>
      <c r="BQ859" s="5"/>
      <c r="BS859" s="40"/>
      <c r="BT859" s="5"/>
      <c r="BV859" s="40"/>
      <c r="BW859" s="5"/>
      <c r="BY859" s="40"/>
      <c r="BZ859" s="5"/>
      <c r="CB859" s="40"/>
      <c r="CC859" s="5"/>
      <c r="CE859" s="40"/>
      <c r="CF859" s="5"/>
      <c r="CH859" s="40"/>
      <c r="CI859" s="5"/>
      <c r="CK859" s="40"/>
      <c r="CL859" s="5"/>
      <c r="CN859" s="40"/>
      <c r="CO859" s="5"/>
      <c r="CQ859" s="40"/>
      <c r="CR859" s="5"/>
    </row>
    <row r="860">
      <c r="AO860" s="40"/>
      <c r="AP860" s="5"/>
      <c r="AR860" s="40"/>
      <c r="AS860" s="5"/>
      <c r="AU860" s="40"/>
      <c r="AV860" s="5"/>
      <c r="AX860" s="40"/>
      <c r="AY860" s="5"/>
      <c r="BA860" s="40"/>
      <c r="BB860" s="5"/>
      <c r="BD860" s="40"/>
      <c r="BE860" s="5"/>
      <c r="BG860" s="40"/>
      <c r="BH860" s="5"/>
      <c r="BJ860" s="40"/>
      <c r="BK860" s="5"/>
      <c r="BM860" s="40"/>
      <c r="BN860" s="5"/>
      <c r="BP860" s="40"/>
      <c r="BQ860" s="5"/>
      <c r="BS860" s="40"/>
      <c r="BT860" s="5"/>
      <c r="BV860" s="40"/>
      <c r="BW860" s="5"/>
      <c r="BY860" s="40"/>
      <c r="BZ860" s="5"/>
      <c r="CB860" s="40"/>
      <c r="CC860" s="5"/>
      <c r="CE860" s="40"/>
      <c r="CF860" s="5"/>
      <c r="CH860" s="40"/>
      <c r="CI860" s="5"/>
      <c r="CK860" s="40"/>
      <c r="CL860" s="5"/>
      <c r="CN860" s="40"/>
      <c r="CO860" s="5"/>
      <c r="CQ860" s="40"/>
      <c r="CR860" s="5"/>
    </row>
    <row r="861">
      <c r="AO861" s="40"/>
      <c r="AP861" s="5"/>
      <c r="AR861" s="40"/>
      <c r="AS861" s="5"/>
      <c r="AU861" s="40"/>
      <c r="AV861" s="5"/>
      <c r="AX861" s="40"/>
      <c r="AY861" s="5"/>
      <c r="BA861" s="40"/>
      <c r="BB861" s="5"/>
      <c r="BD861" s="40"/>
      <c r="BE861" s="5"/>
      <c r="BG861" s="40"/>
      <c r="BH861" s="5"/>
      <c r="BJ861" s="40"/>
      <c r="BK861" s="5"/>
      <c r="BM861" s="40"/>
      <c r="BN861" s="5"/>
      <c r="BP861" s="40"/>
      <c r="BQ861" s="5"/>
      <c r="BS861" s="40"/>
      <c r="BT861" s="5"/>
      <c r="BV861" s="40"/>
      <c r="BW861" s="5"/>
      <c r="BY861" s="40"/>
      <c r="BZ861" s="5"/>
      <c r="CB861" s="40"/>
      <c r="CC861" s="5"/>
      <c r="CE861" s="40"/>
      <c r="CF861" s="5"/>
      <c r="CH861" s="40"/>
      <c r="CI861" s="5"/>
      <c r="CK861" s="40"/>
      <c r="CL861" s="5"/>
      <c r="CN861" s="40"/>
      <c r="CO861" s="5"/>
      <c r="CQ861" s="40"/>
      <c r="CR861" s="5"/>
    </row>
    <row r="862">
      <c r="AO862" s="40"/>
      <c r="AP862" s="5"/>
      <c r="AR862" s="40"/>
      <c r="AS862" s="5"/>
      <c r="AU862" s="40"/>
      <c r="AV862" s="5"/>
      <c r="AX862" s="40"/>
      <c r="AY862" s="5"/>
      <c r="BA862" s="40"/>
      <c r="BB862" s="5"/>
      <c r="BD862" s="40"/>
      <c r="BE862" s="5"/>
      <c r="BG862" s="40"/>
      <c r="BH862" s="5"/>
      <c r="BJ862" s="40"/>
      <c r="BK862" s="5"/>
      <c r="BM862" s="40"/>
      <c r="BN862" s="5"/>
      <c r="BP862" s="40"/>
      <c r="BQ862" s="5"/>
      <c r="BS862" s="40"/>
      <c r="BT862" s="5"/>
      <c r="BV862" s="40"/>
      <c r="BW862" s="5"/>
      <c r="BY862" s="40"/>
      <c r="BZ862" s="5"/>
      <c r="CB862" s="40"/>
      <c r="CC862" s="5"/>
      <c r="CE862" s="40"/>
      <c r="CF862" s="5"/>
      <c r="CH862" s="40"/>
      <c r="CI862" s="5"/>
      <c r="CK862" s="40"/>
      <c r="CL862" s="5"/>
      <c r="CN862" s="40"/>
      <c r="CO862" s="5"/>
      <c r="CQ862" s="40"/>
      <c r="CR862" s="5"/>
    </row>
    <row r="863">
      <c r="AO863" s="40"/>
      <c r="AP863" s="5"/>
      <c r="AR863" s="40"/>
      <c r="AS863" s="5"/>
      <c r="AU863" s="40"/>
      <c r="AV863" s="5"/>
      <c r="AX863" s="40"/>
      <c r="AY863" s="5"/>
      <c r="BA863" s="40"/>
      <c r="BB863" s="5"/>
      <c r="BD863" s="40"/>
      <c r="BE863" s="5"/>
      <c r="BG863" s="40"/>
      <c r="BH863" s="5"/>
      <c r="BJ863" s="40"/>
      <c r="BK863" s="5"/>
      <c r="BM863" s="40"/>
      <c r="BN863" s="5"/>
      <c r="BP863" s="40"/>
      <c r="BQ863" s="5"/>
      <c r="BS863" s="40"/>
      <c r="BT863" s="5"/>
      <c r="BV863" s="40"/>
      <c r="BW863" s="5"/>
      <c r="BY863" s="40"/>
      <c r="BZ863" s="5"/>
      <c r="CB863" s="40"/>
      <c r="CC863" s="5"/>
      <c r="CE863" s="40"/>
      <c r="CF863" s="5"/>
      <c r="CH863" s="40"/>
      <c r="CI863" s="5"/>
      <c r="CK863" s="40"/>
      <c r="CL863" s="5"/>
      <c r="CN863" s="40"/>
      <c r="CO863" s="5"/>
      <c r="CQ863" s="40"/>
      <c r="CR863" s="5"/>
    </row>
    <row r="864">
      <c r="AO864" s="40"/>
      <c r="AP864" s="5"/>
      <c r="AR864" s="40"/>
      <c r="AS864" s="5"/>
      <c r="AU864" s="40"/>
      <c r="AV864" s="5"/>
      <c r="AX864" s="40"/>
      <c r="AY864" s="5"/>
      <c r="BA864" s="40"/>
      <c r="BB864" s="5"/>
      <c r="BD864" s="40"/>
      <c r="BE864" s="5"/>
      <c r="BG864" s="40"/>
      <c r="BH864" s="5"/>
      <c r="BJ864" s="40"/>
      <c r="BK864" s="5"/>
      <c r="BM864" s="40"/>
      <c r="BN864" s="5"/>
      <c r="BP864" s="40"/>
      <c r="BQ864" s="5"/>
      <c r="BS864" s="40"/>
      <c r="BT864" s="5"/>
      <c r="BV864" s="40"/>
      <c r="BW864" s="5"/>
      <c r="BY864" s="40"/>
      <c r="BZ864" s="5"/>
      <c r="CB864" s="40"/>
      <c r="CC864" s="5"/>
      <c r="CE864" s="40"/>
      <c r="CF864" s="5"/>
      <c r="CH864" s="40"/>
      <c r="CI864" s="5"/>
      <c r="CK864" s="40"/>
      <c r="CL864" s="5"/>
      <c r="CN864" s="40"/>
      <c r="CO864" s="5"/>
      <c r="CQ864" s="40"/>
      <c r="CR864" s="5"/>
    </row>
    <row r="865">
      <c r="AO865" s="40"/>
      <c r="AP865" s="5"/>
      <c r="AR865" s="40"/>
      <c r="AS865" s="5"/>
      <c r="AU865" s="40"/>
      <c r="AV865" s="5"/>
      <c r="AX865" s="40"/>
      <c r="AY865" s="5"/>
      <c r="BA865" s="40"/>
      <c r="BB865" s="5"/>
      <c r="BD865" s="40"/>
      <c r="BE865" s="5"/>
      <c r="BG865" s="40"/>
      <c r="BH865" s="5"/>
      <c r="BJ865" s="40"/>
      <c r="BK865" s="5"/>
      <c r="BM865" s="40"/>
      <c r="BN865" s="5"/>
      <c r="BP865" s="40"/>
      <c r="BQ865" s="5"/>
      <c r="BS865" s="40"/>
      <c r="BT865" s="5"/>
      <c r="BV865" s="40"/>
      <c r="BW865" s="5"/>
      <c r="BY865" s="40"/>
      <c r="BZ865" s="5"/>
      <c r="CB865" s="40"/>
      <c r="CC865" s="5"/>
      <c r="CE865" s="40"/>
      <c r="CF865" s="5"/>
      <c r="CH865" s="40"/>
      <c r="CI865" s="5"/>
      <c r="CK865" s="40"/>
      <c r="CL865" s="5"/>
      <c r="CN865" s="40"/>
      <c r="CO865" s="5"/>
      <c r="CQ865" s="40"/>
      <c r="CR865" s="5"/>
    </row>
    <row r="866">
      <c r="AO866" s="40"/>
      <c r="AP866" s="5"/>
      <c r="AR866" s="40"/>
      <c r="AS866" s="5"/>
      <c r="AU866" s="40"/>
      <c r="AV866" s="5"/>
      <c r="AX866" s="40"/>
      <c r="AY866" s="5"/>
      <c r="BA866" s="40"/>
      <c r="BB866" s="5"/>
      <c r="BD866" s="40"/>
      <c r="BE866" s="5"/>
      <c r="BG866" s="40"/>
      <c r="BH866" s="5"/>
      <c r="BJ866" s="40"/>
      <c r="BK866" s="5"/>
      <c r="BM866" s="40"/>
      <c r="BN866" s="5"/>
      <c r="BP866" s="40"/>
      <c r="BQ866" s="5"/>
      <c r="BS866" s="40"/>
      <c r="BT866" s="5"/>
      <c r="BV866" s="40"/>
      <c r="BW866" s="5"/>
      <c r="BY866" s="40"/>
      <c r="BZ866" s="5"/>
      <c r="CB866" s="40"/>
      <c r="CC866" s="5"/>
      <c r="CE866" s="40"/>
      <c r="CF866" s="5"/>
      <c r="CH866" s="40"/>
      <c r="CI866" s="5"/>
      <c r="CK866" s="40"/>
      <c r="CL866" s="5"/>
      <c r="CN866" s="40"/>
      <c r="CO866" s="5"/>
      <c r="CQ866" s="40"/>
      <c r="CR866" s="5"/>
    </row>
    <row r="867">
      <c r="AO867" s="40"/>
      <c r="AP867" s="5"/>
      <c r="AR867" s="40"/>
      <c r="AS867" s="5"/>
      <c r="AU867" s="40"/>
      <c r="AV867" s="5"/>
      <c r="AX867" s="40"/>
      <c r="AY867" s="5"/>
      <c r="BA867" s="40"/>
      <c r="BB867" s="5"/>
      <c r="BD867" s="40"/>
      <c r="BE867" s="5"/>
      <c r="BG867" s="40"/>
      <c r="BH867" s="5"/>
      <c r="BJ867" s="40"/>
      <c r="BK867" s="5"/>
      <c r="BM867" s="40"/>
      <c r="BN867" s="5"/>
      <c r="BP867" s="40"/>
      <c r="BQ867" s="5"/>
      <c r="BS867" s="40"/>
      <c r="BT867" s="5"/>
      <c r="BV867" s="40"/>
      <c r="BW867" s="5"/>
      <c r="BY867" s="40"/>
      <c r="BZ867" s="5"/>
      <c r="CB867" s="40"/>
      <c r="CC867" s="5"/>
      <c r="CE867" s="40"/>
      <c r="CF867" s="5"/>
      <c r="CH867" s="40"/>
      <c r="CI867" s="5"/>
      <c r="CK867" s="40"/>
      <c r="CL867" s="5"/>
      <c r="CN867" s="40"/>
      <c r="CO867" s="5"/>
      <c r="CQ867" s="40"/>
      <c r="CR867" s="5"/>
    </row>
    <row r="868">
      <c r="AO868" s="40"/>
      <c r="AP868" s="5"/>
      <c r="AR868" s="40"/>
      <c r="AS868" s="5"/>
      <c r="AU868" s="40"/>
      <c r="AV868" s="5"/>
      <c r="AX868" s="40"/>
      <c r="AY868" s="5"/>
      <c r="BA868" s="40"/>
      <c r="BB868" s="5"/>
      <c r="BD868" s="40"/>
      <c r="BE868" s="5"/>
      <c r="BG868" s="40"/>
      <c r="BH868" s="5"/>
      <c r="BJ868" s="40"/>
      <c r="BK868" s="5"/>
      <c r="BM868" s="40"/>
      <c r="BN868" s="5"/>
      <c r="BP868" s="40"/>
      <c r="BQ868" s="5"/>
      <c r="BS868" s="40"/>
      <c r="BT868" s="5"/>
      <c r="BV868" s="40"/>
      <c r="BW868" s="5"/>
      <c r="BY868" s="40"/>
      <c r="BZ868" s="5"/>
      <c r="CB868" s="40"/>
      <c r="CC868" s="5"/>
      <c r="CE868" s="40"/>
      <c r="CF868" s="5"/>
      <c r="CH868" s="40"/>
      <c r="CI868" s="5"/>
      <c r="CK868" s="40"/>
      <c r="CL868" s="5"/>
      <c r="CN868" s="40"/>
      <c r="CO868" s="5"/>
      <c r="CQ868" s="40"/>
      <c r="CR868" s="5"/>
    </row>
    <row r="869">
      <c r="AO869" s="40"/>
      <c r="AP869" s="5"/>
      <c r="AR869" s="40"/>
      <c r="AS869" s="5"/>
      <c r="AU869" s="40"/>
      <c r="AV869" s="5"/>
      <c r="AX869" s="40"/>
      <c r="AY869" s="5"/>
      <c r="BA869" s="40"/>
      <c r="BB869" s="5"/>
      <c r="BD869" s="40"/>
      <c r="BE869" s="5"/>
      <c r="BG869" s="40"/>
      <c r="BH869" s="5"/>
      <c r="BJ869" s="40"/>
      <c r="BK869" s="5"/>
      <c r="BM869" s="40"/>
      <c r="BN869" s="5"/>
      <c r="BP869" s="40"/>
      <c r="BQ869" s="5"/>
      <c r="BS869" s="40"/>
      <c r="BT869" s="5"/>
      <c r="BV869" s="40"/>
      <c r="BW869" s="5"/>
      <c r="BY869" s="40"/>
      <c r="BZ869" s="5"/>
      <c r="CB869" s="40"/>
      <c r="CC869" s="5"/>
      <c r="CE869" s="40"/>
      <c r="CF869" s="5"/>
      <c r="CH869" s="40"/>
      <c r="CI869" s="5"/>
      <c r="CK869" s="40"/>
      <c r="CL869" s="5"/>
      <c r="CN869" s="40"/>
      <c r="CO869" s="5"/>
      <c r="CQ869" s="40"/>
      <c r="CR869" s="5"/>
    </row>
    <row r="870">
      <c r="AO870" s="40"/>
      <c r="AP870" s="5"/>
      <c r="AR870" s="40"/>
      <c r="AS870" s="5"/>
      <c r="AU870" s="40"/>
      <c r="AV870" s="5"/>
      <c r="AX870" s="40"/>
      <c r="AY870" s="5"/>
      <c r="BA870" s="40"/>
      <c r="BB870" s="5"/>
      <c r="BD870" s="40"/>
      <c r="BE870" s="5"/>
      <c r="BG870" s="40"/>
      <c r="BH870" s="5"/>
      <c r="BJ870" s="40"/>
      <c r="BK870" s="5"/>
      <c r="BM870" s="40"/>
      <c r="BN870" s="5"/>
      <c r="BP870" s="40"/>
      <c r="BQ870" s="5"/>
      <c r="BS870" s="40"/>
      <c r="BT870" s="5"/>
      <c r="BV870" s="40"/>
      <c r="BW870" s="5"/>
      <c r="BY870" s="40"/>
      <c r="BZ870" s="5"/>
      <c r="CB870" s="40"/>
      <c r="CC870" s="5"/>
      <c r="CE870" s="40"/>
      <c r="CF870" s="5"/>
      <c r="CH870" s="40"/>
      <c r="CI870" s="5"/>
      <c r="CK870" s="40"/>
      <c r="CL870" s="5"/>
      <c r="CN870" s="40"/>
      <c r="CO870" s="5"/>
      <c r="CQ870" s="40"/>
      <c r="CR870" s="5"/>
    </row>
    <row r="871">
      <c r="AO871" s="40"/>
      <c r="AP871" s="5"/>
      <c r="AR871" s="40"/>
      <c r="AS871" s="5"/>
      <c r="AU871" s="40"/>
      <c r="AV871" s="5"/>
      <c r="AX871" s="40"/>
      <c r="AY871" s="5"/>
      <c r="BA871" s="40"/>
      <c r="BB871" s="5"/>
      <c r="BD871" s="40"/>
      <c r="BE871" s="5"/>
      <c r="BG871" s="40"/>
      <c r="BH871" s="5"/>
      <c r="BJ871" s="40"/>
      <c r="BK871" s="5"/>
      <c r="BM871" s="40"/>
      <c r="BN871" s="5"/>
      <c r="BP871" s="40"/>
      <c r="BQ871" s="5"/>
      <c r="BS871" s="40"/>
      <c r="BT871" s="5"/>
      <c r="BV871" s="40"/>
      <c r="BW871" s="5"/>
      <c r="BY871" s="40"/>
      <c r="BZ871" s="5"/>
      <c r="CB871" s="40"/>
      <c r="CC871" s="5"/>
      <c r="CE871" s="40"/>
      <c r="CF871" s="5"/>
      <c r="CH871" s="40"/>
      <c r="CI871" s="5"/>
      <c r="CK871" s="40"/>
      <c r="CL871" s="5"/>
      <c r="CN871" s="40"/>
      <c r="CO871" s="5"/>
      <c r="CQ871" s="40"/>
      <c r="CR871" s="5"/>
    </row>
    <row r="872">
      <c r="AO872" s="40"/>
      <c r="AP872" s="5"/>
      <c r="AR872" s="40"/>
      <c r="AS872" s="5"/>
      <c r="AU872" s="40"/>
      <c r="AV872" s="5"/>
      <c r="AX872" s="40"/>
      <c r="AY872" s="5"/>
      <c r="BA872" s="40"/>
      <c r="BB872" s="5"/>
      <c r="BD872" s="40"/>
      <c r="BE872" s="5"/>
      <c r="BG872" s="40"/>
      <c r="BH872" s="5"/>
      <c r="BJ872" s="40"/>
      <c r="BK872" s="5"/>
      <c r="BM872" s="40"/>
      <c r="BN872" s="5"/>
      <c r="BP872" s="40"/>
      <c r="BQ872" s="5"/>
      <c r="BS872" s="40"/>
      <c r="BT872" s="5"/>
      <c r="BV872" s="40"/>
      <c r="BW872" s="5"/>
      <c r="BY872" s="40"/>
      <c r="BZ872" s="5"/>
      <c r="CB872" s="40"/>
      <c r="CC872" s="5"/>
      <c r="CE872" s="40"/>
      <c r="CF872" s="5"/>
      <c r="CH872" s="40"/>
      <c r="CI872" s="5"/>
      <c r="CK872" s="40"/>
      <c r="CL872" s="5"/>
      <c r="CN872" s="40"/>
      <c r="CO872" s="5"/>
      <c r="CQ872" s="40"/>
      <c r="CR872" s="5"/>
    </row>
    <row r="873">
      <c r="AO873" s="40"/>
      <c r="AP873" s="5"/>
      <c r="AR873" s="40"/>
      <c r="AS873" s="5"/>
      <c r="AU873" s="40"/>
      <c r="AV873" s="5"/>
      <c r="AX873" s="40"/>
      <c r="AY873" s="5"/>
      <c r="BA873" s="40"/>
      <c r="BB873" s="5"/>
      <c r="BD873" s="40"/>
      <c r="BE873" s="5"/>
      <c r="BG873" s="40"/>
      <c r="BH873" s="5"/>
      <c r="BJ873" s="40"/>
      <c r="BK873" s="5"/>
      <c r="BM873" s="40"/>
      <c r="BN873" s="5"/>
      <c r="BP873" s="40"/>
      <c r="BQ873" s="5"/>
      <c r="BS873" s="40"/>
      <c r="BT873" s="5"/>
      <c r="BV873" s="40"/>
      <c r="BW873" s="5"/>
      <c r="BY873" s="40"/>
      <c r="BZ873" s="5"/>
      <c r="CB873" s="40"/>
      <c r="CC873" s="5"/>
      <c r="CE873" s="40"/>
      <c r="CF873" s="5"/>
      <c r="CH873" s="40"/>
      <c r="CI873" s="5"/>
      <c r="CK873" s="40"/>
      <c r="CL873" s="5"/>
      <c r="CN873" s="40"/>
      <c r="CO873" s="5"/>
      <c r="CQ873" s="40"/>
      <c r="CR873" s="5"/>
    </row>
    <row r="874">
      <c r="AO874" s="40"/>
      <c r="AP874" s="5"/>
      <c r="AR874" s="40"/>
      <c r="AS874" s="5"/>
      <c r="AU874" s="40"/>
      <c r="AV874" s="5"/>
      <c r="AX874" s="40"/>
      <c r="AY874" s="5"/>
      <c r="BA874" s="40"/>
      <c r="BB874" s="5"/>
      <c r="BD874" s="40"/>
      <c r="BE874" s="5"/>
      <c r="BG874" s="40"/>
      <c r="BH874" s="5"/>
      <c r="BJ874" s="40"/>
      <c r="BK874" s="5"/>
      <c r="BM874" s="40"/>
      <c r="BN874" s="5"/>
      <c r="BP874" s="40"/>
      <c r="BQ874" s="5"/>
      <c r="BS874" s="40"/>
      <c r="BT874" s="5"/>
      <c r="BV874" s="40"/>
      <c r="BW874" s="5"/>
      <c r="BY874" s="40"/>
      <c r="BZ874" s="5"/>
      <c r="CB874" s="40"/>
      <c r="CC874" s="5"/>
      <c r="CE874" s="40"/>
      <c r="CF874" s="5"/>
      <c r="CH874" s="40"/>
      <c r="CI874" s="5"/>
      <c r="CK874" s="40"/>
      <c r="CL874" s="5"/>
      <c r="CN874" s="40"/>
      <c r="CO874" s="5"/>
      <c r="CQ874" s="40"/>
      <c r="CR874" s="5"/>
    </row>
    <row r="875">
      <c r="AO875" s="40"/>
      <c r="AP875" s="5"/>
      <c r="AR875" s="40"/>
      <c r="AS875" s="5"/>
      <c r="AU875" s="40"/>
      <c r="AV875" s="5"/>
      <c r="AX875" s="40"/>
      <c r="AY875" s="5"/>
      <c r="BA875" s="40"/>
      <c r="BB875" s="5"/>
      <c r="BD875" s="40"/>
      <c r="BE875" s="5"/>
      <c r="BG875" s="40"/>
      <c r="BH875" s="5"/>
      <c r="BJ875" s="40"/>
      <c r="BK875" s="5"/>
      <c r="BM875" s="40"/>
      <c r="BN875" s="5"/>
      <c r="BP875" s="40"/>
      <c r="BQ875" s="5"/>
      <c r="BS875" s="40"/>
      <c r="BT875" s="5"/>
      <c r="BV875" s="40"/>
      <c r="BW875" s="5"/>
      <c r="BY875" s="40"/>
      <c r="BZ875" s="5"/>
      <c r="CB875" s="40"/>
      <c r="CC875" s="5"/>
      <c r="CE875" s="40"/>
      <c r="CF875" s="5"/>
      <c r="CH875" s="40"/>
      <c r="CI875" s="5"/>
      <c r="CK875" s="40"/>
      <c r="CL875" s="5"/>
      <c r="CN875" s="40"/>
      <c r="CO875" s="5"/>
      <c r="CQ875" s="40"/>
      <c r="CR875" s="5"/>
    </row>
    <row r="876">
      <c r="AO876" s="40"/>
      <c r="AP876" s="5"/>
      <c r="AR876" s="40"/>
      <c r="AS876" s="5"/>
      <c r="AU876" s="40"/>
      <c r="AV876" s="5"/>
      <c r="AX876" s="40"/>
      <c r="AY876" s="5"/>
      <c r="BA876" s="40"/>
      <c r="BB876" s="5"/>
      <c r="BD876" s="40"/>
      <c r="BE876" s="5"/>
      <c r="BG876" s="40"/>
      <c r="BH876" s="5"/>
      <c r="BJ876" s="40"/>
      <c r="BK876" s="5"/>
      <c r="BM876" s="40"/>
      <c r="BN876" s="5"/>
      <c r="BP876" s="40"/>
      <c r="BQ876" s="5"/>
      <c r="BS876" s="40"/>
      <c r="BT876" s="5"/>
      <c r="BV876" s="40"/>
      <c r="BW876" s="5"/>
      <c r="BY876" s="40"/>
      <c r="BZ876" s="5"/>
      <c r="CB876" s="40"/>
      <c r="CC876" s="5"/>
      <c r="CE876" s="40"/>
      <c r="CF876" s="5"/>
      <c r="CH876" s="40"/>
      <c r="CI876" s="5"/>
      <c r="CK876" s="40"/>
      <c r="CL876" s="5"/>
      <c r="CN876" s="40"/>
      <c r="CO876" s="5"/>
      <c r="CQ876" s="40"/>
      <c r="CR876" s="5"/>
    </row>
    <row r="877">
      <c r="AO877" s="40"/>
      <c r="AP877" s="5"/>
      <c r="AR877" s="40"/>
      <c r="AS877" s="5"/>
      <c r="AU877" s="40"/>
      <c r="AV877" s="5"/>
      <c r="AX877" s="40"/>
      <c r="AY877" s="5"/>
      <c r="BA877" s="40"/>
      <c r="BB877" s="5"/>
      <c r="BD877" s="40"/>
      <c r="BE877" s="5"/>
      <c r="BG877" s="40"/>
      <c r="BH877" s="5"/>
      <c r="BJ877" s="40"/>
      <c r="BK877" s="5"/>
      <c r="BM877" s="40"/>
      <c r="BN877" s="5"/>
      <c r="BP877" s="40"/>
      <c r="BQ877" s="5"/>
      <c r="BS877" s="40"/>
      <c r="BT877" s="5"/>
      <c r="BV877" s="40"/>
      <c r="BW877" s="5"/>
      <c r="BY877" s="40"/>
      <c r="BZ877" s="5"/>
      <c r="CB877" s="40"/>
      <c r="CC877" s="5"/>
      <c r="CE877" s="40"/>
      <c r="CF877" s="5"/>
      <c r="CH877" s="40"/>
      <c r="CI877" s="5"/>
      <c r="CK877" s="40"/>
      <c r="CL877" s="5"/>
      <c r="CN877" s="40"/>
      <c r="CO877" s="5"/>
      <c r="CQ877" s="40"/>
      <c r="CR877" s="5"/>
    </row>
    <row r="878">
      <c r="AO878" s="40"/>
      <c r="AP878" s="5"/>
      <c r="AR878" s="40"/>
      <c r="AS878" s="5"/>
      <c r="AU878" s="40"/>
      <c r="AV878" s="5"/>
      <c r="AX878" s="40"/>
      <c r="AY878" s="5"/>
      <c r="BA878" s="40"/>
      <c r="BB878" s="5"/>
      <c r="BD878" s="40"/>
      <c r="BE878" s="5"/>
      <c r="BG878" s="40"/>
      <c r="BH878" s="5"/>
      <c r="BJ878" s="40"/>
      <c r="BK878" s="5"/>
      <c r="BM878" s="40"/>
      <c r="BN878" s="5"/>
      <c r="BP878" s="40"/>
      <c r="BQ878" s="5"/>
      <c r="BS878" s="40"/>
      <c r="BT878" s="5"/>
      <c r="BV878" s="40"/>
      <c r="BW878" s="5"/>
      <c r="BY878" s="40"/>
      <c r="BZ878" s="5"/>
      <c r="CB878" s="40"/>
      <c r="CC878" s="5"/>
      <c r="CE878" s="40"/>
      <c r="CF878" s="5"/>
      <c r="CH878" s="40"/>
      <c r="CI878" s="5"/>
      <c r="CK878" s="40"/>
      <c r="CL878" s="5"/>
      <c r="CN878" s="40"/>
      <c r="CO878" s="5"/>
      <c r="CQ878" s="40"/>
      <c r="CR878" s="5"/>
    </row>
    <row r="879">
      <c r="AO879" s="40"/>
      <c r="AP879" s="5"/>
      <c r="AR879" s="40"/>
      <c r="AS879" s="5"/>
      <c r="AU879" s="40"/>
      <c r="AV879" s="5"/>
      <c r="AX879" s="40"/>
      <c r="AY879" s="5"/>
      <c r="BA879" s="40"/>
      <c r="BB879" s="5"/>
      <c r="BD879" s="40"/>
      <c r="BE879" s="5"/>
      <c r="BG879" s="40"/>
      <c r="BH879" s="5"/>
      <c r="BJ879" s="40"/>
      <c r="BK879" s="5"/>
      <c r="BM879" s="40"/>
      <c r="BN879" s="5"/>
      <c r="BP879" s="40"/>
      <c r="BQ879" s="5"/>
      <c r="BS879" s="40"/>
      <c r="BT879" s="5"/>
      <c r="BV879" s="40"/>
      <c r="BW879" s="5"/>
      <c r="BY879" s="40"/>
      <c r="BZ879" s="5"/>
      <c r="CB879" s="40"/>
      <c r="CC879" s="5"/>
      <c r="CE879" s="40"/>
      <c r="CF879" s="5"/>
      <c r="CH879" s="40"/>
      <c r="CI879" s="5"/>
      <c r="CK879" s="40"/>
      <c r="CL879" s="5"/>
      <c r="CN879" s="40"/>
      <c r="CO879" s="5"/>
      <c r="CQ879" s="40"/>
      <c r="CR879" s="5"/>
    </row>
    <row r="880">
      <c r="AO880" s="40"/>
      <c r="AP880" s="5"/>
      <c r="AR880" s="40"/>
      <c r="AS880" s="5"/>
      <c r="AU880" s="40"/>
      <c r="AV880" s="5"/>
      <c r="AX880" s="40"/>
      <c r="AY880" s="5"/>
      <c r="BA880" s="40"/>
      <c r="BB880" s="5"/>
      <c r="BD880" s="40"/>
      <c r="BE880" s="5"/>
      <c r="BG880" s="40"/>
      <c r="BH880" s="5"/>
      <c r="BJ880" s="40"/>
      <c r="BK880" s="5"/>
      <c r="BM880" s="40"/>
      <c r="BN880" s="5"/>
      <c r="BP880" s="40"/>
      <c r="BQ880" s="5"/>
      <c r="BS880" s="40"/>
      <c r="BT880" s="5"/>
      <c r="BV880" s="40"/>
      <c r="BW880" s="5"/>
      <c r="BY880" s="40"/>
      <c r="BZ880" s="5"/>
      <c r="CB880" s="40"/>
      <c r="CC880" s="5"/>
      <c r="CE880" s="40"/>
      <c r="CF880" s="5"/>
      <c r="CH880" s="40"/>
      <c r="CI880" s="5"/>
      <c r="CK880" s="40"/>
      <c r="CL880" s="5"/>
      <c r="CN880" s="40"/>
      <c r="CO880" s="5"/>
      <c r="CQ880" s="40"/>
      <c r="CR880" s="5"/>
    </row>
    <row r="881">
      <c r="AO881" s="40"/>
      <c r="AP881" s="5"/>
      <c r="AR881" s="40"/>
      <c r="AS881" s="5"/>
      <c r="AU881" s="40"/>
      <c r="AV881" s="5"/>
      <c r="AX881" s="40"/>
      <c r="AY881" s="5"/>
      <c r="BA881" s="40"/>
      <c r="BB881" s="5"/>
      <c r="BD881" s="40"/>
      <c r="BE881" s="5"/>
      <c r="BG881" s="40"/>
      <c r="BH881" s="5"/>
      <c r="BJ881" s="40"/>
      <c r="BK881" s="5"/>
      <c r="BM881" s="40"/>
      <c r="BN881" s="5"/>
      <c r="BP881" s="40"/>
      <c r="BQ881" s="5"/>
      <c r="BS881" s="40"/>
      <c r="BT881" s="5"/>
      <c r="BV881" s="40"/>
      <c r="BW881" s="5"/>
      <c r="BY881" s="40"/>
      <c r="BZ881" s="5"/>
      <c r="CB881" s="40"/>
      <c r="CC881" s="5"/>
      <c r="CE881" s="40"/>
      <c r="CF881" s="5"/>
      <c r="CH881" s="40"/>
      <c r="CI881" s="5"/>
      <c r="CK881" s="40"/>
      <c r="CL881" s="5"/>
      <c r="CN881" s="40"/>
      <c r="CO881" s="5"/>
      <c r="CQ881" s="40"/>
      <c r="CR881" s="5"/>
    </row>
    <row r="882">
      <c r="AO882" s="40"/>
      <c r="AP882" s="5"/>
      <c r="AR882" s="40"/>
      <c r="AS882" s="5"/>
      <c r="AU882" s="40"/>
      <c r="AV882" s="5"/>
      <c r="AX882" s="40"/>
      <c r="AY882" s="5"/>
      <c r="BA882" s="40"/>
      <c r="BB882" s="5"/>
      <c r="BD882" s="40"/>
      <c r="BE882" s="5"/>
      <c r="BG882" s="40"/>
      <c r="BH882" s="5"/>
      <c r="BJ882" s="40"/>
      <c r="BK882" s="5"/>
      <c r="BM882" s="40"/>
      <c r="BN882" s="5"/>
      <c r="BP882" s="40"/>
      <c r="BQ882" s="5"/>
      <c r="BS882" s="40"/>
      <c r="BT882" s="5"/>
      <c r="BV882" s="40"/>
      <c r="BW882" s="5"/>
      <c r="BY882" s="40"/>
      <c r="BZ882" s="5"/>
      <c r="CB882" s="40"/>
      <c r="CC882" s="5"/>
      <c r="CE882" s="40"/>
      <c r="CF882" s="5"/>
      <c r="CH882" s="40"/>
      <c r="CI882" s="5"/>
      <c r="CK882" s="40"/>
      <c r="CL882" s="5"/>
      <c r="CN882" s="40"/>
      <c r="CO882" s="5"/>
      <c r="CQ882" s="40"/>
      <c r="CR882" s="5"/>
    </row>
    <row r="883">
      <c r="AO883" s="40"/>
      <c r="AP883" s="5"/>
      <c r="AR883" s="40"/>
      <c r="AS883" s="5"/>
      <c r="AU883" s="40"/>
      <c r="AV883" s="5"/>
      <c r="AX883" s="40"/>
      <c r="AY883" s="5"/>
      <c r="BA883" s="40"/>
      <c r="BB883" s="5"/>
      <c r="BD883" s="40"/>
      <c r="BE883" s="5"/>
      <c r="BG883" s="40"/>
      <c r="BH883" s="5"/>
      <c r="BJ883" s="40"/>
      <c r="BK883" s="5"/>
      <c r="BM883" s="40"/>
      <c r="BN883" s="5"/>
      <c r="BP883" s="40"/>
      <c r="BQ883" s="5"/>
      <c r="BS883" s="40"/>
      <c r="BT883" s="5"/>
      <c r="BV883" s="40"/>
      <c r="BW883" s="5"/>
      <c r="BY883" s="40"/>
      <c r="BZ883" s="5"/>
      <c r="CB883" s="40"/>
      <c r="CC883" s="5"/>
      <c r="CE883" s="40"/>
      <c r="CF883" s="5"/>
      <c r="CH883" s="40"/>
      <c r="CI883" s="5"/>
      <c r="CK883" s="40"/>
      <c r="CL883" s="5"/>
      <c r="CN883" s="40"/>
      <c r="CO883" s="5"/>
      <c r="CQ883" s="40"/>
      <c r="CR883" s="5"/>
    </row>
    <row r="884">
      <c r="AO884" s="40"/>
      <c r="AP884" s="5"/>
      <c r="AR884" s="40"/>
      <c r="AS884" s="5"/>
      <c r="AU884" s="40"/>
      <c r="AV884" s="5"/>
      <c r="AX884" s="40"/>
      <c r="AY884" s="5"/>
      <c r="BA884" s="40"/>
      <c r="BB884" s="5"/>
      <c r="BD884" s="40"/>
      <c r="BE884" s="5"/>
      <c r="BG884" s="40"/>
      <c r="BH884" s="5"/>
      <c r="BJ884" s="40"/>
      <c r="BK884" s="5"/>
      <c r="BM884" s="40"/>
      <c r="BN884" s="5"/>
      <c r="BP884" s="40"/>
      <c r="BQ884" s="5"/>
      <c r="BS884" s="40"/>
      <c r="BT884" s="5"/>
      <c r="BV884" s="40"/>
      <c r="BW884" s="5"/>
      <c r="BY884" s="40"/>
      <c r="BZ884" s="5"/>
      <c r="CB884" s="40"/>
      <c r="CC884" s="5"/>
      <c r="CE884" s="40"/>
      <c r="CF884" s="5"/>
      <c r="CH884" s="40"/>
      <c r="CI884" s="5"/>
      <c r="CK884" s="40"/>
      <c r="CL884" s="5"/>
      <c r="CN884" s="40"/>
      <c r="CO884" s="5"/>
      <c r="CQ884" s="40"/>
      <c r="CR884" s="5"/>
    </row>
    <row r="885">
      <c r="AO885" s="40"/>
      <c r="AP885" s="5"/>
      <c r="AR885" s="40"/>
      <c r="AS885" s="5"/>
      <c r="AU885" s="40"/>
      <c r="AV885" s="5"/>
      <c r="AX885" s="40"/>
      <c r="AY885" s="5"/>
      <c r="BA885" s="40"/>
      <c r="BB885" s="5"/>
      <c r="BD885" s="40"/>
      <c r="BE885" s="5"/>
      <c r="BG885" s="40"/>
      <c r="BH885" s="5"/>
      <c r="BJ885" s="40"/>
      <c r="BK885" s="5"/>
      <c r="BM885" s="40"/>
      <c r="BN885" s="5"/>
      <c r="BP885" s="40"/>
      <c r="BQ885" s="5"/>
      <c r="BS885" s="40"/>
      <c r="BT885" s="5"/>
      <c r="BV885" s="40"/>
      <c r="BW885" s="5"/>
      <c r="BY885" s="40"/>
      <c r="BZ885" s="5"/>
      <c r="CB885" s="40"/>
      <c r="CC885" s="5"/>
      <c r="CE885" s="40"/>
      <c r="CF885" s="5"/>
      <c r="CH885" s="40"/>
      <c r="CI885" s="5"/>
      <c r="CK885" s="40"/>
      <c r="CL885" s="5"/>
      <c r="CN885" s="40"/>
      <c r="CO885" s="5"/>
      <c r="CQ885" s="40"/>
      <c r="CR885" s="5"/>
    </row>
    <row r="886">
      <c r="AO886" s="40"/>
      <c r="AP886" s="5"/>
      <c r="AR886" s="40"/>
      <c r="AS886" s="5"/>
      <c r="AU886" s="40"/>
      <c r="AV886" s="5"/>
      <c r="AX886" s="40"/>
      <c r="AY886" s="5"/>
      <c r="BA886" s="40"/>
      <c r="BB886" s="5"/>
      <c r="BD886" s="40"/>
      <c r="BE886" s="5"/>
      <c r="BG886" s="40"/>
      <c r="BH886" s="5"/>
      <c r="BJ886" s="40"/>
      <c r="BK886" s="5"/>
      <c r="BM886" s="40"/>
      <c r="BN886" s="5"/>
      <c r="BP886" s="40"/>
      <c r="BQ886" s="5"/>
      <c r="BS886" s="40"/>
      <c r="BT886" s="5"/>
      <c r="BV886" s="40"/>
      <c r="BW886" s="5"/>
      <c r="BY886" s="40"/>
      <c r="BZ886" s="5"/>
      <c r="CB886" s="40"/>
      <c r="CC886" s="5"/>
      <c r="CE886" s="40"/>
      <c r="CF886" s="5"/>
      <c r="CH886" s="40"/>
      <c r="CI886" s="5"/>
      <c r="CK886" s="40"/>
      <c r="CL886" s="5"/>
      <c r="CN886" s="40"/>
      <c r="CO886" s="5"/>
      <c r="CQ886" s="40"/>
      <c r="CR886" s="5"/>
    </row>
    <row r="887">
      <c r="AO887" s="40"/>
      <c r="AP887" s="5"/>
      <c r="AR887" s="40"/>
      <c r="AS887" s="5"/>
      <c r="AU887" s="40"/>
      <c r="AV887" s="5"/>
      <c r="AX887" s="40"/>
      <c r="AY887" s="5"/>
      <c r="BA887" s="40"/>
      <c r="BB887" s="5"/>
      <c r="BD887" s="40"/>
      <c r="BE887" s="5"/>
      <c r="BG887" s="40"/>
      <c r="BH887" s="5"/>
      <c r="BJ887" s="40"/>
      <c r="BK887" s="5"/>
      <c r="BM887" s="40"/>
      <c r="BN887" s="5"/>
      <c r="BP887" s="40"/>
      <c r="BQ887" s="5"/>
      <c r="BS887" s="40"/>
      <c r="BT887" s="5"/>
      <c r="BV887" s="40"/>
      <c r="BW887" s="5"/>
      <c r="BY887" s="40"/>
      <c r="BZ887" s="5"/>
      <c r="CB887" s="40"/>
      <c r="CC887" s="5"/>
      <c r="CE887" s="40"/>
      <c r="CF887" s="5"/>
      <c r="CH887" s="40"/>
      <c r="CI887" s="5"/>
      <c r="CK887" s="40"/>
      <c r="CL887" s="5"/>
      <c r="CN887" s="40"/>
      <c r="CO887" s="5"/>
      <c r="CQ887" s="40"/>
      <c r="CR887" s="5"/>
    </row>
    <row r="888">
      <c r="AO888" s="40"/>
      <c r="AP888" s="5"/>
      <c r="AR888" s="40"/>
      <c r="AS888" s="5"/>
      <c r="AU888" s="40"/>
      <c r="AV888" s="5"/>
      <c r="AX888" s="40"/>
      <c r="AY888" s="5"/>
      <c r="BA888" s="40"/>
      <c r="BB888" s="5"/>
      <c r="BD888" s="40"/>
      <c r="BE888" s="5"/>
      <c r="BG888" s="40"/>
      <c r="BH888" s="5"/>
      <c r="BJ888" s="40"/>
      <c r="BK888" s="5"/>
      <c r="BM888" s="40"/>
      <c r="BN888" s="5"/>
      <c r="BP888" s="40"/>
      <c r="BQ888" s="5"/>
      <c r="BS888" s="40"/>
      <c r="BT888" s="5"/>
      <c r="BV888" s="40"/>
      <c r="BW888" s="5"/>
      <c r="BY888" s="40"/>
      <c r="BZ888" s="5"/>
      <c r="CB888" s="40"/>
      <c r="CC888" s="5"/>
      <c r="CE888" s="40"/>
      <c r="CF888" s="5"/>
      <c r="CH888" s="40"/>
      <c r="CI888" s="5"/>
      <c r="CK888" s="40"/>
      <c r="CL888" s="5"/>
      <c r="CN888" s="40"/>
      <c r="CO888" s="5"/>
      <c r="CQ888" s="40"/>
      <c r="CR888" s="5"/>
    </row>
    <row r="889">
      <c r="AO889" s="40"/>
      <c r="AP889" s="5"/>
      <c r="AR889" s="40"/>
      <c r="AS889" s="5"/>
      <c r="AU889" s="40"/>
      <c r="AV889" s="5"/>
      <c r="AX889" s="40"/>
      <c r="AY889" s="5"/>
      <c r="BA889" s="40"/>
      <c r="BB889" s="5"/>
      <c r="BD889" s="40"/>
      <c r="BE889" s="5"/>
      <c r="BG889" s="40"/>
      <c r="BH889" s="5"/>
      <c r="BJ889" s="40"/>
      <c r="BK889" s="5"/>
      <c r="BM889" s="40"/>
      <c r="BN889" s="5"/>
      <c r="BP889" s="40"/>
      <c r="BQ889" s="5"/>
      <c r="BS889" s="40"/>
      <c r="BT889" s="5"/>
      <c r="BV889" s="40"/>
      <c r="BW889" s="5"/>
      <c r="BY889" s="40"/>
      <c r="BZ889" s="5"/>
      <c r="CB889" s="40"/>
      <c r="CC889" s="5"/>
      <c r="CE889" s="40"/>
      <c r="CF889" s="5"/>
      <c r="CH889" s="40"/>
      <c r="CI889" s="5"/>
      <c r="CK889" s="40"/>
      <c r="CL889" s="5"/>
      <c r="CN889" s="40"/>
      <c r="CO889" s="5"/>
      <c r="CQ889" s="40"/>
      <c r="CR889" s="5"/>
    </row>
    <row r="890">
      <c r="AO890" s="40"/>
      <c r="AP890" s="5"/>
      <c r="AR890" s="40"/>
      <c r="AS890" s="5"/>
      <c r="AU890" s="40"/>
      <c r="AV890" s="5"/>
      <c r="AX890" s="40"/>
      <c r="AY890" s="5"/>
      <c r="BA890" s="40"/>
      <c r="BB890" s="5"/>
      <c r="BD890" s="40"/>
      <c r="BE890" s="5"/>
      <c r="BG890" s="40"/>
      <c r="BH890" s="5"/>
      <c r="BJ890" s="40"/>
      <c r="BK890" s="5"/>
      <c r="BM890" s="40"/>
      <c r="BN890" s="5"/>
      <c r="BP890" s="40"/>
      <c r="BQ890" s="5"/>
      <c r="BS890" s="40"/>
      <c r="BT890" s="5"/>
      <c r="BV890" s="40"/>
      <c r="BW890" s="5"/>
      <c r="BY890" s="40"/>
      <c r="BZ890" s="5"/>
      <c r="CB890" s="40"/>
      <c r="CC890" s="5"/>
      <c r="CE890" s="40"/>
      <c r="CF890" s="5"/>
      <c r="CH890" s="40"/>
      <c r="CI890" s="5"/>
      <c r="CK890" s="40"/>
      <c r="CL890" s="5"/>
      <c r="CN890" s="40"/>
      <c r="CO890" s="5"/>
      <c r="CQ890" s="40"/>
      <c r="CR890" s="5"/>
    </row>
    <row r="891">
      <c r="AO891" s="40"/>
      <c r="AP891" s="5"/>
      <c r="AR891" s="40"/>
      <c r="AS891" s="5"/>
      <c r="AU891" s="40"/>
      <c r="AV891" s="5"/>
      <c r="AX891" s="40"/>
      <c r="AY891" s="5"/>
      <c r="BA891" s="40"/>
      <c r="BB891" s="5"/>
      <c r="BD891" s="40"/>
      <c r="BE891" s="5"/>
      <c r="BG891" s="40"/>
      <c r="BH891" s="5"/>
      <c r="BJ891" s="40"/>
      <c r="BK891" s="5"/>
      <c r="BM891" s="40"/>
      <c r="BN891" s="5"/>
      <c r="BP891" s="40"/>
      <c r="BQ891" s="5"/>
      <c r="BS891" s="40"/>
      <c r="BT891" s="5"/>
      <c r="BV891" s="40"/>
      <c r="BW891" s="5"/>
      <c r="BY891" s="40"/>
      <c r="BZ891" s="5"/>
      <c r="CB891" s="40"/>
      <c r="CC891" s="5"/>
      <c r="CE891" s="40"/>
      <c r="CF891" s="5"/>
      <c r="CH891" s="40"/>
      <c r="CI891" s="5"/>
      <c r="CK891" s="40"/>
      <c r="CL891" s="5"/>
      <c r="CN891" s="40"/>
      <c r="CO891" s="5"/>
      <c r="CQ891" s="40"/>
      <c r="CR891" s="5"/>
    </row>
    <row r="892">
      <c r="AO892" s="40"/>
      <c r="AP892" s="5"/>
      <c r="AR892" s="40"/>
      <c r="AS892" s="5"/>
      <c r="AU892" s="40"/>
      <c r="AV892" s="5"/>
      <c r="AX892" s="40"/>
      <c r="AY892" s="5"/>
      <c r="BA892" s="40"/>
      <c r="BB892" s="5"/>
      <c r="BD892" s="40"/>
      <c r="BE892" s="5"/>
      <c r="BG892" s="40"/>
      <c r="BH892" s="5"/>
      <c r="BJ892" s="40"/>
      <c r="BK892" s="5"/>
      <c r="BM892" s="40"/>
      <c r="BN892" s="5"/>
      <c r="BP892" s="40"/>
      <c r="BQ892" s="5"/>
      <c r="BS892" s="40"/>
      <c r="BT892" s="5"/>
      <c r="BV892" s="40"/>
      <c r="BW892" s="5"/>
      <c r="BY892" s="40"/>
      <c r="BZ892" s="5"/>
      <c r="CB892" s="40"/>
      <c r="CC892" s="5"/>
      <c r="CE892" s="40"/>
      <c r="CF892" s="5"/>
      <c r="CH892" s="40"/>
      <c r="CI892" s="5"/>
      <c r="CK892" s="40"/>
      <c r="CL892" s="5"/>
      <c r="CN892" s="40"/>
      <c r="CO892" s="5"/>
      <c r="CQ892" s="40"/>
      <c r="CR892" s="5"/>
    </row>
    <row r="893">
      <c r="AO893" s="40"/>
      <c r="AP893" s="5"/>
      <c r="AR893" s="40"/>
      <c r="AS893" s="5"/>
      <c r="AU893" s="40"/>
      <c r="AV893" s="5"/>
      <c r="AX893" s="40"/>
      <c r="AY893" s="5"/>
      <c r="BA893" s="40"/>
      <c r="BB893" s="5"/>
      <c r="BD893" s="40"/>
      <c r="BE893" s="5"/>
      <c r="BG893" s="40"/>
      <c r="BH893" s="5"/>
      <c r="BJ893" s="40"/>
      <c r="BK893" s="5"/>
      <c r="BM893" s="40"/>
      <c r="BN893" s="5"/>
      <c r="BP893" s="40"/>
      <c r="BQ893" s="5"/>
      <c r="BS893" s="40"/>
      <c r="BT893" s="5"/>
      <c r="BV893" s="40"/>
      <c r="BW893" s="5"/>
      <c r="BY893" s="40"/>
      <c r="BZ893" s="5"/>
      <c r="CB893" s="40"/>
      <c r="CC893" s="5"/>
      <c r="CE893" s="40"/>
      <c r="CF893" s="5"/>
      <c r="CH893" s="40"/>
      <c r="CI893" s="5"/>
      <c r="CK893" s="40"/>
      <c r="CL893" s="5"/>
      <c r="CN893" s="40"/>
      <c r="CO893" s="5"/>
      <c r="CQ893" s="40"/>
      <c r="CR893" s="5"/>
    </row>
    <row r="894">
      <c r="AO894" s="40"/>
      <c r="AP894" s="5"/>
      <c r="AR894" s="40"/>
      <c r="AS894" s="5"/>
      <c r="AU894" s="40"/>
      <c r="AV894" s="5"/>
      <c r="AX894" s="40"/>
      <c r="AY894" s="5"/>
      <c r="BA894" s="40"/>
      <c r="BB894" s="5"/>
      <c r="BD894" s="40"/>
      <c r="BE894" s="5"/>
      <c r="BG894" s="40"/>
      <c r="BH894" s="5"/>
      <c r="BJ894" s="40"/>
      <c r="BK894" s="5"/>
      <c r="BM894" s="40"/>
      <c r="BN894" s="5"/>
      <c r="BP894" s="40"/>
      <c r="BQ894" s="5"/>
      <c r="BS894" s="40"/>
      <c r="BT894" s="5"/>
      <c r="BV894" s="40"/>
      <c r="BW894" s="5"/>
      <c r="BY894" s="40"/>
      <c r="BZ894" s="5"/>
      <c r="CB894" s="40"/>
      <c r="CC894" s="5"/>
      <c r="CE894" s="40"/>
      <c r="CF894" s="5"/>
      <c r="CH894" s="40"/>
      <c r="CI894" s="5"/>
      <c r="CK894" s="40"/>
      <c r="CL894" s="5"/>
      <c r="CN894" s="40"/>
      <c r="CO894" s="5"/>
      <c r="CQ894" s="40"/>
      <c r="CR894" s="5"/>
    </row>
    <row r="895">
      <c r="AO895" s="40"/>
      <c r="AP895" s="5"/>
      <c r="AR895" s="40"/>
      <c r="AS895" s="5"/>
      <c r="AU895" s="40"/>
      <c r="AV895" s="5"/>
      <c r="AX895" s="40"/>
      <c r="AY895" s="5"/>
      <c r="BA895" s="40"/>
      <c r="BB895" s="5"/>
      <c r="BD895" s="40"/>
      <c r="BE895" s="5"/>
      <c r="BG895" s="40"/>
      <c r="BH895" s="5"/>
      <c r="BJ895" s="40"/>
      <c r="BK895" s="5"/>
      <c r="BM895" s="40"/>
      <c r="BN895" s="5"/>
      <c r="BP895" s="40"/>
      <c r="BQ895" s="5"/>
      <c r="BS895" s="40"/>
      <c r="BT895" s="5"/>
      <c r="BV895" s="40"/>
      <c r="BW895" s="5"/>
      <c r="BY895" s="40"/>
      <c r="BZ895" s="5"/>
      <c r="CB895" s="40"/>
      <c r="CC895" s="5"/>
      <c r="CE895" s="40"/>
      <c r="CF895" s="5"/>
      <c r="CH895" s="40"/>
      <c r="CI895" s="5"/>
      <c r="CK895" s="40"/>
      <c r="CL895" s="5"/>
      <c r="CN895" s="40"/>
      <c r="CO895" s="5"/>
      <c r="CQ895" s="40"/>
      <c r="CR895" s="5"/>
    </row>
    <row r="896">
      <c r="AO896" s="40"/>
      <c r="AP896" s="5"/>
      <c r="AR896" s="40"/>
      <c r="AS896" s="5"/>
      <c r="AU896" s="40"/>
      <c r="AV896" s="5"/>
      <c r="AX896" s="40"/>
      <c r="AY896" s="5"/>
      <c r="BA896" s="40"/>
      <c r="BB896" s="5"/>
      <c r="BD896" s="40"/>
      <c r="BE896" s="5"/>
      <c r="BG896" s="40"/>
      <c r="BH896" s="5"/>
      <c r="BJ896" s="40"/>
      <c r="BK896" s="5"/>
      <c r="BM896" s="40"/>
      <c r="BN896" s="5"/>
      <c r="BP896" s="40"/>
      <c r="BQ896" s="5"/>
      <c r="BS896" s="40"/>
      <c r="BT896" s="5"/>
      <c r="BV896" s="40"/>
      <c r="BW896" s="5"/>
      <c r="BY896" s="40"/>
      <c r="BZ896" s="5"/>
      <c r="CB896" s="40"/>
      <c r="CC896" s="5"/>
      <c r="CE896" s="40"/>
      <c r="CF896" s="5"/>
      <c r="CH896" s="40"/>
      <c r="CI896" s="5"/>
      <c r="CK896" s="40"/>
      <c r="CL896" s="5"/>
      <c r="CN896" s="40"/>
      <c r="CO896" s="5"/>
      <c r="CQ896" s="40"/>
      <c r="CR896" s="5"/>
    </row>
    <row r="897">
      <c r="AO897" s="40"/>
      <c r="AP897" s="5"/>
      <c r="AR897" s="40"/>
      <c r="AS897" s="5"/>
      <c r="AU897" s="40"/>
      <c r="AV897" s="5"/>
      <c r="AX897" s="40"/>
      <c r="AY897" s="5"/>
      <c r="BA897" s="40"/>
      <c r="BB897" s="5"/>
      <c r="BD897" s="40"/>
      <c r="BE897" s="5"/>
      <c r="BG897" s="40"/>
      <c r="BH897" s="5"/>
      <c r="BJ897" s="40"/>
      <c r="BK897" s="5"/>
      <c r="BM897" s="40"/>
      <c r="BN897" s="5"/>
      <c r="BP897" s="40"/>
      <c r="BQ897" s="5"/>
      <c r="BS897" s="40"/>
      <c r="BT897" s="5"/>
      <c r="BV897" s="40"/>
      <c r="BW897" s="5"/>
      <c r="BY897" s="40"/>
      <c r="BZ897" s="5"/>
      <c r="CB897" s="40"/>
      <c r="CC897" s="5"/>
      <c r="CE897" s="40"/>
      <c r="CF897" s="5"/>
      <c r="CH897" s="40"/>
      <c r="CI897" s="5"/>
      <c r="CK897" s="40"/>
      <c r="CL897" s="5"/>
      <c r="CN897" s="40"/>
      <c r="CO897" s="5"/>
      <c r="CQ897" s="40"/>
      <c r="CR897" s="5"/>
    </row>
    <row r="898">
      <c r="AO898" s="40"/>
      <c r="AP898" s="5"/>
      <c r="AR898" s="40"/>
      <c r="AS898" s="5"/>
      <c r="AU898" s="40"/>
      <c r="AV898" s="5"/>
      <c r="AX898" s="40"/>
      <c r="AY898" s="5"/>
      <c r="BA898" s="40"/>
      <c r="BB898" s="5"/>
      <c r="BD898" s="40"/>
      <c r="BE898" s="5"/>
      <c r="BG898" s="40"/>
      <c r="BH898" s="5"/>
      <c r="BJ898" s="40"/>
      <c r="BK898" s="5"/>
      <c r="BM898" s="40"/>
      <c r="BN898" s="5"/>
      <c r="BP898" s="40"/>
      <c r="BQ898" s="5"/>
      <c r="BS898" s="40"/>
      <c r="BT898" s="5"/>
      <c r="BV898" s="40"/>
      <c r="BW898" s="5"/>
      <c r="BY898" s="40"/>
      <c r="BZ898" s="5"/>
      <c r="CB898" s="40"/>
      <c r="CC898" s="5"/>
      <c r="CE898" s="40"/>
      <c r="CF898" s="5"/>
      <c r="CH898" s="40"/>
      <c r="CI898" s="5"/>
      <c r="CK898" s="40"/>
      <c r="CL898" s="5"/>
      <c r="CN898" s="40"/>
      <c r="CO898" s="5"/>
      <c r="CQ898" s="40"/>
      <c r="CR898" s="5"/>
    </row>
    <row r="899">
      <c r="AO899" s="40"/>
      <c r="AP899" s="5"/>
      <c r="AR899" s="40"/>
      <c r="AS899" s="5"/>
      <c r="AU899" s="40"/>
      <c r="AV899" s="5"/>
      <c r="AX899" s="40"/>
      <c r="AY899" s="5"/>
      <c r="BA899" s="40"/>
      <c r="BB899" s="5"/>
      <c r="BD899" s="40"/>
      <c r="BE899" s="5"/>
      <c r="BG899" s="40"/>
      <c r="BH899" s="5"/>
      <c r="BJ899" s="40"/>
      <c r="BK899" s="5"/>
      <c r="BM899" s="40"/>
      <c r="BN899" s="5"/>
      <c r="BP899" s="40"/>
      <c r="BQ899" s="5"/>
      <c r="BS899" s="40"/>
      <c r="BT899" s="5"/>
      <c r="BV899" s="40"/>
      <c r="BW899" s="5"/>
      <c r="BY899" s="40"/>
      <c r="BZ899" s="5"/>
      <c r="CB899" s="40"/>
      <c r="CC899" s="5"/>
      <c r="CE899" s="40"/>
      <c r="CF899" s="5"/>
      <c r="CH899" s="40"/>
      <c r="CI899" s="5"/>
      <c r="CK899" s="40"/>
      <c r="CL899" s="5"/>
      <c r="CN899" s="40"/>
      <c r="CO899" s="5"/>
      <c r="CQ899" s="40"/>
      <c r="CR899" s="5"/>
    </row>
    <row r="900">
      <c r="AO900" s="40"/>
      <c r="AP900" s="5"/>
      <c r="AR900" s="40"/>
      <c r="AS900" s="5"/>
      <c r="AU900" s="40"/>
      <c r="AV900" s="5"/>
      <c r="AX900" s="40"/>
      <c r="AY900" s="5"/>
      <c r="BA900" s="40"/>
      <c r="BB900" s="5"/>
      <c r="BD900" s="40"/>
      <c r="BE900" s="5"/>
      <c r="BG900" s="40"/>
      <c r="BH900" s="5"/>
      <c r="BJ900" s="40"/>
      <c r="BK900" s="5"/>
      <c r="BM900" s="40"/>
      <c r="BN900" s="5"/>
      <c r="BP900" s="40"/>
      <c r="BQ900" s="5"/>
      <c r="BS900" s="40"/>
      <c r="BT900" s="5"/>
      <c r="BV900" s="40"/>
      <c r="BW900" s="5"/>
      <c r="BY900" s="40"/>
      <c r="BZ900" s="5"/>
      <c r="CB900" s="40"/>
      <c r="CC900" s="5"/>
      <c r="CE900" s="40"/>
      <c r="CF900" s="5"/>
      <c r="CH900" s="40"/>
      <c r="CI900" s="5"/>
      <c r="CK900" s="40"/>
      <c r="CL900" s="5"/>
      <c r="CN900" s="40"/>
      <c r="CO900" s="5"/>
      <c r="CQ900" s="40"/>
      <c r="CR900" s="5"/>
    </row>
    <row r="901">
      <c r="AO901" s="40"/>
      <c r="AP901" s="5"/>
      <c r="AR901" s="40"/>
      <c r="AS901" s="5"/>
      <c r="AU901" s="40"/>
      <c r="AV901" s="5"/>
      <c r="AX901" s="40"/>
      <c r="AY901" s="5"/>
      <c r="BA901" s="40"/>
      <c r="BB901" s="5"/>
      <c r="BD901" s="40"/>
      <c r="BE901" s="5"/>
      <c r="BG901" s="40"/>
      <c r="BH901" s="5"/>
      <c r="BJ901" s="40"/>
      <c r="BK901" s="5"/>
      <c r="BM901" s="40"/>
      <c r="BN901" s="5"/>
      <c r="BP901" s="40"/>
      <c r="BQ901" s="5"/>
      <c r="BS901" s="40"/>
      <c r="BT901" s="5"/>
      <c r="BV901" s="40"/>
      <c r="BW901" s="5"/>
      <c r="BY901" s="40"/>
      <c r="BZ901" s="5"/>
      <c r="CB901" s="40"/>
      <c r="CC901" s="5"/>
      <c r="CE901" s="40"/>
      <c r="CF901" s="5"/>
      <c r="CH901" s="40"/>
      <c r="CI901" s="5"/>
      <c r="CK901" s="40"/>
      <c r="CL901" s="5"/>
      <c r="CN901" s="40"/>
      <c r="CO901" s="5"/>
      <c r="CQ901" s="40"/>
      <c r="CR901" s="5"/>
    </row>
    <row r="902">
      <c r="AO902" s="40"/>
      <c r="AP902" s="5"/>
      <c r="AR902" s="40"/>
      <c r="AS902" s="5"/>
      <c r="AU902" s="40"/>
      <c r="AV902" s="5"/>
      <c r="AX902" s="40"/>
      <c r="AY902" s="5"/>
      <c r="BA902" s="40"/>
      <c r="BB902" s="5"/>
      <c r="BD902" s="40"/>
      <c r="BE902" s="5"/>
      <c r="BG902" s="40"/>
      <c r="BH902" s="5"/>
      <c r="BJ902" s="40"/>
      <c r="BK902" s="5"/>
      <c r="BM902" s="40"/>
      <c r="BN902" s="5"/>
      <c r="BP902" s="40"/>
      <c r="BQ902" s="5"/>
      <c r="BS902" s="40"/>
      <c r="BT902" s="5"/>
      <c r="BV902" s="40"/>
      <c r="BW902" s="5"/>
      <c r="BY902" s="40"/>
      <c r="BZ902" s="5"/>
      <c r="CB902" s="40"/>
      <c r="CC902" s="5"/>
      <c r="CE902" s="40"/>
      <c r="CF902" s="5"/>
      <c r="CH902" s="40"/>
      <c r="CI902" s="5"/>
      <c r="CK902" s="40"/>
      <c r="CL902" s="5"/>
      <c r="CN902" s="40"/>
      <c r="CO902" s="5"/>
      <c r="CQ902" s="40"/>
      <c r="CR902" s="5"/>
    </row>
    <row r="903">
      <c r="AO903" s="40"/>
      <c r="AP903" s="5"/>
      <c r="AR903" s="40"/>
      <c r="AS903" s="5"/>
      <c r="AU903" s="40"/>
      <c r="AV903" s="5"/>
      <c r="AX903" s="40"/>
      <c r="AY903" s="5"/>
      <c r="BA903" s="40"/>
      <c r="BB903" s="5"/>
      <c r="BD903" s="40"/>
      <c r="BE903" s="5"/>
      <c r="BG903" s="40"/>
      <c r="BH903" s="5"/>
      <c r="BJ903" s="40"/>
      <c r="BK903" s="5"/>
      <c r="BM903" s="40"/>
      <c r="BN903" s="5"/>
      <c r="BP903" s="40"/>
      <c r="BQ903" s="5"/>
      <c r="BS903" s="40"/>
      <c r="BT903" s="5"/>
      <c r="BV903" s="40"/>
      <c r="BW903" s="5"/>
      <c r="BY903" s="40"/>
      <c r="BZ903" s="5"/>
      <c r="CB903" s="40"/>
      <c r="CC903" s="5"/>
      <c r="CE903" s="40"/>
      <c r="CF903" s="5"/>
      <c r="CH903" s="40"/>
      <c r="CI903" s="5"/>
      <c r="CK903" s="40"/>
      <c r="CL903" s="5"/>
      <c r="CN903" s="40"/>
      <c r="CO903" s="5"/>
      <c r="CQ903" s="40"/>
      <c r="CR903" s="5"/>
    </row>
    <row r="904">
      <c r="AO904" s="40"/>
      <c r="AP904" s="5"/>
      <c r="AR904" s="40"/>
      <c r="AS904" s="5"/>
      <c r="AU904" s="40"/>
      <c r="AV904" s="5"/>
      <c r="AX904" s="40"/>
      <c r="AY904" s="5"/>
      <c r="BA904" s="40"/>
      <c r="BB904" s="5"/>
      <c r="BD904" s="40"/>
      <c r="BE904" s="5"/>
      <c r="BG904" s="40"/>
      <c r="BH904" s="5"/>
      <c r="BJ904" s="40"/>
      <c r="BK904" s="5"/>
      <c r="BM904" s="40"/>
      <c r="BN904" s="5"/>
      <c r="BP904" s="40"/>
      <c r="BQ904" s="5"/>
      <c r="BS904" s="40"/>
      <c r="BT904" s="5"/>
      <c r="BV904" s="40"/>
      <c r="BW904" s="5"/>
      <c r="BY904" s="40"/>
      <c r="BZ904" s="5"/>
      <c r="CB904" s="40"/>
      <c r="CC904" s="5"/>
      <c r="CE904" s="40"/>
      <c r="CF904" s="5"/>
      <c r="CH904" s="40"/>
      <c r="CI904" s="5"/>
      <c r="CK904" s="40"/>
      <c r="CL904" s="5"/>
      <c r="CN904" s="40"/>
      <c r="CO904" s="5"/>
      <c r="CQ904" s="40"/>
      <c r="CR904" s="5"/>
    </row>
    <row r="905">
      <c r="AO905" s="40"/>
      <c r="AP905" s="5"/>
      <c r="AR905" s="40"/>
      <c r="AS905" s="5"/>
      <c r="AU905" s="40"/>
      <c r="AV905" s="5"/>
      <c r="AX905" s="40"/>
      <c r="AY905" s="5"/>
      <c r="BA905" s="40"/>
      <c r="BB905" s="5"/>
      <c r="BD905" s="40"/>
      <c r="BE905" s="5"/>
      <c r="BG905" s="40"/>
      <c r="BH905" s="5"/>
      <c r="BJ905" s="40"/>
      <c r="BK905" s="5"/>
      <c r="BM905" s="40"/>
      <c r="BN905" s="5"/>
      <c r="BP905" s="40"/>
      <c r="BQ905" s="5"/>
      <c r="BS905" s="40"/>
      <c r="BT905" s="5"/>
      <c r="BV905" s="40"/>
      <c r="BW905" s="5"/>
      <c r="BY905" s="40"/>
      <c r="BZ905" s="5"/>
      <c r="CB905" s="40"/>
      <c r="CC905" s="5"/>
      <c r="CE905" s="40"/>
      <c r="CF905" s="5"/>
      <c r="CH905" s="40"/>
      <c r="CI905" s="5"/>
      <c r="CK905" s="40"/>
      <c r="CL905" s="5"/>
      <c r="CN905" s="40"/>
      <c r="CO905" s="5"/>
      <c r="CQ905" s="40"/>
      <c r="CR905" s="5"/>
    </row>
    <row r="906">
      <c r="AO906" s="40"/>
      <c r="AP906" s="5"/>
      <c r="AR906" s="40"/>
      <c r="AS906" s="5"/>
      <c r="AU906" s="40"/>
      <c r="AV906" s="5"/>
      <c r="AX906" s="40"/>
      <c r="AY906" s="5"/>
      <c r="BA906" s="40"/>
      <c r="BB906" s="5"/>
      <c r="BD906" s="40"/>
      <c r="BE906" s="5"/>
      <c r="BG906" s="40"/>
      <c r="BH906" s="5"/>
      <c r="BJ906" s="40"/>
      <c r="BK906" s="5"/>
      <c r="BM906" s="40"/>
      <c r="BN906" s="5"/>
      <c r="BP906" s="40"/>
      <c r="BQ906" s="5"/>
      <c r="BS906" s="40"/>
      <c r="BT906" s="5"/>
      <c r="BV906" s="40"/>
      <c r="BW906" s="5"/>
      <c r="BY906" s="40"/>
      <c r="BZ906" s="5"/>
      <c r="CB906" s="40"/>
      <c r="CC906" s="5"/>
      <c r="CE906" s="40"/>
      <c r="CF906" s="5"/>
      <c r="CH906" s="40"/>
      <c r="CI906" s="5"/>
      <c r="CK906" s="40"/>
      <c r="CL906" s="5"/>
      <c r="CN906" s="40"/>
      <c r="CO906" s="5"/>
      <c r="CQ906" s="40"/>
      <c r="CR906" s="5"/>
    </row>
    <row r="907">
      <c r="AO907" s="40"/>
      <c r="AP907" s="5"/>
      <c r="AR907" s="40"/>
      <c r="AS907" s="5"/>
      <c r="AU907" s="40"/>
      <c r="AV907" s="5"/>
      <c r="AX907" s="40"/>
      <c r="AY907" s="5"/>
      <c r="BA907" s="40"/>
      <c r="BB907" s="5"/>
      <c r="BD907" s="40"/>
      <c r="BE907" s="5"/>
      <c r="BG907" s="40"/>
      <c r="BH907" s="5"/>
      <c r="BJ907" s="40"/>
      <c r="BK907" s="5"/>
      <c r="BM907" s="40"/>
      <c r="BN907" s="5"/>
      <c r="BP907" s="40"/>
      <c r="BQ907" s="5"/>
      <c r="BS907" s="40"/>
      <c r="BT907" s="5"/>
      <c r="BV907" s="40"/>
      <c r="BW907" s="5"/>
      <c r="BY907" s="40"/>
      <c r="BZ907" s="5"/>
      <c r="CB907" s="40"/>
      <c r="CC907" s="5"/>
      <c r="CE907" s="40"/>
      <c r="CF907" s="5"/>
      <c r="CH907" s="40"/>
      <c r="CI907" s="5"/>
      <c r="CK907" s="40"/>
      <c r="CL907" s="5"/>
      <c r="CN907" s="40"/>
      <c r="CO907" s="5"/>
      <c r="CQ907" s="40"/>
      <c r="CR907" s="5"/>
    </row>
    <row r="908">
      <c r="AO908" s="40"/>
      <c r="AP908" s="5"/>
      <c r="AR908" s="40"/>
      <c r="AS908" s="5"/>
      <c r="AU908" s="40"/>
      <c r="AV908" s="5"/>
      <c r="AX908" s="40"/>
      <c r="AY908" s="5"/>
      <c r="BA908" s="40"/>
      <c r="BB908" s="5"/>
      <c r="BD908" s="40"/>
      <c r="BE908" s="5"/>
      <c r="BG908" s="40"/>
      <c r="BH908" s="5"/>
      <c r="BJ908" s="40"/>
      <c r="BK908" s="5"/>
      <c r="BM908" s="40"/>
      <c r="BN908" s="5"/>
      <c r="BP908" s="40"/>
      <c r="BQ908" s="5"/>
      <c r="BS908" s="40"/>
      <c r="BT908" s="5"/>
      <c r="BV908" s="40"/>
      <c r="BW908" s="5"/>
      <c r="BY908" s="40"/>
      <c r="BZ908" s="5"/>
      <c r="CB908" s="40"/>
      <c r="CC908" s="5"/>
      <c r="CE908" s="40"/>
      <c r="CF908" s="5"/>
      <c r="CH908" s="40"/>
      <c r="CI908" s="5"/>
      <c r="CK908" s="40"/>
      <c r="CL908" s="5"/>
      <c r="CN908" s="40"/>
      <c r="CO908" s="5"/>
      <c r="CQ908" s="40"/>
      <c r="CR908" s="5"/>
    </row>
    <row r="909">
      <c r="AO909" s="40"/>
      <c r="AP909" s="5"/>
      <c r="AR909" s="40"/>
      <c r="AS909" s="5"/>
      <c r="AU909" s="40"/>
      <c r="AV909" s="5"/>
      <c r="AX909" s="40"/>
      <c r="AY909" s="5"/>
      <c r="BA909" s="40"/>
      <c r="BB909" s="5"/>
      <c r="BD909" s="40"/>
      <c r="BE909" s="5"/>
      <c r="BG909" s="40"/>
      <c r="BH909" s="5"/>
      <c r="BJ909" s="40"/>
      <c r="BK909" s="5"/>
      <c r="BM909" s="40"/>
      <c r="BN909" s="5"/>
      <c r="BP909" s="40"/>
      <c r="BQ909" s="5"/>
      <c r="BS909" s="40"/>
      <c r="BT909" s="5"/>
      <c r="BV909" s="40"/>
      <c r="BW909" s="5"/>
      <c r="BY909" s="40"/>
      <c r="BZ909" s="5"/>
      <c r="CB909" s="40"/>
      <c r="CC909" s="5"/>
      <c r="CE909" s="40"/>
      <c r="CF909" s="5"/>
      <c r="CH909" s="40"/>
      <c r="CI909" s="5"/>
      <c r="CK909" s="40"/>
      <c r="CL909" s="5"/>
      <c r="CN909" s="40"/>
      <c r="CO909" s="5"/>
      <c r="CQ909" s="40"/>
      <c r="CR909" s="5"/>
    </row>
    <row r="910">
      <c r="AO910" s="40"/>
      <c r="AP910" s="5"/>
      <c r="AR910" s="40"/>
      <c r="AS910" s="5"/>
      <c r="AU910" s="40"/>
      <c r="AV910" s="5"/>
      <c r="AX910" s="40"/>
      <c r="AY910" s="5"/>
      <c r="BA910" s="40"/>
      <c r="BB910" s="5"/>
      <c r="BD910" s="40"/>
      <c r="BE910" s="5"/>
      <c r="BG910" s="40"/>
      <c r="BH910" s="5"/>
      <c r="BJ910" s="40"/>
      <c r="BK910" s="5"/>
      <c r="BM910" s="40"/>
      <c r="BN910" s="5"/>
      <c r="BP910" s="40"/>
      <c r="BQ910" s="5"/>
      <c r="BS910" s="40"/>
      <c r="BT910" s="5"/>
      <c r="BV910" s="40"/>
      <c r="BW910" s="5"/>
      <c r="BY910" s="40"/>
      <c r="BZ910" s="5"/>
      <c r="CB910" s="40"/>
      <c r="CC910" s="5"/>
      <c r="CE910" s="40"/>
      <c r="CF910" s="5"/>
      <c r="CH910" s="40"/>
      <c r="CI910" s="5"/>
      <c r="CK910" s="40"/>
      <c r="CL910" s="5"/>
      <c r="CN910" s="40"/>
      <c r="CO910" s="5"/>
      <c r="CQ910" s="40"/>
      <c r="CR910" s="5"/>
    </row>
    <row r="911">
      <c r="AO911" s="40"/>
      <c r="AP911" s="5"/>
      <c r="AR911" s="40"/>
      <c r="AS911" s="5"/>
      <c r="AU911" s="40"/>
      <c r="AV911" s="5"/>
      <c r="AX911" s="40"/>
      <c r="AY911" s="5"/>
      <c r="BA911" s="40"/>
      <c r="BB911" s="5"/>
      <c r="BD911" s="40"/>
      <c r="BE911" s="5"/>
      <c r="BG911" s="40"/>
      <c r="BH911" s="5"/>
      <c r="BJ911" s="40"/>
      <c r="BK911" s="5"/>
      <c r="BM911" s="40"/>
      <c r="BN911" s="5"/>
      <c r="BP911" s="40"/>
      <c r="BQ911" s="5"/>
      <c r="BS911" s="40"/>
      <c r="BT911" s="5"/>
      <c r="BV911" s="40"/>
      <c r="BW911" s="5"/>
      <c r="BY911" s="40"/>
      <c r="BZ911" s="5"/>
      <c r="CB911" s="40"/>
      <c r="CC911" s="5"/>
      <c r="CE911" s="40"/>
      <c r="CF911" s="5"/>
      <c r="CH911" s="40"/>
      <c r="CI911" s="5"/>
      <c r="CK911" s="40"/>
      <c r="CL911" s="5"/>
      <c r="CN911" s="40"/>
      <c r="CO911" s="5"/>
      <c r="CQ911" s="40"/>
      <c r="CR911" s="5"/>
    </row>
    <row r="912">
      <c r="AO912" s="40"/>
      <c r="AP912" s="5"/>
      <c r="AR912" s="40"/>
      <c r="AS912" s="5"/>
      <c r="AU912" s="40"/>
      <c r="AV912" s="5"/>
      <c r="AX912" s="40"/>
      <c r="AY912" s="5"/>
      <c r="BA912" s="40"/>
      <c r="BB912" s="5"/>
      <c r="BD912" s="40"/>
      <c r="BE912" s="5"/>
      <c r="BG912" s="40"/>
      <c r="BH912" s="5"/>
      <c r="BJ912" s="40"/>
      <c r="BK912" s="5"/>
      <c r="BM912" s="40"/>
      <c r="BN912" s="5"/>
      <c r="BP912" s="40"/>
      <c r="BQ912" s="5"/>
      <c r="BS912" s="40"/>
      <c r="BT912" s="5"/>
      <c r="BV912" s="40"/>
      <c r="BW912" s="5"/>
      <c r="BY912" s="40"/>
      <c r="BZ912" s="5"/>
      <c r="CB912" s="40"/>
      <c r="CC912" s="5"/>
      <c r="CE912" s="40"/>
      <c r="CF912" s="5"/>
      <c r="CH912" s="40"/>
      <c r="CI912" s="5"/>
      <c r="CK912" s="40"/>
      <c r="CL912" s="5"/>
      <c r="CN912" s="40"/>
      <c r="CO912" s="5"/>
      <c r="CQ912" s="40"/>
      <c r="CR912" s="5"/>
    </row>
    <row r="913">
      <c r="AO913" s="40"/>
      <c r="AP913" s="5"/>
      <c r="AR913" s="40"/>
      <c r="AS913" s="5"/>
      <c r="AU913" s="40"/>
      <c r="AV913" s="5"/>
      <c r="AX913" s="40"/>
      <c r="AY913" s="5"/>
      <c r="BA913" s="40"/>
      <c r="BB913" s="5"/>
      <c r="BD913" s="40"/>
      <c r="BE913" s="5"/>
      <c r="BG913" s="40"/>
      <c r="BH913" s="5"/>
      <c r="BJ913" s="40"/>
      <c r="BK913" s="5"/>
      <c r="BM913" s="40"/>
      <c r="BN913" s="5"/>
      <c r="BP913" s="40"/>
      <c r="BQ913" s="5"/>
      <c r="BS913" s="40"/>
      <c r="BT913" s="5"/>
      <c r="BV913" s="40"/>
      <c r="BW913" s="5"/>
      <c r="BY913" s="40"/>
      <c r="BZ913" s="5"/>
      <c r="CB913" s="40"/>
      <c r="CC913" s="5"/>
      <c r="CE913" s="40"/>
      <c r="CF913" s="5"/>
      <c r="CH913" s="40"/>
      <c r="CI913" s="5"/>
      <c r="CK913" s="40"/>
      <c r="CL913" s="5"/>
      <c r="CN913" s="40"/>
      <c r="CO913" s="5"/>
      <c r="CQ913" s="40"/>
      <c r="CR913" s="5"/>
    </row>
    <row r="914">
      <c r="AO914" s="40"/>
      <c r="AP914" s="5"/>
      <c r="AR914" s="40"/>
      <c r="AS914" s="5"/>
      <c r="AU914" s="40"/>
      <c r="AV914" s="5"/>
      <c r="AX914" s="40"/>
      <c r="AY914" s="5"/>
      <c r="BA914" s="40"/>
      <c r="BB914" s="5"/>
      <c r="BD914" s="40"/>
      <c r="BE914" s="5"/>
      <c r="BG914" s="40"/>
      <c r="BH914" s="5"/>
      <c r="BJ914" s="40"/>
      <c r="BK914" s="5"/>
      <c r="BM914" s="40"/>
      <c r="BN914" s="5"/>
      <c r="BP914" s="40"/>
      <c r="BQ914" s="5"/>
      <c r="BS914" s="40"/>
      <c r="BT914" s="5"/>
      <c r="BV914" s="40"/>
      <c r="BW914" s="5"/>
      <c r="BY914" s="40"/>
      <c r="BZ914" s="5"/>
      <c r="CB914" s="40"/>
      <c r="CC914" s="5"/>
      <c r="CE914" s="40"/>
      <c r="CF914" s="5"/>
      <c r="CH914" s="40"/>
      <c r="CI914" s="5"/>
      <c r="CK914" s="40"/>
      <c r="CL914" s="5"/>
      <c r="CN914" s="40"/>
      <c r="CO914" s="5"/>
      <c r="CQ914" s="40"/>
      <c r="CR914" s="5"/>
    </row>
    <row r="915">
      <c r="AO915" s="40"/>
      <c r="AP915" s="5"/>
      <c r="AR915" s="40"/>
      <c r="AS915" s="5"/>
      <c r="AU915" s="40"/>
      <c r="AV915" s="5"/>
      <c r="AX915" s="40"/>
      <c r="AY915" s="5"/>
      <c r="BA915" s="40"/>
      <c r="BB915" s="5"/>
      <c r="BD915" s="40"/>
      <c r="BE915" s="5"/>
      <c r="BG915" s="40"/>
      <c r="BH915" s="5"/>
      <c r="BJ915" s="40"/>
      <c r="BK915" s="5"/>
      <c r="BM915" s="40"/>
      <c r="BN915" s="5"/>
      <c r="BP915" s="40"/>
      <c r="BQ915" s="5"/>
      <c r="BS915" s="40"/>
      <c r="BT915" s="5"/>
      <c r="BV915" s="40"/>
      <c r="BW915" s="5"/>
      <c r="BY915" s="40"/>
      <c r="BZ915" s="5"/>
      <c r="CB915" s="40"/>
      <c r="CC915" s="5"/>
      <c r="CE915" s="40"/>
      <c r="CF915" s="5"/>
      <c r="CH915" s="40"/>
      <c r="CI915" s="5"/>
      <c r="CK915" s="40"/>
      <c r="CL915" s="5"/>
      <c r="CN915" s="40"/>
      <c r="CO915" s="5"/>
      <c r="CQ915" s="40"/>
      <c r="CR915" s="5"/>
    </row>
    <row r="916">
      <c r="AO916" s="40"/>
      <c r="AP916" s="5"/>
      <c r="AR916" s="40"/>
      <c r="AS916" s="5"/>
      <c r="AU916" s="40"/>
      <c r="AV916" s="5"/>
      <c r="AX916" s="40"/>
      <c r="AY916" s="5"/>
      <c r="BA916" s="40"/>
      <c r="BB916" s="5"/>
      <c r="BD916" s="40"/>
      <c r="BE916" s="5"/>
      <c r="BG916" s="40"/>
      <c r="BH916" s="5"/>
      <c r="BJ916" s="40"/>
      <c r="BK916" s="5"/>
      <c r="BM916" s="40"/>
      <c r="BN916" s="5"/>
      <c r="BP916" s="40"/>
      <c r="BQ916" s="5"/>
      <c r="BS916" s="40"/>
      <c r="BT916" s="5"/>
      <c r="BV916" s="40"/>
      <c r="BW916" s="5"/>
      <c r="BY916" s="40"/>
      <c r="BZ916" s="5"/>
      <c r="CB916" s="40"/>
      <c r="CC916" s="5"/>
      <c r="CE916" s="40"/>
      <c r="CF916" s="5"/>
      <c r="CH916" s="40"/>
      <c r="CI916" s="5"/>
      <c r="CK916" s="40"/>
      <c r="CL916" s="5"/>
      <c r="CN916" s="40"/>
      <c r="CO916" s="5"/>
      <c r="CQ916" s="40"/>
      <c r="CR916" s="5"/>
    </row>
    <row r="917">
      <c r="AO917" s="40"/>
      <c r="AP917" s="5"/>
      <c r="AR917" s="40"/>
      <c r="AS917" s="5"/>
      <c r="AU917" s="40"/>
      <c r="AV917" s="5"/>
      <c r="AX917" s="40"/>
      <c r="AY917" s="5"/>
      <c r="BA917" s="40"/>
      <c r="BB917" s="5"/>
      <c r="BD917" s="40"/>
      <c r="BE917" s="5"/>
      <c r="BG917" s="40"/>
      <c r="BH917" s="5"/>
      <c r="BJ917" s="40"/>
      <c r="BK917" s="5"/>
      <c r="BM917" s="40"/>
      <c r="BN917" s="5"/>
      <c r="BP917" s="40"/>
      <c r="BQ917" s="5"/>
      <c r="BS917" s="40"/>
      <c r="BT917" s="5"/>
      <c r="BV917" s="40"/>
      <c r="BW917" s="5"/>
      <c r="BY917" s="40"/>
      <c r="BZ917" s="5"/>
      <c r="CB917" s="40"/>
      <c r="CC917" s="5"/>
      <c r="CE917" s="40"/>
      <c r="CF917" s="5"/>
      <c r="CH917" s="40"/>
      <c r="CI917" s="5"/>
      <c r="CK917" s="40"/>
      <c r="CL917" s="5"/>
      <c r="CN917" s="40"/>
      <c r="CO917" s="5"/>
      <c r="CQ917" s="40"/>
      <c r="CR917" s="5"/>
    </row>
    <row r="918">
      <c r="AO918" s="40"/>
      <c r="AP918" s="5"/>
      <c r="AR918" s="40"/>
      <c r="AS918" s="5"/>
      <c r="AU918" s="40"/>
      <c r="AV918" s="5"/>
      <c r="AX918" s="40"/>
      <c r="AY918" s="5"/>
      <c r="BA918" s="40"/>
      <c r="BB918" s="5"/>
      <c r="BD918" s="40"/>
      <c r="BE918" s="5"/>
      <c r="BG918" s="40"/>
      <c r="BH918" s="5"/>
      <c r="BJ918" s="40"/>
      <c r="BK918" s="5"/>
      <c r="BM918" s="40"/>
      <c r="BN918" s="5"/>
      <c r="BP918" s="40"/>
      <c r="BQ918" s="5"/>
      <c r="BS918" s="40"/>
      <c r="BT918" s="5"/>
      <c r="BV918" s="40"/>
      <c r="BW918" s="5"/>
      <c r="BY918" s="40"/>
      <c r="BZ918" s="5"/>
      <c r="CB918" s="40"/>
      <c r="CC918" s="5"/>
      <c r="CE918" s="40"/>
      <c r="CF918" s="5"/>
      <c r="CH918" s="40"/>
      <c r="CI918" s="5"/>
      <c r="CK918" s="40"/>
      <c r="CL918" s="5"/>
      <c r="CN918" s="40"/>
      <c r="CO918" s="5"/>
      <c r="CQ918" s="40"/>
      <c r="CR918" s="5"/>
    </row>
    <row r="919">
      <c r="AO919" s="40"/>
      <c r="AP919" s="5"/>
      <c r="AR919" s="40"/>
      <c r="AS919" s="5"/>
      <c r="AU919" s="40"/>
      <c r="AV919" s="5"/>
      <c r="AX919" s="40"/>
      <c r="AY919" s="5"/>
      <c r="BA919" s="40"/>
      <c r="BB919" s="5"/>
      <c r="BD919" s="40"/>
      <c r="BE919" s="5"/>
      <c r="BG919" s="40"/>
      <c r="BH919" s="5"/>
      <c r="BJ919" s="40"/>
      <c r="BK919" s="5"/>
      <c r="BM919" s="40"/>
      <c r="BN919" s="5"/>
      <c r="BP919" s="40"/>
      <c r="BQ919" s="5"/>
      <c r="BS919" s="40"/>
      <c r="BT919" s="5"/>
      <c r="BV919" s="40"/>
      <c r="BW919" s="5"/>
      <c r="BY919" s="40"/>
      <c r="BZ919" s="5"/>
      <c r="CB919" s="40"/>
      <c r="CC919" s="5"/>
      <c r="CE919" s="40"/>
      <c r="CF919" s="5"/>
      <c r="CH919" s="40"/>
      <c r="CI919" s="5"/>
      <c r="CK919" s="40"/>
      <c r="CL919" s="5"/>
      <c r="CN919" s="40"/>
      <c r="CO919" s="5"/>
      <c r="CQ919" s="40"/>
      <c r="CR919" s="5"/>
    </row>
  </sheetData>
  <mergeCells count="34">
    <mergeCell ref="Z9:AB9"/>
    <mergeCell ref="AC9:AE9"/>
    <mergeCell ref="AF9:AH9"/>
    <mergeCell ref="AI9:AK9"/>
    <mergeCell ref="AL9:AN9"/>
    <mergeCell ref="AO9:AQ9"/>
    <mergeCell ref="AR9:AT9"/>
    <mergeCell ref="AU9:AW9"/>
    <mergeCell ref="AX9:AZ9"/>
    <mergeCell ref="BA9:BC9"/>
    <mergeCell ref="BD9:BF9"/>
    <mergeCell ref="BG9:BI9"/>
    <mergeCell ref="BJ9:BL9"/>
    <mergeCell ref="BM9:BO9"/>
    <mergeCell ref="CK9:CM9"/>
    <mergeCell ref="CN9:CP9"/>
    <mergeCell ref="CQ9:CS9"/>
    <mergeCell ref="BP9:BR9"/>
    <mergeCell ref="BS9:BU9"/>
    <mergeCell ref="BV9:BX9"/>
    <mergeCell ref="BY9:CA9"/>
    <mergeCell ref="CB9:CD9"/>
    <mergeCell ref="CE9:CG9"/>
    <mergeCell ref="CH9:CJ9"/>
    <mergeCell ref="B16:C16"/>
    <mergeCell ref="B17:C17"/>
    <mergeCell ref="A19:B19"/>
    <mergeCell ref="E9:G9"/>
    <mergeCell ref="H9:J9"/>
    <mergeCell ref="K9:M9"/>
    <mergeCell ref="N9:P9"/>
    <mergeCell ref="Q9:S9"/>
    <mergeCell ref="T9:V9"/>
    <mergeCell ref="W9:Y9"/>
  </mergeCells>
  <conditionalFormatting sqref="A1:DD1000">
    <cfRule type="cellIs" dxfId="0" priority="1" operator="equal">
      <formula>"Topic"</formula>
    </cfRule>
  </conditionalFormatting>
  <conditionalFormatting sqref="F13">
    <cfRule type="colorScale" priority="2">
      <colorScale>
        <cfvo type="min"/>
        <cfvo type="max"/>
        <color rgb="FF57BB8A"/>
        <color rgb="FFFFFFFF"/>
      </colorScale>
    </cfRule>
  </conditionalFormatting>
  <dataValidations>
    <dataValidation type="list" allowBlank="1" sqref="G11:G61 J11:J61 M11:M61 P11:P61 S11:S61 V11:V61 Y11:Y61 AB11:AB61 AE11:AE61 AH11:AH61 AK11:AK61 AN11:AN61 AQ11:AQ61 AT11:AT61 AW11:AW61 AZ11:AZ61 BC11:BC61 BF11:BF61 BI11:BI61 BL11:BL61 BO11:BO61 BR11:BR61 BU11:BU61 BX11:BX61 CA11:CA61 CD11:CD61 CG11:CG61 CJ11:CJ61 CM11:CM61 CP11:CP61 CS11:DF61">
      <formula1>$E$3:$E$7</formula1>
    </dataValidation>
    <dataValidation type="list" allowBlank="1" sqref="A26:A40">
      <formula1>$A$20:$A$23</formula1>
    </dataValidation>
  </dataValidations>
  <hyperlinks>
    <hyperlink r:id="rId1" ref="B18"/>
  </hyperlinks>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75</v>
      </c>
      <c r="B1" s="1" t="s">
        <v>76</v>
      </c>
      <c r="C1" s="1" t="s">
        <v>77</v>
      </c>
      <c r="D1" s="1" t="s">
        <v>78</v>
      </c>
      <c r="E1" s="1" t="s">
        <v>79</v>
      </c>
      <c r="F1" s="1" t="s">
        <v>80</v>
      </c>
    </row>
    <row r="2">
      <c r="A2" s="44">
        <v>0.0</v>
      </c>
      <c r="B2" s="44">
        <v>1.623676616E9</v>
      </c>
      <c r="C2" s="40">
        <f>IFERROR(__xludf.DUMMYFUNCTION("INDEX(SPLIT(B2, char(10)), 0, 1)/86400+date(1970,1,1)"),44361.55342592593)</f>
        <v>44361.55343</v>
      </c>
      <c r="D2" s="44" t="s">
        <v>174</v>
      </c>
      <c r="E2" s="44" t="s">
        <v>175</v>
      </c>
      <c r="F2" s="44" t="s">
        <v>862</v>
      </c>
    </row>
    <row r="3">
      <c r="A3" s="44">
        <v>1.0</v>
      </c>
      <c r="B3" s="44">
        <v>1.623676789E9</v>
      </c>
      <c r="C3" s="40">
        <f>IFERROR(__xludf.DUMMYFUNCTION("INDEX(SPLIT(B3, char(10)), 0, 1)/86400+date(1970,1,1)"),44361.55542824074)</f>
        <v>44361.55543</v>
      </c>
      <c r="D3" s="44" t="s">
        <v>103</v>
      </c>
      <c r="E3" s="44" t="s">
        <v>863</v>
      </c>
      <c r="F3" s="44" t="s">
        <v>864</v>
      </c>
    </row>
    <row r="4">
      <c r="A4" s="44">
        <v>2.0</v>
      </c>
      <c r="B4" s="44">
        <v>1.62367697E9</v>
      </c>
      <c r="C4" s="40">
        <f>IFERROR(__xludf.DUMMYFUNCTION("INDEX(SPLIT(B4, char(10)), 0, 1)/86400+date(1970,1,1)"),44361.55752314815)</f>
        <v>44361.55752</v>
      </c>
      <c r="D4" s="44" t="s">
        <v>90</v>
      </c>
      <c r="E4" s="44" t="s">
        <v>865</v>
      </c>
      <c r="F4" s="44" t="s">
        <v>866</v>
      </c>
    </row>
    <row r="5">
      <c r="A5" s="44">
        <v>3.0</v>
      </c>
      <c r="B5" s="44">
        <v>1.623677587E9</v>
      </c>
      <c r="C5" s="40">
        <f>IFERROR(__xludf.DUMMYFUNCTION("INDEX(SPLIT(B5, char(10)), 0, 1)/86400+date(1970,1,1)"),44361.564664351856)</f>
        <v>44361.56466</v>
      </c>
      <c r="D5" s="44" t="s">
        <v>174</v>
      </c>
      <c r="E5" s="44" t="s">
        <v>175</v>
      </c>
      <c r="F5" s="44" t="s">
        <v>867</v>
      </c>
    </row>
    <row r="6">
      <c r="A6" s="44">
        <v>4.0</v>
      </c>
      <c r="B6" s="44">
        <v>1.623678144E9</v>
      </c>
      <c r="C6" s="40">
        <f>IFERROR(__xludf.DUMMYFUNCTION("INDEX(SPLIT(B6, char(10)), 0, 1)/86400+date(1970,1,1)"),44361.571111111116)</f>
        <v>44361.57111</v>
      </c>
      <c r="D6" s="44" t="s">
        <v>93</v>
      </c>
      <c r="E6" s="44" t="s">
        <v>868</v>
      </c>
      <c r="F6" s="44" t="s">
        <v>869</v>
      </c>
    </row>
    <row r="7">
      <c r="A7" s="44">
        <v>4.0</v>
      </c>
      <c r="B7" s="44">
        <v>1.623678171E9</v>
      </c>
      <c r="C7" s="40">
        <f>IFERROR(__xludf.DUMMYFUNCTION("INDEX(SPLIT(B7, char(10)), 0, 1)/86400+date(1970,1,1)"),44361.57142361111)</f>
        <v>44361.57142</v>
      </c>
      <c r="D7" s="44" t="s">
        <v>131</v>
      </c>
      <c r="E7" s="44" t="s">
        <v>870</v>
      </c>
      <c r="F7" s="44" t="s">
        <v>871</v>
      </c>
    </row>
    <row r="8">
      <c r="A8" s="44">
        <v>4.0</v>
      </c>
      <c r="B8" s="44">
        <v>1.623678176E9</v>
      </c>
      <c r="C8" s="40">
        <f>IFERROR(__xludf.DUMMYFUNCTION("INDEX(SPLIT(B8, char(10)), 0, 1)/86400+date(1970,1,1)"),44361.571481481486)</f>
        <v>44361.57148</v>
      </c>
      <c r="D8" s="44" t="s">
        <v>96</v>
      </c>
      <c r="E8" s="44" t="s">
        <v>872</v>
      </c>
      <c r="F8" s="44" t="s">
        <v>873</v>
      </c>
    </row>
    <row r="9">
      <c r="A9" s="44">
        <v>4.0</v>
      </c>
      <c r="B9" s="44">
        <v>1.623678185E9</v>
      </c>
      <c r="C9" s="40">
        <f>IFERROR(__xludf.DUMMYFUNCTION("INDEX(SPLIT(B9, char(10)), 0, 1)/86400+date(1970,1,1)"),44361.57158564815)</f>
        <v>44361.57159</v>
      </c>
      <c r="D9" s="44" t="s">
        <v>103</v>
      </c>
      <c r="E9" s="44" t="s">
        <v>874</v>
      </c>
      <c r="F9" s="44" t="s">
        <v>875</v>
      </c>
    </row>
    <row r="10">
      <c r="A10" s="44">
        <v>4.0</v>
      </c>
      <c r="B10" s="44">
        <v>1.623678219E9</v>
      </c>
      <c r="C10" s="40">
        <f>IFERROR(__xludf.DUMMYFUNCTION("INDEX(SPLIT(B10, char(10)), 0, 1)/86400+date(1970,1,1)"),44361.57197916666)</f>
        <v>44361.57198</v>
      </c>
      <c r="D10" s="44" t="s">
        <v>174</v>
      </c>
      <c r="E10" s="44" t="s">
        <v>876</v>
      </c>
      <c r="F10" s="44" t="s">
        <v>877</v>
      </c>
    </row>
    <row r="11">
      <c r="A11" s="44">
        <v>5.0</v>
      </c>
      <c r="B11" s="44">
        <v>1.623678248E9</v>
      </c>
      <c r="C11" s="40">
        <f>IFERROR(__xludf.DUMMYFUNCTION("INDEX(SPLIT(B11, char(10)), 0, 1)/86400+date(1970,1,1)"),44361.57231481481)</f>
        <v>44361.57231</v>
      </c>
      <c r="D11" s="44" t="s">
        <v>90</v>
      </c>
      <c r="E11" s="44" t="s">
        <v>878</v>
      </c>
      <c r="F11" s="44" t="s">
        <v>879</v>
      </c>
    </row>
    <row r="12">
      <c r="A12" s="44">
        <v>5.0</v>
      </c>
      <c r="B12" s="44">
        <v>1.62367826E9</v>
      </c>
      <c r="C12" s="40">
        <f>IFERROR(__xludf.DUMMYFUNCTION("INDEX(SPLIT(B12, char(10)), 0, 1)/86400+date(1970,1,1)"),44361.5724537037)</f>
        <v>44361.57245</v>
      </c>
      <c r="D12" s="44" t="s">
        <v>81</v>
      </c>
      <c r="E12" s="44" t="s">
        <v>880</v>
      </c>
      <c r="F12" s="44" t="s">
        <v>881</v>
      </c>
    </row>
    <row r="13">
      <c r="A13" s="44">
        <v>6.0</v>
      </c>
      <c r="B13" s="44">
        <v>1.623678442E9</v>
      </c>
      <c r="C13" s="40">
        <f>IFERROR(__xludf.DUMMYFUNCTION("INDEX(SPLIT(B13, char(10)), 0, 1)/86400+date(1970,1,1)"),44361.57456018518)</f>
        <v>44361.57456</v>
      </c>
      <c r="D13" s="44" t="s">
        <v>124</v>
      </c>
      <c r="E13" s="44" t="s">
        <v>882</v>
      </c>
      <c r="F13" s="44" t="s">
        <v>883</v>
      </c>
    </row>
    <row r="14">
      <c r="A14" s="44">
        <v>6.0</v>
      </c>
      <c r="B14" s="44">
        <v>1.623678448E9</v>
      </c>
      <c r="C14" s="40">
        <f>IFERROR(__xludf.DUMMYFUNCTION("INDEX(SPLIT(B14, char(10)), 0, 1)/86400+date(1970,1,1)"),44361.57462962963)</f>
        <v>44361.57463</v>
      </c>
      <c r="D14" s="44" t="s">
        <v>93</v>
      </c>
      <c r="E14" s="44" t="s">
        <v>884</v>
      </c>
      <c r="F14" s="44" t="s">
        <v>885</v>
      </c>
    </row>
    <row r="15">
      <c r="A15" s="44">
        <v>6.0</v>
      </c>
      <c r="B15" s="44">
        <v>1.623678485E9</v>
      </c>
      <c r="C15" s="40">
        <f>IFERROR(__xludf.DUMMYFUNCTION("INDEX(SPLIT(B15, char(10)), 0, 1)/86400+date(1970,1,1)"),44361.575057870374)</f>
        <v>44361.57506</v>
      </c>
      <c r="D15" s="44" t="s">
        <v>81</v>
      </c>
      <c r="E15" s="44" t="s">
        <v>886</v>
      </c>
      <c r="F15" s="44" t="s">
        <v>887</v>
      </c>
    </row>
    <row r="16">
      <c r="A16" s="44">
        <v>7.0</v>
      </c>
      <c r="B16" s="44">
        <v>1.623678552E9</v>
      </c>
      <c r="C16" s="40">
        <f>IFERROR(__xludf.DUMMYFUNCTION("INDEX(SPLIT(B16, char(10)), 0, 1)/86400+date(1970,1,1)"),44361.575833333336)</f>
        <v>44361.57583</v>
      </c>
      <c r="D16" s="44" t="s">
        <v>93</v>
      </c>
      <c r="E16" s="44" t="s">
        <v>888</v>
      </c>
      <c r="F16" s="44" t="s">
        <v>889</v>
      </c>
    </row>
    <row r="17">
      <c r="A17" s="44">
        <v>8.0</v>
      </c>
      <c r="B17" s="44">
        <v>1.623678656E9</v>
      </c>
      <c r="C17" s="40">
        <f>IFERROR(__xludf.DUMMYFUNCTION("INDEX(SPLIT(B17, char(10)), 0, 1)/86400+date(1970,1,1)"),44361.57703703704)</f>
        <v>44361.57704</v>
      </c>
      <c r="D17" s="44" t="s">
        <v>93</v>
      </c>
      <c r="E17" s="44" t="s">
        <v>160</v>
      </c>
      <c r="F17" s="44" t="s">
        <v>890</v>
      </c>
    </row>
    <row r="18">
      <c r="A18" s="44">
        <v>8.0</v>
      </c>
      <c r="B18" s="44">
        <v>1.623678697E9</v>
      </c>
      <c r="C18" s="40">
        <f>IFERROR(__xludf.DUMMYFUNCTION("INDEX(SPLIT(B18, char(10)), 0, 1)/86400+date(1970,1,1)"),44361.57751157407)</f>
        <v>44361.57751</v>
      </c>
      <c r="D18" s="44" t="s">
        <v>124</v>
      </c>
      <c r="E18" s="44" t="s">
        <v>891</v>
      </c>
      <c r="F18" s="44" t="s">
        <v>892</v>
      </c>
    </row>
    <row r="19">
      <c r="A19" s="44">
        <v>9.0</v>
      </c>
      <c r="B19" s="44">
        <v>1.623679368E9</v>
      </c>
      <c r="C19" s="40">
        <f>IFERROR(__xludf.DUMMYFUNCTION("INDEX(SPLIT(B19, char(10)), 0, 1)/86400+date(1970,1,1)"),44361.585277777776)</f>
        <v>44361.58528</v>
      </c>
      <c r="D19" s="44" t="s">
        <v>96</v>
      </c>
      <c r="E19" s="44" t="s">
        <v>893</v>
      </c>
      <c r="F19" s="44" t="s">
        <v>894</v>
      </c>
    </row>
    <row r="20">
      <c r="A20" s="44">
        <v>10.0</v>
      </c>
      <c r="B20" s="44">
        <v>1.623679565E9</v>
      </c>
      <c r="C20" s="40">
        <f>IFERROR(__xludf.DUMMYFUNCTION("INDEX(SPLIT(B20, char(10)), 0, 1)/86400+date(1970,1,1)"),44361.58755787037)</f>
        <v>44361.58756</v>
      </c>
      <c r="D20" s="44" t="s">
        <v>370</v>
      </c>
      <c r="E20" s="44" t="s">
        <v>895</v>
      </c>
      <c r="F20" s="44" t="s">
        <v>896</v>
      </c>
    </row>
    <row r="21">
      <c r="A21" s="44">
        <v>10.0</v>
      </c>
      <c r="B21" s="44">
        <v>1.623679575E9</v>
      </c>
      <c r="C21" s="40">
        <f>IFERROR(__xludf.DUMMYFUNCTION("INDEX(SPLIT(B21, char(10)), 0, 1)/86400+date(1970,1,1)"),44361.58767361111)</f>
        <v>44361.58767</v>
      </c>
      <c r="D21" s="44" t="s">
        <v>93</v>
      </c>
      <c r="E21" s="44" t="s">
        <v>897</v>
      </c>
      <c r="F21" s="44" t="s">
        <v>898</v>
      </c>
    </row>
    <row r="22">
      <c r="A22" s="44">
        <v>11.0</v>
      </c>
      <c r="B22" s="44">
        <v>1.623679682E9</v>
      </c>
      <c r="C22" s="40">
        <f>IFERROR(__xludf.DUMMYFUNCTION("INDEX(SPLIT(B22, char(10)), 0, 1)/86400+date(1970,1,1)"),44361.58891203704)</f>
        <v>44361.58891</v>
      </c>
      <c r="D22" s="44" t="s">
        <v>93</v>
      </c>
      <c r="E22" s="44" t="s">
        <v>175</v>
      </c>
      <c r="F22" s="44" t="s">
        <v>899</v>
      </c>
    </row>
    <row r="23">
      <c r="A23" s="44">
        <v>12.0</v>
      </c>
      <c r="B23" s="44">
        <v>1.623679792E9</v>
      </c>
      <c r="C23" s="40">
        <f>IFERROR(__xludf.DUMMYFUNCTION("INDEX(SPLIT(B23, char(10)), 0, 1)/86400+date(1970,1,1)"),44361.59018518518)</f>
        <v>44361.59019</v>
      </c>
      <c r="D23" s="44" t="s">
        <v>90</v>
      </c>
      <c r="E23" s="44" t="s">
        <v>900</v>
      </c>
      <c r="F23" s="44" t="s">
        <v>901</v>
      </c>
    </row>
    <row r="24">
      <c r="A24" s="44">
        <v>12.0</v>
      </c>
      <c r="B24" s="44">
        <v>1.623679806E9</v>
      </c>
      <c r="C24" s="40">
        <f>IFERROR(__xludf.DUMMYFUNCTION("INDEX(SPLIT(B24, char(10)), 0, 1)/86400+date(1970,1,1)"),44361.59034722223)</f>
        <v>44361.59035</v>
      </c>
      <c r="D24" s="44" t="s">
        <v>131</v>
      </c>
      <c r="E24" s="44" t="s">
        <v>194</v>
      </c>
      <c r="F24" s="44" t="s">
        <v>902</v>
      </c>
    </row>
    <row r="25">
      <c r="A25" s="44">
        <v>12.0</v>
      </c>
      <c r="B25" s="44">
        <v>1.623679808E9</v>
      </c>
      <c r="C25" s="40">
        <f>IFERROR(__xludf.DUMMYFUNCTION("INDEX(SPLIT(B25, char(10)), 0, 1)/86400+date(1970,1,1)"),44361.590370370366)</f>
        <v>44361.59037</v>
      </c>
      <c r="D25" s="44" t="s">
        <v>96</v>
      </c>
      <c r="E25" s="44" t="s">
        <v>903</v>
      </c>
      <c r="F25" s="44" t="s">
        <v>904</v>
      </c>
    </row>
    <row r="26">
      <c r="A26" s="44">
        <v>12.0</v>
      </c>
      <c r="B26" s="44">
        <v>1.623679828E9</v>
      </c>
      <c r="C26" s="40">
        <f>IFERROR(__xludf.DUMMYFUNCTION("INDEX(SPLIT(B26, char(10)), 0, 1)/86400+date(1970,1,1)"),44361.59060185185)</f>
        <v>44361.5906</v>
      </c>
      <c r="D26" s="44" t="s">
        <v>174</v>
      </c>
      <c r="E26" s="44" t="s">
        <v>905</v>
      </c>
      <c r="F26" s="44" t="s">
        <v>906</v>
      </c>
    </row>
    <row r="27">
      <c r="A27" s="44">
        <v>12.0</v>
      </c>
      <c r="B27" s="44">
        <v>1.623679871E9</v>
      </c>
      <c r="C27" s="40">
        <f>IFERROR(__xludf.DUMMYFUNCTION("INDEX(SPLIT(B27, char(10)), 0, 1)/86400+date(1970,1,1)"),44361.591099537036)</f>
        <v>44361.5911</v>
      </c>
      <c r="D27" s="44" t="s">
        <v>124</v>
      </c>
      <c r="E27" s="44" t="s">
        <v>907</v>
      </c>
      <c r="F27" s="44" t="s">
        <v>908</v>
      </c>
    </row>
    <row r="28">
      <c r="A28" s="44">
        <v>13.0</v>
      </c>
      <c r="B28" s="44">
        <v>1.623679893E9</v>
      </c>
      <c r="C28" s="40">
        <f>IFERROR(__xludf.DUMMYFUNCTION("INDEX(SPLIT(B28, char(10)), 0, 1)/86400+date(1970,1,1)"),44361.59135416667)</f>
        <v>44361.59135</v>
      </c>
      <c r="D28" s="44" t="s">
        <v>81</v>
      </c>
      <c r="E28" s="44" t="s">
        <v>878</v>
      </c>
      <c r="F28" s="44" t="s">
        <v>909</v>
      </c>
    </row>
    <row r="29">
      <c r="A29" s="44">
        <v>14.0</v>
      </c>
      <c r="B29" s="44">
        <v>1.623680004E9</v>
      </c>
      <c r="C29" s="40">
        <f>IFERROR(__xludf.DUMMYFUNCTION("INDEX(SPLIT(B29, char(10)), 0, 1)/86400+date(1970,1,1)"),44361.59263888889)</f>
        <v>44361.59264</v>
      </c>
      <c r="D29" s="44" t="s">
        <v>151</v>
      </c>
      <c r="E29" s="44" t="s">
        <v>897</v>
      </c>
      <c r="F29" s="44" t="s">
        <v>910</v>
      </c>
    </row>
    <row r="30">
      <c r="A30" s="44">
        <v>14.0</v>
      </c>
      <c r="B30" s="44">
        <v>1.62368002E9</v>
      </c>
      <c r="C30" s="40">
        <f>IFERROR(__xludf.DUMMYFUNCTION("INDEX(SPLIT(B30, char(10)), 0, 1)/86400+date(1970,1,1)"),44361.592824074076)</f>
        <v>44361.59282</v>
      </c>
      <c r="D30" s="44" t="s">
        <v>81</v>
      </c>
      <c r="E30" s="44" t="s">
        <v>911</v>
      </c>
      <c r="F30" s="44" t="s">
        <v>912</v>
      </c>
    </row>
    <row r="31">
      <c r="A31" s="44">
        <v>15.0</v>
      </c>
      <c r="B31" s="44">
        <v>1.623680134E9</v>
      </c>
      <c r="C31" s="40">
        <f>IFERROR(__xludf.DUMMYFUNCTION("INDEX(SPLIT(B31, char(10)), 0, 1)/86400+date(1970,1,1)"),44361.59414351852)</f>
        <v>44361.59414</v>
      </c>
      <c r="D31" s="44" t="s">
        <v>124</v>
      </c>
      <c r="E31" s="44" t="s">
        <v>913</v>
      </c>
      <c r="F31" s="44" t="s">
        <v>914</v>
      </c>
    </row>
    <row r="32">
      <c r="A32" s="44">
        <v>15.0</v>
      </c>
      <c r="B32" s="44">
        <v>1.623680209E9</v>
      </c>
      <c r="C32" s="40">
        <f>IFERROR(__xludf.DUMMYFUNCTION("INDEX(SPLIT(B32, char(10)), 0, 1)/86400+date(1970,1,1)"),44361.59501157407)</f>
        <v>44361.59501</v>
      </c>
      <c r="D32" s="44" t="s">
        <v>136</v>
      </c>
      <c r="E32" s="44" t="s">
        <v>915</v>
      </c>
      <c r="F32" s="44" t="s">
        <v>916</v>
      </c>
    </row>
    <row r="33">
      <c r="A33" s="44">
        <v>16.0</v>
      </c>
      <c r="B33" s="44">
        <v>1.623680289E9</v>
      </c>
      <c r="C33" s="40">
        <f>IFERROR(__xludf.DUMMYFUNCTION("INDEX(SPLIT(B33, char(10)), 0, 1)/86400+date(1970,1,1)"),44361.595937499995)</f>
        <v>44361.59594</v>
      </c>
      <c r="D33" s="44" t="s">
        <v>174</v>
      </c>
      <c r="E33" s="44" t="s">
        <v>175</v>
      </c>
      <c r="F33" s="44" t="s">
        <v>917</v>
      </c>
    </row>
    <row r="34">
      <c r="A34" s="44">
        <v>16.0</v>
      </c>
      <c r="B34" s="44">
        <v>1.623680332E9</v>
      </c>
      <c r="C34" s="40">
        <f>IFERROR(__xludf.DUMMYFUNCTION("INDEX(SPLIT(B34, char(10)), 0, 1)/86400+date(1970,1,1)"),44361.59643518519)</f>
        <v>44361.59644</v>
      </c>
      <c r="D34" s="44" t="s">
        <v>136</v>
      </c>
      <c r="E34" s="44" t="s">
        <v>918</v>
      </c>
      <c r="F34" s="44" t="s">
        <v>919</v>
      </c>
    </row>
    <row r="35">
      <c r="A35" s="44">
        <v>17.0</v>
      </c>
      <c r="B35" s="44">
        <v>1.623680447E9</v>
      </c>
      <c r="C35" s="40">
        <f>IFERROR(__xludf.DUMMYFUNCTION("INDEX(SPLIT(B35, char(10)), 0, 1)/86400+date(1970,1,1)"),44361.597766203704)</f>
        <v>44361.59777</v>
      </c>
      <c r="D35" s="44" t="s">
        <v>174</v>
      </c>
      <c r="E35" s="44" t="s">
        <v>920</v>
      </c>
      <c r="F35" s="44" t="s">
        <v>921</v>
      </c>
    </row>
    <row r="36">
      <c r="A36" s="44">
        <v>17.0</v>
      </c>
      <c r="B36" s="44">
        <v>1.623680505E9</v>
      </c>
      <c r="C36" s="40">
        <f>IFERROR(__xludf.DUMMYFUNCTION("INDEX(SPLIT(B36, char(10)), 0, 1)/86400+date(1970,1,1)"),44361.5984375)</f>
        <v>44361.59844</v>
      </c>
      <c r="D36" s="44" t="s">
        <v>81</v>
      </c>
      <c r="E36" s="44" t="s">
        <v>922</v>
      </c>
      <c r="F36" s="44" t="s">
        <v>923</v>
      </c>
    </row>
    <row r="37">
      <c r="A37" s="44">
        <v>18.0</v>
      </c>
      <c r="B37" s="44">
        <v>1.623680617E9</v>
      </c>
      <c r="C37" s="40">
        <f>IFERROR(__xludf.DUMMYFUNCTION("INDEX(SPLIT(B37, char(10)), 0, 1)/86400+date(1970,1,1)"),44361.5997337963)</f>
        <v>44361.59973</v>
      </c>
      <c r="D37" s="44" t="s">
        <v>90</v>
      </c>
      <c r="E37" s="44" t="s">
        <v>922</v>
      </c>
      <c r="F37" s="44" t="s">
        <v>924</v>
      </c>
    </row>
    <row r="38">
      <c r="A38" s="44">
        <v>18.0</v>
      </c>
      <c r="B38" s="44">
        <v>1.623680632E9</v>
      </c>
      <c r="C38" s="40">
        <f>IFERROR(__xludf.DUMMYFUNCTION("INDEX(SPLIT(B38, char(10)), 0, 1)/86400+date(1970,1,1)"),44361.599907407406)</f>
        <v>44361.59991</v>
      </c>
      <c r="D38" s="44" t="s">
        <v>93</v>
      </c>
      <c r="E38" s="44" t="s">
        <v>925</v>
      </c>
      <c r="F38" s="44" t="s">
        <v>926</v>
      </c>
    </row>
    <row r="39">
      <c r="A39" s="44">
        <v>18.0</v>
      </c>
      <c r="B39" s="44">
        <v>1.623680688E9</v>
      </c>
      <c r="C39" s="40">
        <f>IFERROR(__xludf.DUMMYFUNCTION("INDEX(SPLIT(B39, char(10)), 0, 1)/86400+date(1970,1,1)"),44361.60055555556)</f>
        <v>44361.60056</v>
      </c>
      <c r="D39" s="44" t="s">
        <v>81</v>
      </c>
      <c r="E39" s="44" t="s">
        <v>927</v>
      </c>
      <c r="F39" s="44" t="s">
        <v>928</v>
      </c>
    </row>
    <row r="40">
      <c r="A40" s="44">
        <v>19.0</v>
      </c>
      <c r="B40" s="44">
        <v>1.623680786E9</v>
      </c>
      <c r="C40" s="40">
        <f>IFERROR(__xludf.DUMMYFUNCTION("INDEX(SPLIT(B40, char(10)), 0, 1)/86400+date(1970,1,1)"),44361.601689814815)</f>
        <v>44361.60169</v>
      </c>
      <c r="D40" s="44" t="s">
        <v>81</v>
      </c>
      <c r="E40" s="44" t="s">
        <v>929</v>
      </c>
      <c r="F40" s="44" t="s">
        <v>930</v>
      </c>
    </row>
    <row r="41">
      <c r="A41" s="44">
        <v>19.0</v>
      </c>
      <c r="B41" s="44">
        <v>1.623680787E9</v>
      </c>
      <c r="C41" s="40">
        <f>IFERROR(__xludf.DUMMYFUNCTION("INDEX(SPLIT(B41, char(10)), 0, 1)/86400+date(1970,1,1)"),44361.60170138889)</f>
        <v>44361.6017</v>
      </c>
      <c r="D41" s="44" t="s">
        <v>174</v>
      </c>
      <c r="E41" s="44" t="s">
        <v>931</v>
      </c>
      <c r="F41" s="44" t="s">
        <v>932</v>
      </c>
    </row>
    <row r="42">
      <c r="A42" s="44">
        <v>19.0</v>
      </c>
      <c r="B42" s="44">
        <v>1.623680836E9</v>
      </c>
      <c r="C42" s="40">
        <f>IFERROR(__xludf.DUMMYFUNCTION("INDEX(SPLIT(B42, char(10)), 0, 1)/86400+date(1970,1,1)"),44361.602268518516)</f>
        <v>44361.60227</v>
      </c>
      <c r="D42" s="44" t="s">
        <v>96</v>
      </c>
      <c r="E42" s="44" t="s">
        <v>933</v>
      </c>
      <c r="F42" s="44" t="s">
        <v>934</v>
      </c>
    </row>
    <row r="43">
      <c r="A43" s="44">
        <v>20.0</v>
      </c>
      <c r="B43" s="44">
        <v>1.623680884E9</v>
      </c>
      <c r="C43" s="40">
        <f>IFERROR(__xludf.DUMMYFUNCTION("INDEX(SPLIT(B43, char(10)), 0, 1)/86400+date(1970,1,1)"),44361.60282407407)</f>
        <v>44361.60282</v>
      </c>
      <c r="D43" s="44" t="s">
        <v>81</v>
      </c>
      <c r="E43" s="44" t="s">
        <v>935</v>
      </c>
      <c r="F43" s="44" t="s">
        <v>936</v>
      </c>
    </row>
    <row r="44">
      <c r="A44" s="44">
        <v>20.0</v>
      </c>
      <c r="B44" s="44">
        <v>1.623680921E9</v>
      </c>
      <c r="C44" s="40">
        <f>IFERROR(__xludf.DUMMYFUNCTION("INDEX(SPLIT(B44, char(10)), 0, 1)/86400+date(1970,1,1)"),44361.60325231482)</f>
        <v>44361.60325</v>
      </c>
      <c r="D44" s="44" t="s">
        <v>174</v>
      </c>
      <c r="E44" s="44" t="s">
        <v>937</v>
      </c>
      <c r="F44" s="44" t="s">
        <v>938</v>
      </c>
    </row>
    <row r="45">
      <c r="A45" s="44">
        <v>20.0</v>
      </c>
      <c r="B45" s="44">
        <v>1.623680936E9</v>
      </c>
      <c r="C45" s="40">
        <f>IFERROR(__xludf.DUMMYFUNCTION("INDEX(SPLIT(B45, char(10)), 0, 1)/86400+date(1970,1,1)"),44361.603425925925)</f>
        <v>44361.60343</v>
      </c>
      <c r="D45" s="44" t="s">
        <v>96</v>
      </c>
      <c r="E45" s="44" t="s">
        <v>939</v>
      </c>
      <c r="F45" s="44" t="s">
        <v>940</v>
      </c>
    </row>
    <row r="46">
      <c r="A46" s="44">
        <v>21.0</v>
      </c>
      <c r="B46" s="44">
        <v>1.623681428E9</v>
      </c>
      <c r="C46" s="40">
        <f>IFERROR(__xludf.DUMMYFUNCTION("INDEX(SPLIT(B46, char(10)), 0, 1)/86400+date(1970,1,1)"),44361.60912037037)</f>
        <v>44361.60912</v>
      </c>
      <c r="D46" s="44" t="s">
        <v>96</v>
      </c>
      <c r="E46" s="44" t="s">
        <v>941</v>
      </c>
      <c r="F46" s="44" t="s">
        <v>942</v>
      </c>
    </row>
    <row r="47">
      <c r="A47" s="44">
        <v>21.0</v>
      </c>
      <c r="B47" s="44">
        <v>1.623681434E9</v>
      </c>
      <c r="C47" s="40">
        <f>IFERROR(__xludf.DUMMYFUNCTION("INDEX(SPLIT(B47, char(10)), 0, 1)/86400+date(1970,1,1)"),44361.609189814815)</f>
        <v>44361.60919</v>
      </c>
      <c r="D47" s="44" t="s">
        <v>81</v>
      </c>
      <c r="E47" s="44" t="s">
        <v>943</v>
      </c>
      <c r="F47" s="44" t="s">
        <v>944</v>
      </c>
    </row>
    <row r="48">
      <c r="A48" s="44">
        <v>21.0</v>
      </c>
      <c r="B48" s="44">
        <v>1.623681455E9</v>
      </c>
      <c r="C48" s="40">
        <f>IFERROR(__xludf.DUMMYFUNCTION("INDEX(SPLIT(B48, char(10)), 0, 1)/86400+date(1970,1,1)"),44361.60943287037)</f>
        <v>44361.60943</v>
      </c>
      <c r="D48" s="44" t="s">
        <v>90</v>
      </c>
      <c r="E48" s="44" t="s">
        <v>945</v>
      </c>
      <c r="F48" s="44" t="s">
        <v>946</v>
      </c>
    </row>
    <row r="49">
      <c r="A49" s="44">
        <v>22.0</v>
      </c>
      <c r="B49" s="44">
        <v>1.62368207E9</v>
      </c>
      <c r="C49" s="40">
        <f>IFERROR(__xludf.DUMMYFUNCTION("INDEX(SPLIT(B49, char(10)), 0, 1)/86400+date(1970,1,1)"),44361.61655092593)</f>
        <v>44361.61655</v>
      </c>
      <c r="D49" s="44" t="s">
        <v>90</v>
      </c>
      <c r="E49" s="44" t="s">
        <v>947</v>
      </c>
      <c r="F49" s="44" t="s">
        <v>948</v>
      </c>
    </row>
    <row r="50">
      <c r="A50" s="44">
        <v>22.0</v>
      </c>
      <c r="B50" s="44">
        <v>1.623682134E9</v>
      </c>
      <c r="C50" s="40">
        <f>IFERROR(__xludf.DUMMYFUNCTION("INDEX(SPLIT(B50, char(10)), 0, 1)/86400+date(1970,1,1)"),44361.61729166667)</f>
        <v>44361.61729</v>
      </c>
      <c r="D50" s="44" t="s">
        <v>174</v>
      </c>
      <c r="E50" s="44" t="s">
        <v>949</v>
      </c>
      <c r="F50" s="44" t="s">
        <v>950</v>
      </c>
    </row>
    <row r="51">
      <c r="A51" s="44">
        <v>22.0</v>
      </c>
      <c r="B51" s="44">
        <v>1.623682135E9</v>
      </c>
      <c r="C51" s="40">
        <f>IFERROR(__xludf.DUMMYFUNCTION("INDEX(SPLIT(B51, char(10)), 0, 1)/86400+date(1970,1,1)"),44361.61730324074)</f>
        <v>44361.6173</v>
      </c>
      <c r="D51" s="44" t="s">
        <v>124</v>
      </c>
      <c r="E51" s="44" t="s">
        <v>275</v>
      </c>
      <c r="F51" s="44" t="s">
        <v>951</v>
      </c>
    </row>
    <row r="52">
      <c r="A52" s="44">
        <v>23.0</v>
      </c>
      <c r="B52" s="44">
        <v>1.623682353E9</v>
      </c>
      <c r="C52" s="40">
        <f>IFERROR(__xludf.DUMMYFUNCTION("INDEX(SPLIT(B52, char(10)), 0, 1)/86400+date(1970,1,1)"),44361.61982638889)</f>
        <v>44361.61983</v>
      </c>
      <c r="D52" s="44" t="s">
        <v>96</v>
      </c>
      <c r="E52" s="44" t="s">
        <v>952</v>
      </c>
      <c r="F52" s="44" t="s">
        <v>953</v>
      </c>
    </row>
    <row r="53">
      <c r="A53" s="44">
        <v>23.0</v>
      </c>
      <c r="B53" s="44">
        <v>1.623682355E9</v>
      </c>
      <c r="C53" s="40">
        <f>IFERROR(__xludf.DUMMYFUNCTION("INDEX(SPLIT(B53, char(10)), 0, 1)/86400+date(1970,1,1)"),44361.61984953703)</f>
        <v>44361.61985</v>
      </c>
      <c r="D53" s="44" t="s">
        <v>81</v>
      </c>
      <c r="E53" s="44" t="s">
        <v>954</v>
      </c>
      <c r="F53" s="44" t="s">
        <v>955</v>
      </c>
    </row>
    <row r="54">
      <c r="A54" s="44">
        <v>23.0</v>
      </c>
      <c r="B54" s="44">
        <v>1.623682439E9</v>
      </c>
      <c r="C54" s="40">
        <f>IFERROR(__xludf.DUMMYFUNCTION("INDEX(SPLIT(B54, char(10)), 0, 1)/86400+date(1970,1,1)"),44361.62082175926)</f>
        <v>44361.62082</v>
      </c>
      <c r="D54" s="44" t="s">
        <v>90</v>
      </c>
      <c r="E54" s="44" t="s">
        <v>956</v>
      </c>
      <c r="F54" s="44" t="s">
        <v>957</v>
      </c>
    </row>
    <row r="55">
      <c r="A55" s="44">
        <v>24.0</v>
      </c>
      <c r="B55" s="44">
        <v>1.62368246E9</v>
      </c>
      <c r="C55" s="40">
        <f>IFERROR(__xludf.DUMMYFUNCTION("INDEX(SPLIT(B55, char(10)), 0, 1)/86400+date(1970,1,1)"),44361.62106481481)</f>
        <v>44361.62106</v>
      </c>
      <c r="D55" s="44" t="s">
        <v>96</v>
      </c>
      <c r="E55" s="44" t="s">
        <v>958</v>
      </c>
      <c r="F55" s="44" t="s">
        <v>959</v>
      </c>
    </row>
    <row r="56">
      <c r="A56" s="44">
        <v>24.0</v>
      </c>
      <c r="B56" s="44">
        <v>1.623682498E9</v>
      </c>
      <c r="C56" s="40">
        <f>IFERROR(__xludf.DUMMYFUNCTION("INDEX(SPLIT(B56, char(10)), 0, 1)/86400+date(1970,1,1)"),44361.62150462963)</f>
        <v>44361.6215</v>
      </c>
      <c r="D56" s="44" t="s">
        <v>81</v>
      </c>
      <c r="E56" s="44" t="s">
        <v>960</v>
      </c>
      <c r="F56" s="44" t="s">
        <v>961</v>
      </c>
    </row>
    <row r="57">
      <c r="A57" s="44">
        <v>25.0</v>
      </c>
      <c r="B57" s="44">
        <v>1.623682597E9</v>
      </c>
      <c r="C57" s="40">
        <f>IFERROR(__xludf.DUMMYFUNCTION("INDEX(SPLIT(B57, char(10)), 0, 1)/86400+date(1970,1,1)"),44361.62265046296)</f>
        <v>44361.62265</v>
      </c>
      <c r="D57" s="44" t="s">
        <v>90</v>
      </c>
      <c r="E57" s="44" t="s">
        <v>962</v>
      </c>
      <c r="F57" s="44" t="s">
        <v>963</v>
      </c>
    </row>
    <row r="58">
      <c r="A58" s="44">
        <v>25.0</v>
      </c>
      <c r="B58" s="44">
        <v>1.623682638E9</v>
      </c>
      <c r="C58" s="40">
        <f>IFERROR(__xludf.DUMMYFUNCTION("INDEX(SPLIT(B58, char(10)), 0, 1)/86400+date(1970,1,1)"),44361.623125)</f>
        <v>44361.62313</v>
      </c>
      <c r="D58" s="44" t="s">
        <v>81</v>
      </c>
      <c r="E58" s="44" t="s">
        <v>929</v>
      </c>
      <c r="F58" s="44" t="s">
        <v>964</v>
      </c>
    </row>
    <row r="59">
      <c r="C59" s="40"/>
    </row>
    <row r="60">
      <c r="C60" s="40"/>
    </row>
    <row r="61">
      <c r="C61" s="40"/>
    </row>
    <row r="62">
      <c r="C62" s="40"/>
    </row>
    <row r="63">
      <c r="C63" s="40"/>
    </row>
    <row r="64">
      <c r="C64" s="40"/>
    </row>
    <row r="65">
      <c r="C65" s="40"/>
    </row>
    <row r="66">
      <c r="C66" s="40"/>
    </row>
    <row r="67">
      <c r="C67" s="40"/>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9.0" topLeftCell="E10" activePane="bottomRight" state="frozen"/>
      <selection activeCell="E1" sqref="E1" pane="topRight"/>
      <selection activeCell="A10" sqref="A10" pane="bottomLeft"/>
      <selection activeCell="E10" sqref="E10" pane="bottomRight"/>
    </sheetView>
  </sheetViews>
  <sheetFormatPr customHeight="1" defaultColWidth="12.63" defaultRowHeight="15.75"/>
  <cols>
    <col customWidth="1" min="1" max="1" width="12.0"/>
    <col customWidth="1" min="2" max="2" width="17.13"/>
    <col customWidth="1" min="3" max="3" width="9.13"/>
    <col customWidth="1" min="4" max="4" width="9.75"/>
    <col customWidth="1" min="5" max="5" width="17.13"/>
    <col customWidth="1" min="6" max="6" width="25.75"/>
    <col customWidth="1" min="9" max="9" width="15.88"/>
  </cols>
  <sheetData>
    <row r="1" hidden="1">
      <c r="A1" s="1"/>
      <c r="B1" s="1"/>
      <c r="C1" s="1"/>
      <c r="D1" s="1"/>
      <c r="E1" s="1" t="s">
        <v>30</v>
      </c>
      <c r="F1" s="5" t="str">
        <f>IFERROR(__xludf.DUMMYFUNCTION("TRANSPOSE(UNIQUE(INDIRECT(B2&amp;""!D2:D107"")))"),"['keeper', 'best', 'goalkeep', 'defend', 'EXCLUDED-kepa', 'save']")</f>
        <v>['keeper', 'best', 'goalkeep', 'defend', 'EXCLUDED-kepa', 'save']</v>
      </c>
      <c r="G1" s="5" t="str">
        <f>IFERROR(__xludf.DUMMYFUNCTION("""COMPUTED_VALUE"""),"['touch', 'cross', 'ball', 'pass']")</f>
        <v>['touch', 'cross', 'ball', 'pass']</v>
      </c>
      <c r="H1" s="5" t="str">
        <f>IFERROR(__xludf.DUMMYFUNCTION("""COMPUTED_VALUE"""),"['take', 'knee', 'player']")</f>
        <v>['take', 'knee', 'player']</v>
      </c>
      <c r="I1" s="5" t="str">
        <f>IFERROR(__xludf.DUMMYFUNCTION("""COMPUTED_VALUE"""),"['goal', 'score', 'conced', 'equalis', 'offsid', 'assist']")</f>
        <v>['goal', 'score', 'conced', 'equalis', 'offsid', 'assist']</v>
      </c>
      <c r="J1" s="5" t="str">
        <f>IFERROR(__xludf.DUMMYFUNCTION("""COMPUTED_VALUE"""),"['gol', 'stream', 'onlin', 'free', 'reddit', 'link', 'EXCLUDED-manchest', 'ff', 'live']")</f>
        <v>['gol', 'stream', 'onlin', 'free', 'reddit', 'link', 'EXCLUDED-manchest', 'ff', 'live']</v>
      </c>
      <c r="K1" s="5" t="str">
        <f>IFERROR(__xludf.DUMMYFUNCTION("""COMPUTED_VALUE"""),"['need', 'half', 'sub', 'second', 'lead', '2nd']")</f>
        <v>['need', 'half', 'sub', 'second', 'lead', '2nd']</v>
      </c>
      <c r="L1" s="5" t="str">
        <f>IFERROR(__xludf.DUMMYFUNCTION("""COMPUTED_VALUE"""),"['champion', 'final', 'leagu', 'footbal', 'win']")</f>
        <v>['champion', 'final', 'leagu', 'footbal', 'win']</v>
      </c>
      <c r="M1" s="5" t="str">
        <f>IFERROR(__xludf.DUMMYFUNCTION("""COMPUTED_VALUE"""),"['foul', 'refere', 'book', 'decis', 'var', 'given', 'pen', 'dive', 'ref', 'penalti']")</f>
        <v>['foul', 'refere', 'book', 'decis', 'var', 'given', 'pen', 'dive', 'ref', 'penalti']</v>
      </c>
      <c r="N1" s="5" t="str">
        <f>IFERROR(__xludf.DUMMYFUNCTION("""COMPUTED_VALUE"""),"['hit', 'post']")</f>
        <v>['hit', 'post']</v>
      </c>
      <c r="O1" s="5" t="str">
        <f>IFERROR(__xludf.DUMMYFUNCTION("""COMPUTED_VALUE"""),"['world', 'class', 'striker']")</f>
        <v>['world', 'class', 'striker']</v>
      </c>
      <c r="P1" s="5" t="str">
        <f>IFERROR(__xludf.DUMMYFUNCTION("""COMPUTED_VALUE"""),"['deflect', 'kick', 'corner', 'shot', 'net']")</f>
        <v>['deflect', 'kick', 'corner', 'shot', 'net']</v>
      </c>
      <c r="Q1" s="5"/>
    </row>
    <row r="2">
      <c r="A2" s="14" t="s">
        <v>31</v>
      </c>
      <c r="B2" s="15" t="s">
        <v>965</v>
      </c>
      <c r="C2" s="14"/>
      <c r="D2" s="14"/>
      <c r="E2" s="16" t="s">
        <v>33</v>
      </c>
      <c r="F2" s="17" t="s">
        <v>34</v>
      </c>
      <c r="G2" s="18" t="s">
        <v>35</v>
      </c>
      <c r="H2" s="16" t="s">
        <v>33</v>
      </c>
      <c r="I2" s="17" t="s">
        <v>34</v>
      </c>
      <c r="J2" s="18" t="s">
        <v>35</v>
      </c>
      <c r="K2" s="16" t="s">
        <v>33</v>
      </c>
      <c r="L2" s="17" t="s">
        <v>34</v>
      </c>
      <c r="M2" s="18" t="s">
        <v>35</v>
      </c>
      <c r="N2" s="16" t="s">
        <v>33</v>
      </c>
      <c r="O2" s="17" t="s">
        <v>34</v>
      </c>
      <c r="P2" s="18" t="s">
        <v>35</v>
      </c>
      <c r="Q2" s="16" t="s">
        <v>33</v>
      </c>
      <c r="R2" s="17" t="s">
        <v>34</v>
      </c>
      <c r="S2" s="18" t="s">
        <v>35</v>
      </c>
      <c r="T2" s="16" t="s">
        <v>33</v>
      </c>
      <c r="U2" s="17" t="s">
        <v>34</v>
      </c>
      <c r="V2" s="18" t="s">
        <v>35</v>
      </c>
      <c r="W2" s="16" t="s">
        <v>33</v>
      </c>
      <c r="X2" s="17" t="s">
        <v>34</v>
      </c>
      <c r="Y2" s="18" t="s">
        <v>35</v>
      </c>
      <c r="Z2" s="16" t="s">
        <v>33</v>
      </c>
      <c r="AA2" s="17" t="s">
        <v>34</v>
      </c>
      <c r="AB2" s="18" t="s">
        <v>35</v>
      </c>
      <c r="AC2" s="16" t="s">
        <v>33</v>
      </c>
      <c r="AD2" s="17" t="s">
        <v>34</v>
      </c>
      <c r="AE2" s="18" t="s">
        <v>35</v>
      </c>
      <c r="AF2" s="16" t="s">
        <v>33</v>
      </c>
      <c r="AG2" s="17" t="s">
        <v>34</v>
      </c>
      <c r="AH2" s="18" t="s">
        <v>35</v>
      </c>
      <c r="AI2" s="16" t="s">
        <v>33</v>
      </c>
      <c r="AJ2" s="17" t="s">
        <v>34</v>
      </c>
      <c r="AK2" s="18" t="s">
        <v>35</v>
      </c>
      <c r="AL2" s="16" t="s">
        <v>33</v>
      </c>
      <c r="AM2" s="17" t="s">
        <v>34</v>
      </c>
      <c r="AN2" s="18" t="s">
        <v>35</v>
      </c>
      <c r="AO2" s="16" t="s">
        <v>33</v>
      </c>
      <c r="AP2" s="17" t="s">
        <v>34</v>
      </c>
      <c r="AQ2" s="18" t="s">
        <v>35</v>
      </c>
      <c r="AR2" s="16" t="s">
        <v>33</v>
      </c>
      <c r="AS2" s="17" t="s">
        <v>34</v>
      </c>
      <c r="AT2" s="18" t="s">
        <v>35</v>
      </c>
      <c r="AU2" s="16" t="s">
        <v>33</v>
      </c>
      <c r="AV2" s="17" t="s">
        <v>34</v>
      </c>
      <c r="AW2" s="18" t="s">
        <v>35</v>
      </c>
      <c r="AX2" s="16" t="s">
        <v>33</v>
      </c>
      <c r="AY2" s="17" t="s">
        <v>34</v>
      </c>
      <c r="AZ2" s="18" t="s">
        <v>35</v>
      </c>
      <c r="BA2" s="16" t="s">
        <v>33</v>
      </c>
      <c r="BB2" s="17" t="s">
        <v>34</v>
      </c>
      <c r="BC2" s="18" t="s">
        <v>35</v>
      </c>
      <c r="BD2" s="16" t="s">
        <v>33</v>
      </c>
      <c r="BE2" s="17" t="s">
        <v>34</v>
      </c>
      <c r="BF2" s="18" t="s">
        <v>35</v>
      </c>
      <c r="BG2" s="16" t="s">
        <v>33</v>
      </c>
      <c r="BH2" s="17" t="s">
        <v>34</v>
      </c>
      <c r="BI2" s="18" t="s">
        <v>35</v>
      </c>
      <c r="BJ2" s="16" t="s">
        <v>33</v>
      </c>
      <c r="BK2" s="17" t="s">
        <v>34</v>
      </c>
      <c r="BL2" s="18" t="s">
        <v>35</v>
      </c>
      <c r="BM2" s="16" t="s">
        <v>33</v>
      </c>
      <c r="BN2" s="17" t="s">
        <v>34</v>
      </c>
      <c r="BO2" s="18" t="s">
        <v>35</v>
      </c>
      <c r="BP2" s="16" t="s">
        <v>33</v>
      </c>
      <c r="BQ2" s="17" t="s">
        <v>34</v>
      </c>
      <c r="BR2" s="18" t="s">
        <v>35</v>
      </c>
      <c r="BS2" s="16" t="s">
        <v>33</v>
      </c>
      <c r="BT2" s="17" t="s">
        <v>34</v>
      </c>
      <c r="BU2" s="18" t="s">
        <v>35</v>
      </c>
      <c r="BV2" s="16" t="s">
        <v>33</v>
      </c>
      <c r="BW2" s="17" t="s">
        <v>34</v>
      </c>
      <c r="BX2" s="18" t="s">
        <v>35</v>
      </c>
      <c r="BY2" s="16" t="s">
        <v>33</v>
      </c>
      <c r="BZ2" s="17" t="s">
        <v>34</v>
      </c>
      <c r="CA2" s="18" t="s">
        <v>35</v>
      </c>
      <c r="CB2" s="16" t="s">
        <v>33</v>
      </c>
      <c r="CC2" s="17" t="s">
        <v>34</v>
      </c>
      <c r="CD2" s="18" t="s">
        <v>35</v>
      </c>
      <c r="CE2" s="16" t="s">
        <v>33</v>
      </c>
      <c r="CF2" s="17" t="s">
        <v>34</v>
      </c>
      <c r="CG2" s="18" t="s">
        <v>35</v>
      </c>
      <c r="CH2" s="16" t="s">
        <v>33</v>
      </c>
      <c r="CI2" s="17" t="s">
        <v>34</v>
      </c>
      <c r="CJ2" s="18" t="s">
        <v>35</v>
      </c>
      <c r="CK2" s="16" t="s">
        <v>33</v>
      </c>
      <c r="CL2" s="17" t="s">
        <v>34</v>
      </c>
      <c r="CM2" s="18" t="s">
        <v>35</v>
      </c>
      <c r="CN2" s="16" t="s">
        <v>33</v>
      </c>
      <c r="CO2" s="17" t="s">
        <v>34</v>
      </c>
      <c r="CP2" s="18" t="s">
        <v>35</v>
      </c>
      <c r="CQ2" s="16" t="s">
        <v>33</v>
      </c>
      <c r="CR2" s="17" t="s">
        <v>34</v>
      </c>
      <c r="CS2" s="18" t="s">
        <v>35</v>
      </c>
      <c r="CT2" s="1"/>
      <c r="CU2" s="1"/>
      <c r="CV2" s="1"/>
      <c r="CW2" s="1"/>
      <c r="CX2" s="1"/>
      <c r="CY2" s="1"/>
      <c r="CZ2" s="1"/>
      <c r="DA2" s="1"/>
      <c r="DB2" s="1"/>
      <c r="DC2" s="1"/>
      <c r="DD2" s="1"/>
      <c r="DE2" s="1"/>
      <c r="DF2" s="1"/>
    </row>
    <row r="3">
      <c r="A3" s="14"/>
      <c r="B3" s="19"/>
      <c r="C3" s="14"/>
      <c r="D3" s="14"/>
      <c r="E3" s="20" t="s">
        <v>14</v>
      </c>
      <c r="F3" s="21">
        <f t="shared" ref="F3:F7" si="1">COUNTIF(G$10:G1007,E3)</f>
        <v>1</v>
      </c>
      <c r="G3" s="22">
        <f t="shared" ref="G3:G7" si="2">F3/SUM(F$3:F$7)</f>
        <v>0.1111111111</v>
      </c>
      <c r="H3" s="20" t="s">
        <v>14</v>
      </c>
      <c r="I3" s="21">
        <f t="shared" ref="I3:I7" si="3">COUNTIF(J$10:J1007,H3)</f>
        <v>0</v>
      </c>
      <c r="J3" s="22">
        <f t="shared" ref="J3:J7" si="4">I3/SUM(I$3:I$7)</f>
        <v>0</v>
      </c>
      <c r="K3" s="20" t="s">
        <v>14</v>
      </c>
      <c r="L3" s="21">
        <f t="shared" ref="L3:L7" si="5">COUNTIF(M$10:M1007,K3)</f>
        <v>0</v>
      </c>
      <c r="M3" s="22">
        <f t="shared" ref="M3:M7" si="6">L3/SUM(L$3:L$7)</f>
        <v>0</v>
      </c>
      <c r="N3" s="20" t="s">
        <v>14</v>
      </c>
      <c r="O3" s="21">
        <f t="shared" ref="O3:O7" si="7">COUNTIF(P$10:P1007,N3)</f>
        <v>0</v>
      </c>
      <c r="P3" s="22">
        <f t="shared" ref="P3:P7" si="8">O3/SUM(O$3:O$7)</f>
        <v>0</v>
      </c>
      <c r="Q3" s="20" t="s">
        <v>14</v>
      </c>
      <c r="R3" s="21">
        <f t="shared" ref="R3:R7" si="9">COUNTIF(S$10:S1007,Q3)</f>
        <v>0</v>
      </c>
      <c r="S3" s="22">
        <f t="shared" ref="S3:S7" si="10">R3/SUM(R$3:R$7)</f>
        <v>0</v>
      </c>
      <c r="T3" s="20" t="s">
        <v>14</v>
      </c>
      <c r="U3" s="21">
        <f t="shared" ref="U3:U7" si="11">COUNTIF(V$10:V1007,T3)</f>
        <v>2</v>
      </c>
      <c r="V3" s="22">
        <f t="shared" ref="V3:V7" si="12">U3/SUM(U$3:U$7)</f>
        <v>0.2857142857</v>
      </c>
      <c r="W3" s="20" t="s">
        <v>14</v>
      </c>
      <c r="X3" s="21">
        <f t="shared" ref="X3:X7" si="13">COUNTIF(Y$10:Y1007,W3)</f>
        <v>1</v>
      </c>
      <c r="Y3" s="22">
        <f t="shared" ref="Y3:Y7" si="14">X3/SUM(X$3:X$7)</f>
        <v>0.09090909091</v>
      </c>
      <c r="Z3" s="20" t="s">
        <v>14</v>
      </c>
      <c r="AA3" s="21">
        <f t="shared" ref="AA3:AA7" si="15">COUNTIF(AB$10:AB1007,Z3)</f>
        <v>0</v>
      </c>
      <c r="AB3" s="22">
        <f t="shared" ref="AB3:AB7" si="16">AA3/SUM(AA$3:AA$7)</f>
        <v>0</v>
      </c>
      <c r="AC3" s="20" t="s">
        <v>14</v>
      </c>
      <c r="AD3" s="21">
        <f t="shared" ref="AD3:AD7" si="17">COUNTIF(AE$10:AE1007,AC3)</f>
        <v>0</v>
      </c>
      <c r="AE3" s="22">
        <f t="shared" ref="AE3:AE7" si="18">AD3/SUM(AD$3:AD$7)</f>
        <v>0</v>
      </c>
      <c r="AF3" s="20" t="s">
        <v>14</v>
      </c>
      <c r="AG3" s="21">
        <f t="shared" ref="AG3:AG7" si="19">COUNTIF(AH$10:AH1007,AF3)</f>
        <v>0</v>
      </c>
      <c r="AH3" s="22">
        <f t="shared" ref="AH3:AH7" si="20">AG3/SUM(AG$3:AG$7)</f>
        <v>0</v>
      </c>
      <c r="AI3" s="20" t="s">
        <v>14</v>
      </c>
      <c r="AJ3" s="21">
        <f t="shared" ref="AJ3:AJ7" si="21">COUNTIF(AK$10:AK1007,AI3)</f>
        <v>0</v>
      </c>
      <c r="AK3" s="22">
        <f t="shared" ref="AK3:AK7" si="22">AJ3/SUM(AJ$3:AJ$7)</f>
        <v>0</v>
      </c>
      <c r="AL3" s="20" t="s">
        <v>14</v>
      </c>
      <c r="AM3" s="21">
        <f t="shared" ref="AM3:AM7" si="23">COUNTIF(AN$10:AN1007,AL3)</f>
        <v>0</v>
      </c>
      <c r="AN3" s="22" t="str">
        <f t="shared" ref="AN3:AN7" si="24">AM3/SUM(AM$3:AM$7)</f>
        <v>#DIV/0!</v>
      </c>
      <c r="AO3" s="20" t="s">
        <v>14</v>
      </c>
      <c r="AP3" s="21">
        <f t="shared" ref="AP3:AP7" si="25">COUNTIF(AQ$10:AQ1007,AO3)</f>
        <v>0</v>
      </c>
      <c r="AQ3" s="22" t="str">
        <f t="shared" ref="AQ3:AQ7" si="26">AP3/SUM(AP$3:AP$7)</f>
        <v>#DIV/0!</v>
      </c>
      <c r="AR3" s="20" t="s">
        <v>14</v>
      </c>
      <c r="AS3" s="21">
        <f t="shared" ref="AS3:AS7" si="27">COUNTIF(AT$10:AT1007,AR3)</f>
        <v>0</v>
      </c>
      <c r="AT3" s="22" t="str">
        <f t="shared" ref="AT3:AT7" si="28">AS3/SUM(AS$3:AS$7)</f>
        <v>#DIV/0!</v>
      </c>
      <c r="AU3" s="20" t="s">
        <v>14</v>
      </c>
      <c r="AV3" s="21">
        <f t="shared" ref="AV3:AV7" si="29">COUNTIF(AW$10:AW1007,AU3)</f>
        <v>0</v>
      </c>
      <c r="AW3" s="22" t="str">
        <f t="shared" ref="AW3:AW7" si="30">AV3/SUM(AV$3:AV$7)</f>
        <v>#DIV/0!</v>
      </c>
      <c r="AX3" s="20" t="s">
        <v>14</v>
      </c>
      <c r="AY3" s="21">
        <f t="shared" ref="AY3:AY7" si="31">COUNTIF(AZ$10:AZ1007,AX3)</f>
        <v>0</v>
      </c>
      <c r="AZ3" s="22" t="str">
        <f t="shared" ref="AZ3:AZ7" si="32">AY3/SUM(AY$3:AY$7)</f>
        <v>#DIV/0!</v>
      </c>
      <c r="BA3" s="20" t="s">
        <v>14</v>
      </c>
      <c r="BB3" s="21">
        <f t="shared" ref="BB3:BB7" si="33">COUNTIF(BC$10:BC1007,BA3)</f>
        <v>0</v>
      </c>
      <c r="BC3" s="22" t="str">
        <f t="shared" ref="BC3:BC7" si="34">BB3/SUM(BB$3:BB$7)</f>
        <v>#DIV/0!</v>
      </c>
      <c r="BD3" s="20" t="s">
        <v>14</v>
      </c>
      <c r="BE3" s="21">
        <f t="shared" ref="BE3:BE7" si="35">COUNTIF(BF$10:BF1007,BD3)</f>
        <v>0</v>
      </c>
      <c r="BF3" s="22" t="str">
        <f t="shared" ref="BF3:BF7" si="36">BE3/SUM(BE$3:BE$7)</f>
        <v>#DIV/0!</v>
      </c>
      <c r="BG3" s="20" t="s">
        <v>14</v>
      </c>
      <c r="BH3" s="21">
        <f t="shared" ref="BH3:BH7" si="37">COUNTIF(BI$10:BI1007,BG3)</f>
        <v>0</v>
      </c>
      <c r="BI3" s="22" t="str">
        <f t="shared" ref="BI3:BI7" si="38">BH3/SUM(BH$3:BH$7)</f>
        <v>#DIV/0!</v>
      </c>
      <c r="BJ3" s="20" t="s">
        <v>14</v>
      </c>
      <c r="BK3" s="21">
        <f t="shared" ref="BK3:BK7" si="39">COUNTIF(BL$10:BL1007,BJ3)</f>
        <v>0</v>
      </c>
      <c r="BL3" s="22" t="str">
        <f t="shared" ref="BL3:BL7" si="40">BK3/SUM(BK$3:BK$7)</f>
        <v>#DIV/0!</v>
      </c>
      <c r="BM3" s="20" t="s">
        <v>14</v>
      </c>
      <c r="BN3" s="21">
        <f t="shared" ref="BN3:BN7" si="41">COUNTIF(BO$10:BO1007,BM3)</f>
        <v>0</v>
      </c>
      <c r="BO3" s="22" t="str">
        <f t="shared" ref="BO3:BO7" si="42">BN3/SUM(BN$3:BN$7)</f>
        <v>#DIV/0!</v>
      </c>
      <c r="BP3" s="20" t="s">
        <v>14</v>
      </c>
      <c r="BQ3" s="21">
        <f t="shared" ref="BQ3:BQ7" si="43">COUNTIF(BR$10:BR1007,BP3)</f>
        <v>0</v>
      </c>
      <c r="BR3" s="22" t="str">
        <f t="shared" ref="BR3:BR7" si="44">BQ3/SUM(BQ$3:BQ$7)</f>
        <v>#DIV/0!</v>
      </c>
      <c r="BS3" s="20" t="s">
        <v>14</v>
      </c>
      <c r="BT3" s="21">
        <f t="shared" ref="BT3:BT7" si="45">COUNTIF(BU$10:BU1007,BS3)</f>
        <v>0</v>
      </c>
      <c r="BU3" s="22" t="str">
        <f t="shared" ref="BU3:BU7" si="46">BT3/SUM(BT$3:BT$7)</f>
        <v>#DIV/0!</v>
      </c>
      <c r="BV3" s="20" t="s">
        <v>14</v>
      </c>
      <c r="BW3" s="21">
        <f t="shared" ref="BW3:BW7" si="47">COUNTIF(BX$10:BX1007,BV3)</f>
        <v>0</v>
      </c>
      <c r="BX3" s="22" t="str">
        <f t="shared" ref="BX3:BX7" si="48">BW3/SUM(BW$3:BW$7)</f>
        <v>#DIV/0!</v>
      </c>
      <c r="BY3" s="20" t="s">
        <v>14</v>
      </c>
      <c r="BZ3" s="21">
        <f t="shared" ref="BZ3:BZ7" si="49">COUNTIF(CA$10:CA1007,BY3)</f>
        <v>0</v>
      </c>
      <c r="CA3" s="22" t="str">
        <f t="shared" ref="CA3:CA7" si="50">BZ3/SUM(BZ$3:BZ$7)</f>
        <v>#DIV/0!</v>
      </c>
      <c r="CB3" s="20" t="s">
        <v>14</v>
      </c>
      <c r="CC3" s="21">
        <f t="shared" ref="CC3:CC7" si="51">COUNTIF(CD$10:CD1007,CB3)</f>
        <v>0</v>
      </c>
      <c r="CD3" s="22" t="str">
        <f t="shared" ref="CD3:CD7" si="52">CC3/SUM(CC$3:CC$7)</f>
        <v>#DIV/0!</v>
      </c>
      <c r="CE3" s="20" t="s">
        <v>14</v>
      </c>
      <c r="CF3" s="21">
        <f t="shared" ref="CF3:CF7" si="53">COUNTIF(CG$10:CG1007,CE3)</f>
        <v>0</v>
      </c>
      <c r="CG3" s="22" t="str">
        <f t="shared" ref="CG3:CG7" si="54">CF3/SUM(CF$3:CF$7)</f>
        <v>#DIV/0!</v>
      </c>
      <c r="CH3" s="20" t="s">
        <v>14</v>
      </c>
      <c r="CI3" s="21">
        <f t="shared" ref="CI3:CI7" si="55">COUNTIF(CJ$10:CJ1007,CH3)</f>
        <v>0</v>
      </c>
      <c r="CJ3" s="22" t="str">
        <f t="shared" ref="CJ3:CJ7" si="56">CI3/SUM(CI$3:CI$7)</f>
        <v>#DIV/0!</v>
      </c>
      <c r="CK3" s="20" t="s">
        <v>14</v>
      </c>
      <c r="CL3" s="21">
        <f t="shared" ref="CL3:CL7" si="57">COUNTIF(CM$10:CM1007,CK3)</f>
        <v>0</v>
      </c>
      <c r="CM3" s="22" t="str">
        <f t="shared" ref="CM3:CM7" si="58">CL3/SUM(CL$3:CL$7)</f>
        <v>#DIV/0!</v>
      </c>
      <c r="CN3" s="20" t="s">
        <v>14</v>
      </c>
      <c r="CO3" s="21">
        <f t="shared" ref="CO3:CO7" si="59">COUNTIF(CP$10:CP1007,CN3)</f>
        <v>0</v>
      </c>
      <c r="CP3" s="22" t="str">
        <f t="shared" ref="CP3:CP7" si="60">CO3/SUM(CO$3:CO$7)</f>
        <v>#DIV/0!</v>
      </c>
      <c r="CQ3" s="20" t="s">
        <v>14</v>
      </c>
      <c r="CR3" s="21">
        <f t="shared" ref="CR3:CR7" si="61">COUNTIF(CS$10:CS1007,CQ3)</f>
        <v>0</v>
      </c>
      <c r="CS3" s="22" t="str">
        <f t="shared" ref="CS3:CS7" si="62">CR3/SUM(CR$3:CR$7)</f>
        <v>#DIV/0!</v>
      </c>
      <c r="CT3" s="6"/>
      <c r="CU3" s="6"/>
      <c r="CV3" s="6"/>
      <c r="CW3" s="6"/>
      <c r="CX3" s="6"/>
      <c r="CY3" s="6"/>
      <c r="CZ3" s="6"/>
      <c r="DA3" s="6"/>
      <c r="DB3" s="6"/>
      <c r="DC3" s="6"/>
      <c r="DD3" s="6"/>
      <c r="DE3" s="6"/>
      <c r="DF3" s="6"/>
    </row>
    <row r="4">
      <c r="A4" s="14"/>
      <c r="B4" s="19"/>
      <c r="C4" s="14"/>
      <c r="D4" s="14"/>
      <c r="E4" s="20" t="s">
        <v>15</v>
      </c>
      <c r="F4" s="21">
        <f t="shared" si="1"/>
        <v>1</v>
      </c>
      <c r="G4" s="22">
        <f t="shared" si="2"/>
        <v>0.1111111111</v>
      </c>
      <c r="H4" s="20" t="s">
        <v>15</v>
      </c>
      <c r="I4" s="21">
        <f t="shared" si="3"/>
        <v>0</v>
      </c>
      <c r="J4" s="22">
        <f t="shared" si="4"/>
        <v>0</v>
      </c>
      <c r="K4" s="20" t="s">
        <v>15</v>
      </c>
      <c r="L4" s="21">
        <f t="shared" si="5"/>
        <v>0</v>
      </c>
      <c r="M4" s="22">
        <f t="shared" si="6"/>
        <v>0</v>
      </c>
      <c r="N4" s="20" t="s">
        <v>15</v>
      </c>
      <c r="O4" s="21">
        <f t="shared" si="7"/>
        <v>0</v>
      </c>
      <c r="P4" s="22">
        <f t="shared" si="8"/>
        <v>0</v>
      </c>
      <c r="Q4" s="20" t="s">
        <v>15</v>
      </c>
      <c r="R4" s="21">
        <f t="shared" si="9"/>
        <v>0</v>
      </c>
      <c r="S4" s="22">
        <f t="shared" si="10"/>
        <v>0</v>
      </c>
      <c r="T4" s="20" t="s">
        <v>15</v>
      </c>
      <c r="U4" s="21">
        <f t="shared" si="11"/>
        <v>0</v>
      </c>
      <c r="V4" s="22">
        <f t="shared" si="12"/>
        <v>0</v>
      </c>
      <c r="W4" s="20" t="s">
        <v>15</v>
      </c>
      <c r="X4" s="21">
        <f t="shared" si="13"/>
        <v>0</v>
      </c>
      <c r="Y4" s="22">
        <f t="shared" si="14"/>
        <v>0</v>
      </c>
      <c r="Z4" s="20" t="s">
        <v>15</v>
      </c>
      <c r="AA4" s="21">
        <f t="shared" si="15"/>
        <v>1</v>
      </c>
      <c r="AB4" s="22">
        <f t="shared" si="16"/>
        <v>0.2</v>
      </c>
      <c r="AC4" s="20" t="s">
        <v>15</v>
      </c>
      <c r="AD4" s="21">
        <f t="shared" si="17"/>
        <v>0</v>
      </c>
      <c r="AE4" s="22">
        <f t="shared" si="18"/>
        <v>0</v>
      </c>
      <c r="AF4" s="20" t="s">
        <v>15</v>
      </c>
      <c r="AG4" s="21">
        <f t="shared" si="19"/>
        <v>0</v>
      </c>
      <c r="AH4" s="22">
        <f t="shared" si="20"/>
        <v>0</v>
      </c>
      <c r="AI4" s="20" t="s">
        <v>15</v>
      </c>
      <c r="AJ4" s="21">
        <f t="shared" si="21"/>
        <v>0</v>
      </c>
      <c r="AK4" s="22">
        <f t="shared" si="22"/>
        <v>0</v>
      </c>
      <c r="AL4" s="20" t="s">
        <v>15</v>
      </c>
      <c r="AM4" s="21">
        <f t="shared" si="23"/>
        <v>0</v>
      </c>
      <c r="AN4" s="22" t="str">
        <f t="shared" si="24"/>
        <v>#DIV/0!</v>
      </c>
      <c r="AO4" s="20" t="s">
        <v>15</v>
      </c>
      <c r="AP4" s="21">
        <f t="shared" si="25"/>
        <v>0</v>
      </c>
      <c r="AQ4" s="22" t="str">
        <f t="shared" si="26"/>
        <v>#DIV/0!</v>
      </c>
      <c r="AR4" s="20" t="s">
        <v>15</v>
      </c>
      <c r="AS4" s="21">
        <f t="shared" si="27"/>
        <v>0</v>
      </c>
      <c r="AT4" s="22" t="str">
        <f t="shared" si="28"/>
        <v>#DIV/0!</v>
      </c>
      <c r="AU4" s="20" t="s">
        <v>15</v>
      </c>
      <c r="AV4" s="21">
        <f t="shared" si="29"/>
        <v>0</v>
      </c>
      <c r="AW4" s="22" t="str">
        <f t="shared" si="30"/>
        <v>#DIV/0!</v>
      </c>
      <c r="AX4" s="20" t="s">
        <v>15</v>
      </c>
      <c r="AY4" s="21">
        <f t="shared" si="31"/>
        <v>0</v>
      </c>
      <c r="AZ4" s="22" t="str">
        <f t="shared" si="32"/>
        <v>#DIV/0!</v>
      </c>
      <c r="BA4" s="20" t="s">
        <v>15</v>
      </c>
      <c r="BB4" s="21">
        <f t="shared" si="33"/>
        <v>0</v>
      </c>
      <c r="BC4" s="22" t="str">
        <f t="shared" si="34"/>
        <v>#DIV/0!</v>
      </c>
      <c r="BD4" s="20" t="s">
        <v>15</v>
      </c>
      <c r="BE4" s="21">
        <f t="shared" si="35"/>
        <v>0</v>
      </c>
      <c r="BF4" s="22" t="str">
        <f t="shared" si="36"/>
        <v>#DIV/0!</v>
      </c>
      <c r="BG4" s="20" t="s">
        <v>15</v>
      </c>
      <c r="BH4" s="21">
        <f t="shared" si="37"/>
        <v>0</v>
      </c>
      <c r="BI4" s="22" t="str">
        <f t="shared" si="38"/>
        <v>#DIV/0!</v>
      </c>
      <c r="BJ4" s="20" t="s">
        <v>15</v>
      </c>
      <c r="BK4" s="21">
        <f t="shared" si="39"/>
        <v>0</v>
      </c>
      <c r="BL4" s="22" t="str">
        <f t="shared" si="40"/>
        <v>#DIV/0!</v>
      </c>
      <c r="BM4" s="20" t="s">
        <v>15</v>
      </c>
      <c r="BN4" s="21">
        <f t="shared" si="41"/>
        <v>0</v>
      </c>
      <c r="BO4" s="22" t="str">
        <f t="shared" si="42"/>
        <v>#DIV/0!</v>
      </c>
      <c r="BP4" s="20" t="s">
        <v>15</v>
      </c>
      <c r="BQ4" s="21">
        <f t="shared" si="43"/>
        <v>0</v>
      </c>
      <c r="BR4" s="22" t="str">
        <f t="shared" si="44"/>
        <v>#DIV/0!</v>
      </c>
      <c r="BS4" s="20" t="s">
        <v>15</v>
      </c>
      <c r="BT4" s="21">
        <f t="shared" si="45"/>
        <v>0</v>
      </c>
      <c r="BU4" s="22" t="str">
        <f t="shared" si="46"/>
        <v>#DIV/0!</v>
      </c>
      <c r="BV4" s="20" t="s">
        <v>15</v>
      </c>
      <c r="BW4" s="21">
        <f t="shared" si="47"/>
        <v>0</v>
      </c>
      <c r="BX4" s="22" t="str">
        <f t="shared" si="48"/>
        <v>#DIV/0!</v>
      </c>
      <c r="BY4" s="20" t="s">
        <v>15</v>
      </c>
      <c r="BZ4" s="21">
        <f t="shared" si="49"/>
        <v>0</v>
      </c>
      <c r="CA4" s="22" t="str">
        <f t="shared" si="50"/>
        <v>#DIV/0!</v>
      </c>
      <c r="CB4" s="20" t="s">
        <v>15</v>
      </c>
      <c r="CC4" s="21">
        <f t="shared" si="51"/>
        <v>0</v>
      </c>
      <c r="CD4" s="22" t="str">
        <f t="shared" si="52"/>
        <v>#DIV/0!</v>
      </c>
      <c r="CE4" s="20" t="s">
        <v>15</v>
      </c>
      <c r="CF4" s="21">
        <f t="shared" si="53"/>
        <v>0</v>
      </c>
      <c r="CG4" s="22" t="str">
        <f t="shared" si="54"/>
        <v>#DIV/0!</v>
      </c>
      <c r="CH4" s="20" t="s">
        <v>15</v>
      </c>
      <c r="CI4" s="21">
        <f t="shared" si="55"/>
        <v>0</v>
      </c>
      <c r="CJ4" s="22" t="str">
        <f t="shared" si="56"/>
        <v>#DIV/0!</v>
      </c>
      <c r="CK4" s="20" t="s">
        <v>15</v>
      </c>
      <c r="CL4" s="21">
        <f t="shared" si="57"/>
        <v>0</v>
      </c>
      <c r="CM4" s="22" t="str">
        <f t="shared" si="58"/>
        <v>#DIV/0!</v>
      </c>
      <c r="CN4" s="20" t="s">
        <v>15</v>
      </c>
      <c r="CO4" s="21">
        <f t="shared" si="59"/>
        <v>0</v>
      </c>
      <c r="CP4" s="22" t="str">
        <f t="shared" si="60"/>
        <v>#DIV/0!</v>
      </c>
      <c r="CQ4" s="20" t="s">
        <v>15</v>
      </c>
      <c r="CR4" s="21">
        <f t="shared" si="61"/>
        <v>0</v>
      </c>
      <c r="CS4" s="22" t="str">
        <f t="shared" si="62"/>
        <v>#DIV/0!</v>
      </c>
      <c r="CT4" s="6"/>
      <c r="CU4" s="6"/>
      <c r="CV4" s="6"/>
      <c r="CW4" s="6"/>
      <c r="CX4" s="6"/>
      <c r="CY4" s="6"/>
      <c r="CZ4" s="6"/>
      <c r="DA4" s="6"/>
      <c r="DB4" s="6"/>
      <c r="DC4" s="6"/>
      <c r="DD4" s="6"/>
      <c r="DE4" s="6"/>
      <c r="DF4" s="6"/>
    </row>
    <row r="5">
      <c r="A5" s="23"/>
      <c r="B5" s="19"/>
      <c r="C5" s="14"/>
      <c r="D5" s="14"/>
      <c r="E5" s="20" t="s">
        <v>16</v>
      </c>
      <c r="F5" s="21">
        <f t="shared" si="1"/>
        <v>0</v>
      </c>
      <c r="G5" s="22">
        <f t="shared" si="2"/>
        <v>0</v>
      </c>
      <c r="H5" s="20" t="s">
        <v>16</v>
      </c>
      <c r="I5" s="21">
        <f t="shared" si="3"/>
        <v>0</v>
      </c>
      <c r="J5" s="22">
        <f t="shared" si="4"/>
        <v>0</v>
      </c>
      <c r="K5" s="20" t="s">
        <v>16</v>
      </c>
      <c r="L5" s="21">
        <f t="shared" si="5"/>
        <v>2</v>
      </c>
      <c r="M5" s="22">
        <f t="shared" si="6"/>
        <v>0.3333333333</v>
      </c>
      <c r="N5" s="20" t="s">
        <v>16</v>
      </c>
      <c r="O5" s="21">
        <f t="shared" si="7"/>
        <v>1</v>
      </c>
      <c r="P5" s="22">
        <f t="shared" si="8"/>
        <v>0.1428571429</v>
      </c>
      <c r="Q5" s="20" t="s">
        <v>16</v>
      </c>
      <c r="R5" s="21">
        <f t="shared" si="9"/>
        <v>0</v>
      </c>
      <c r="S5" s="22">
        <f t="shared" si="10"/>
        <v>0</v>
      </c>
      <c r="T5" s="20" t="s">
        <v>16</v>
      </c>
      <c r="U5" s="21">
        <f t="shared" si="11"/>
        <v>0</v>
      </c>
      <c r="V5" s="22">
        <f t="shared" si="12"/>
        <v>0</v>
      </c>
      <c r="W5" s="20" t="s">
        <v>16</v>
      </c>
      <c r="X5" s="21">
        <f t="shared" si="13"/>
        <v>3</v>
      </c>
      <c r="Y5" s="22">
        <f t="shared" si="14"/>
        <v>0.2727272727</v>
      </c>
      <c r="Z5" s="20" t="s">
        <v>16</v>
      </c>
      <c r="AA5" s="21">
        <f t="shared" si="15"/>
        <v>3</v>
      </c>
      <c r="AB5" s="22">
        <f t="shared" si="16"/>
        <v>0.6</v>
      </c>
      <c r="AC5" s="20" t="s">
        <v>16</v>
      </c>
      <c r="AD5" s="21">
        <f t="shared" si="17"/>
        <v>0</v>
      </c>
      <c r="AE5" s="22">
        <f t="shared" si="18"/>
        <v>0</v>
      </c>
      <c r="AF5" s="20" t="s">
        <v>16</v>
      </c>
      <c r="AG5" s="21">
        <f t="shared" si="19"/>
        <v>1</v>
      </c>
      <c r="AH5" s="22">
        <f t="shared" si="20"/>
        <v>1</v>
      </c>
      <c r="AI5" s="20" t="s">
        <v>16</v>
      </c>
      <c r="AJ5" s="21">
        <f t="shared" si="21"/>
        <v>0</v>
      </c>
      <c r="AK5" s="22">
        <f t="shared" si="22"/>
        <v>0</v>
      </c>
      <c r="AL5" s="20" t="s">
        <v>16</v>
      </c>
      <c r="AM5" s="21">
        <f t="shared" si="23"/>
        <v>0</v>
      </c>
      <c r="AN5" s="22" t="str">
        <f t="shared" si="24"/>
        <v>#DIV/0!</v>
      </c>
      <c r="AO5" s="20" t="s">
        <v>16</v>
      </c>
      <c r="AP5" s="21">
        <f t="shared" si="25"/>
        <v>0</v>
      </c>
      <c r="AQ5" s="22" t="str">
        <f t="shared" si="26"/>
        <v>#DIV/0!</v>
      </c>
      <c r="AR5" s="20" t="s">
        <v>16</v>
      </c>
      <c r="AS5" s="21">
        <f t="shared" si="27"/>
        <v>0</v>
      </c>
      <c r="AT5" s="22" t="str">
        <f t="shared" si="28"/>
        <v>#DIV/0!</v>
      </c>
      <c r="AU5" s="20" t="s">
        <v>16</v>
      </c>
      <c r="AV5" s="21">
        <f t="shared" si="29"/>
        <v>0</v>
      </c>
      <c r="AW5" s="22" t="str">
        <f t="shared" si="30"/>
        <v>#DIV/0!</v>
      </c>
      <c r="AX5" s="20" t="s">
        <v>16</v>
      </c>
      <c r="AY5" s="21">
        <f t="shared" si="31"/>
        <v>0</v>
      </c>
      <c r="AZ5" s="22" t="str">
        <f t="shared" si="32"/>
        <v>#DIV/0!</v>
      </c>
      <c r="BA5" s="20" t="s">
        <v>16</v>
      </c>
      <c r="BB5" s="21">
        <f t="shared" si="33"/>
        <v>0</v>
      </c>
      <c r="BC5" s="22" t="str">
        <f t="shared" si="34"/>
        <v>#DIV/0!</v>
      </c>
      <c r="BD5" s="20" t="s">
        <v>16</v>
      </c>
      <c r="BE5" s="21">
        <f t="shared" si="35"/>
        <v>0</v>
      </c>
      <c r="BF5" s="22" t="str">
        <f t="shared" si="36"/>
        <v>#DIV/0!</v>
      </c>
      <c r="BG5" s="20" t="s">
        <v>16</v>
      </c>
      <c r="BH5" s="21">
        <f t="shared" si="37"/>
        <v>0</v>
      </c>
      <c r="BI5" s="22" t="str">
        <f t="shared" si="38"/>
        <v>#DIV/0!</v>
      </c>
      <c r="BJ5" s="20" t="s">
        <v>16</v>
      </c>
      <c r="BK5" s="21">
        <f t="shared" si="39"/>
        <v>0</v>
      </c>
      <c r="BL5" s="22" t="str">
        <f t="shared" si="40"/>
        <v>#DIV/0!</v>
      </c>
      <c r="BM5" s="20" t="s">
        <v>16</v>
      </c>
      <c r="BN5" s="21">
        <f t="shared" si="41"/>
        <v>0</v>
      </c>
      <c r="BO5" s="22" t="str">
        <f t="shared" si="42"/>
        <v>#DIV/0!</v>
      </c>
      <c r="BP5" s="20" t="s">
        <v>16</v>
      </c>
      <c r="BQ5" s="21">
        <f t="shared" si="43"/>
        <v>0</v>
      </c>
      <c r="BR5" s="22" t="str">
        <f t="shared" si="44"/>
        <v>#DIV/0!</v>
      </c>
      <c r="BS5" s="20" t="s">
        <v>16</v>
      </c>
      <c r="BT5" s="21">
        <f t="shared" si="45"/>
        <v>0</v>
      </c>
      <c r="BU5" s="22" t="str">
        <f t="shared" si="46"/>
        <v>#DIV/0!</v>
      </c>
      <c r="BV5" s="20" t="s">
        <v>16</v>
      </c>
      <c r="BW5" s="21">
        <f t="shared" si="47"/>
        <v>0</v>
      </c>
      <c r="BX5" s="22" t="str">
        <f t="shared" si="48"/>
        <v>#DIV/0!</v>
      </c>
      <c r="BY5" s="20" t="s">
        <v>16</v>
      </c>
      <c r="BZ5" s="21">
        <f t="shared" si="49"/>
        <v>0</v>
      </c>
      <c r="CA5" s="22" t="str">
        <f t="shared" si="50"/>
        <v>#DIV/0!</v>
      </c>
      <c r="CB5" s="20" t="s">
        <v>16</v>
      </c>
      <c r="CC5" s="21">
        <f t="shared" si="51"/>
        <v>0</v>
      </c>
      <c r="CD5" s="22" t="str">
        <f t="shared" si="52"/>
        <v>#DIV/0!</v>
      </c>
      <c r="CE5" s="20" t="s">
        <v>16</v>
      </c>
      <c r="CF5" s="21">
        <f t="shared" si="53"/>
        <v>0</v>
      </c>
      <c r="CG5" s="22" t="str">
        <f t="shared" si="54"/>
        <v>#DIV/0!</v>
      </c>
      <c r="CH5" s="20" t="s">
        <v>16</v>
      </c>
      <c r="CI5" s="21">
        <f t="shared" si="55"/>
        <v>0</v>
      </c>
      <c r="CJ5" s="22" t="str">
        <f t="shared" si="56"/>
        <v>#DIV/0!</v>
      </c>
      <c r="CK5" s="20" t="s">
        <v>16</v>
      </c>
      <c r="CL5" s="21">
        <f t="shared" si="57"/>
        <v>0</v>
      </c>
      <c r="CM5" s="22" t="str">
        <f t="shared" si="58"/>
        <v>#DIV/0!</v>
      </c>
      <c r="CN5" s="20" t="s">
        <v>16</v>
      </c>
      <c r="CO5" s="21">
        <f t="shared" si="59"/>
        <v>0</v>
      </c>
      <c r="CP5" s="22" t="str">
        <f t="shared" si="60"/>
        <v>#DIV/0!</v>
      </c>
      <c r="CQ5" s="20" t="s">
        <v>16</v>
      </c>
      <c r="CR5" s="21">
        <f t="shared" si="61"/>
        <v>0</v>
      </c>
      <c r="CS5" s="22" t="str">
        <f t="shared" si="62"/>
        <v>#DIV/0!</v>
      </c>
      <c r="CT5" s="6"/>
      <c r="CU5" s="6"/>
      <c r="CV5" s="6"/>
      <c r="CW5" s="6"/>
      <c r="CX5" s="6"/>
      <c r="CY5" s="6"/>
      <c r="CZ5" s="6"/>
      <c r="DA5" s="6"/>
      <c r="DB5" s="6"/>
      <c r="DC5" s="6"/>
      <c r="DD5" s="6"/>
      <c r="DE5" s="6"/>
      <c r="DF5" s="6"/>
    </row>
    <row r="6">
      <c r="A6" s="14"/>
      <c r="B6" s="19"/>
      <c r="C6" s="14"/>
      <c r="D6" s="14"/>
      <c r="E6" s="20" t="s">
        <v>17</v>
      </c>
      <c r="F6" s="21">
        <f t="shared" si="1"/>
        <v>1</v>
      </c>
      <c r="G6" s="22">
        <f t="shared" si="2"/>
        <v>0.1111111111</v>
      </c>
      <c r="H6" s="20" t="s">
        <v>17</v>
      </c>
      <c r="I6" s="21">
        <f t="shared" si="3"/>
        <v>1</v>
      </c>
      <c r="J6" s="22">
        <f t="shared" si="4"/>
        <v>0.5</v>
      </c>
      <c r="K6" s="20" t="s">
        <v>17</v>
      </c>
      <c r="L6" s="21">
        <f t="shared" si="5"/>
        <v>3</v>
      </c>
      <c r="M6" s="22">
        <f t="shared" si="6"/>
        <v>0.5</v>
      </c>
      <c r="N6" s="20" t="s">
        <v>17</v>
      </c>
      <c r="O6" s="21">
        <f t="shared" si="7"/>
        <v>1</v>
      </c>
      <c r="P6" s="22">
        <f t="shared" si="8"/>
        <v>0.1428571429</v>
      </c>
      <c r="Q6" s="20" t="s">
        <v>17</v>
      </c>
      <c r="R6" s="21">
        <f t="shared" si="9"/>
        <v>2</v>
      </c>
      <c r="S6" s="22">
        <f t="shared" si="10"/>
        <v>1</v>
      </c>
      <c r="T6" s="20" t="s">
        <v>17</v>
      </c>
      <c r="U6" s="21">
        <f t="shared" si="11"/>
        <v>5</v>
      </c>
      <c r="V6" s="22">
        <f t="shared" si="12"/>
        <v>0.7142857143</v>
      </c>
      <c r="W6" s="20" t="s">
        <v>17</v>
      </c>
      <c r="X6" s="21">
        <f t="shared" si="13"/>
        <v>6</v>
      </c>
      <c r="Y6" s="22">
        <f t="shared" si="14"/>
        <v>0.5454545455</v>
      </c>
      <c r="Z6" s="20" t="s">
        <v>17</v>
      </c>
      <c r="AA6" s="21">
        <f t="shared" si="15"/>
        <v>0</v>
      </c>
      <c r="AB6" s="22">
        <f t="shared" si="16"/>
        <v>0</v>
      </c>
      <c r="AC6" s="20" t="s">
        <v>17</v>
      </c>
      <c r="AD6" s="21">
        <f t="shared" si="17"/>
        <v>0</v>
      </c>
      <c r="AE6" s="22">
        <f t="shared" si="18"/>
        <v>0</v>
      </c>
      <c r="AF6" s="20" t="s">
        <v>17</v>
      </c>
      <c r="AG6" s="21">
        <f t="shared" si="19"/>
        <v>0</v>
      </c>
      <c r="AH6" s="22">
        <f t="shared" si="20"/>
        <v>0</v>
      </c>
      <c r="AI6" s="20" t="s">
        <v>17</v>
      </c>
      <c r="AJ6" s="21">
        <f t="shared" si="21"/>
        <v>0</v>
      </c>
      <c r="AK6" s="22">
        <f t="shared" si="22"/>
        <v>0</v>
      </c>
      <c r="AL6" s="20" t="s">
        <v>17</v>
      </c>
      <c r="AM6" s="21">
        <f t="shared" si="23"/>
        <v>0</v>
      </c>
      <c r="AN6" s="22" t="str">
        <f t="shared" si="24"/>
        <v>#DIV/0!</v>
      </c>
      <c r="AO6" s="20" t="s">
        <v>17</v>
      </c>
      <c r="AP6" s="21">
        <f t="shared" si="25"/>
        <v>0</v>
      </c>
      <c r="AQ6" s="22" t="str">
        <f t="shared" si="26"/>
        <v>#DIV/0!</v>
      </c>
      <c r="AR6" s="20" t="s">
        <v>17</v>
      </c>
      <c r="AS6" s="21">
        <f t="shared" si="27"/>
        <v>0</v>
      </c>
      <c r="AT6" s="22" t="str">
        <f t="shared" si="28"/>
        <v>#DIV/0!</v>
      </c>
      <c r="AU6" s="20" t="s">
        <v>17</v>
      </c>
      <c r="AV6" s="21">
        <f t="shared" si="29"/>
        <v>0</v>
      </c>
      <c r="AW6" s="22" t="str">
        <f t="shared" si="30"/>
        <v>#DIV/0!</v>
      </c>
      <c r="AX6" s="20" t="s">
        <v>17</v>
      </c>
      <c r="AY6" s="21">
        <f t="shared" si="31"/>
        <v>0</v>
      </c>
      <c r="AZ6" s="22" t="str">
        <f t="shared" si="32"/>
        <v>#DIV/0!</v>
      </c>
      <c r="BA6" s="20" t="s">
        <v>17</v>
      </c>
      <c r="BB6" s="21">
        <f t="shared" si="33"/>
        <v>0</v>
      </c>
      <c r="BC6" s="22" t="str">
        <f t="shared" si="34"/>
        <v>#DIV/0!</v>
      </c>
      <c r="BD6" s="20" t="s">
        <v>17</v>
      </c>
      <c r="BE6" s="21">
        <f t="shared" si="35"/>
        <v>0</v>
      </c>
      <c r="BF6" s="22" t="str">
        <f t="shared" si="36"/>
        <v>#DIV/0!</v>
      </c>
      <c r="BG6" s="20" t="s">
        <v>17</v>
      </c>
      <c r="BH6" s="21">
        <f t="shared" si="37"/>
        <v>0</v>
      </c>
      <c r="BI6" s="22" t="str">
        <f t="shared" si="38"/>
        <v>#DIV/0!</v>
      </c>
      <c r="BJ6" s="20" t="s">
        <v>17</v>
      </c>
      <c r="BK6" s="21">
        <f t="shared" si="39"/>
        <v>0</v>
      </c>
      <c r="BL6" s="22" t="str">
        <f t="shared" si="40"/>
        <v>#DIV/0!</v>
      </c>
      <c r="BM6" s="20" t="s">
        <v>17</v>
      </c>
      <c r="BN6" s="21">
        <f t="shared" si="41"/>
        <v>0</v>
      </c>
      <c r="BO6" s="22" t="str">
        <f t="shared" si="42"/>
        <v>#DIV/0!</v>
      </c>
      <c r="BP6" s="20" t="s">
        <v>17</v>
      </c>
      <c r="BQ6" s="21">
        <f t="shared" si="43"/>
        <v>0</v>
      </c>
      <c r="BR6" s="22" t="str">
        <f t="shared" si="44"/>
        <v>#DIV/0!</v>
      </c>
      <c r="BS6" s="20" t="s">
        <v>17</v>
      </c>
      <c r="BT6" s="21">
        <f t="shared" si="45"/>
        <v>0</v>
      </c>
      <c r="BU6" s="22" t="str">
        <f t="shared" si="46"/>
        <v>#DIV/0!</v>
      </c>
      <c r="BV6" s="20" t="s">
        <v>17</v>
      </c>
      <c r="BW6" s="21">
        <f t="shared" si="47"/>
        <v>0</v>
      </c>
      <c r="BX6" s="22" t="str">
        <f t="shared" si="48"/>
        <v>#DIV/0!</v>
      </c>
      <c r="BY6" s="20" t="s">
        <v>17</v>
      </c>
      <c r="BZ6" s="21">
        <f t="shared" si="49"/>
        <v>0</v>
      </c>
      <c r="CA6" s="22" t="str">
        <f t="shared" si="50"/>
        <v>#DIV/0!</v>
      </c>
      <c r="CB6" s="20" t="s">
        <v>17</v>
      </c>
      <c r="CC6" s="21">
        <f t="shared" si="51"/>
        <v>0</v>
      </c>
      <c r="CD6" s="22" t="str">
        <f t="shared" si="52"/>
        <v>#DIV/0!</v>
      </c>
      <c r="CE6" s="20" t="s">
        <v>17</v>
      </c>
      <c r="CF6" s="21">
        <f t="shared" si="53"/>
        <v>0</v>
      </c>
      <c r="CG6" s="22" t="str">
        <f t="shared" si="54"/>
        <v>#DIV/0!</v>
      </c>
      <c r="CH6" s="20" t="s">
        <v>17</v>
      </c>
      <c r="CI6" s="21">
        <f t="shared" si="55"/>
        <v>0</v>
      </c>
      <c r="CJ6" s="22" t="str">
        <f t="shared" si="56"/>
        <v>#DIV/0!</v>
      </c>
      <c r="CK6" s="20" t="s">
        <v>17</v>
      </c>
      <c r="CL6" s="21">
        <f t="shared" si="57"/>
        <v>0</v>
      </c>
      <c r="CM6" s="22" t="str">
        <f t="shared" si="58"/>
        <v>#DIV/0!</v>
      </c>
      <c r="CN6" s="20" t="s">
        <v>17</v>
      </c>
      <c r="CO6" s="21">
        <f t="shared" si="59"/>
        <v>0</v>
      </c>
      <c r="CP6" s="22" t="str">
        <f t="shared" si="60"/>
        <v>#DIV/0!</v>
      </c>
      <c r="CQ6" s="20" t="s">
        <v>17</v>
      </c>
      <c r="CR6" s="21">
        <f t="shared" si="61"/>
        <v>0</v>
      </c>
      <c r="CS6" s="22" t="str">
        <f t="shared" si="62"/>
        <v>#DIV/0!</v>
      </c>
      <c r="CT6" s="6"/>
      <c r="CU6" s="6"/>
      <c r="CV6" s="6"/>
      <c r="CW6" s="6"/>
      <c r="CX6" s="6"/>
      <c r="CY6" s="6"/>
      <c r="CZ6" s="6"/>
      <c r="DA6" s="6"/>
      <c r="DB6" s="6"/>
      <c r="DC6" s="6"/>
      <c r="DD6" s="6"/>
      <c r="DE6" s="6"/>
      <c r="DF6" s="6"/>
    </row>
    <row r="7">
      <c r="A7" s="14"/>
      <c r="B7" s="19"/>
      <c r="C7" s="14"/>
      <c r="D7" s="14"/>
      <c r="E7" s="20" t="s">
        <v>18</v>
      </c>
      <c r="F7" s="21">
        <f t="shared" si="1"/>
        <v>6</v>
      </c>
      <c r="G7" s="22">
        <f t="shared" si="2"/>
        <v>0.6666666667</v>
      </c>
      <c r="H7" s="20" t="s">
        <v>18</v>
      </c>
      <c r="I7" s="21">
        <f t="shared" si="3"/>
        <v>1</v>
      </c>
      <c r="J7" s="22">
        <f t="shared" si="4"/>
        <v>0.5</v>
      </c>
      <c r="K7" s="20" t="s">
        <v>18</v>
      </c>
      <c r="L7" s="21">
        <f t="shared" si="5"/>
        <v>1</v>
      </c>
      <c r="M7" s="22">
        <f t="shared" si="6"/>
        <v>0.1666666667</v>
      </c>
      <c r="N7" s="20" t="s">
        <v>18</v>
      </c>
      <c r="O7" s="21">
        <f t="shared" si="7"/>
        <v>5</v>
      </c>
      <c r="P7" s="22">
        <f t="shared" si="8"/>
        <v>0.7142857143</v>
      </c>
      <c r="Q7" s="20" t="s">
        <v>18</v>
      </c>
      <c r="R7" s="21">
        <f t="shared" si="9"/>
        <v>0</v>
      </c>
      <c r="S7" s="22">
        <f t="shared" si="10"/>
        <v>0</v>
      </c>
      <c r="T7" s="20" t="s">
        <v>18</v>
      </c>
      <c r="U7" s="21">
        <f t="shared" si="11"/>
        <v>0</v>
      </c>
      <c r="V7" s="22">
        <f t="shared" si="12"/>
        <v>0</v>
      </c>
      <c r="W7" s="20" t="s">
        <v>18</v>
      </c>
      <c r="X7" s="21">
        <f t="shared" si="13"/>
        <v>1</v>
      </c>
      <c r="Y7" s="22">
        <f t="shared" si="14"/>
        <v>0.09090909091</v>
      </c>
      <c r="Z7" s="20" t="s">
        <v>18</v>
      </c>
      <c r="AA7" s="21">
        <f t="shared" si="15"/>
        <v>1</v>
      </c>
      <c r="AB7" s="22">
        <f t="shared" si="16"/>
        <v>0.2</v>
      </c>
      <c r="AC7" s="20" t="s">
        <v>18</v>
      </c>
      <c r="AD7" s="21">
        <f t="shared" si="17"/>
        <v>1</v>
      </c>
      <c r="AE7" s="22">
        <f t="shared" si="18"/>
        <v>1</v>
      </c>
      <c r="AF7" s="20" t="s">
        <v>18</v>
      </c>
      <c r="AG7" s="21">
        <f t="shared" si="19"/>
        <v>0</v>
      </c>
      <c r="AH7" s="22">
        <f t="shared" si="20"/>
        <v>0</v>
      </c>
      <c r="AI7" s="20" t="s">
        <v>18</v>
      </c>
      <c r="AJ7" s="21">
        <f t="shared" si="21"/>
        <v>2</v>
      </c>
      <c r="AK7" s="22">
        <f t="shared" si="22"/>
        <v>1</v>
      </c>
      <c r="AL7" s="20" t="s">
        <v>18</v>
      </c>
      <c r="AM7" s="21">
        <f t="shared" si="23"/>
        <v>0</v>
      </c>
      <c r="AN7" s="22" t="str">
        <f t="shared" si="24"/>
        <v>#DIV/0!</v>
      </c>
      <c r="AO7" s="20" t="s">
        <v>18</v>
      </c>
      <c r="AP7" s="21">
        <f t="shared" si="25"/>
        <v>0</v>
      </c>
      <c r="AQ7" s="22" t="str">
        <f t="shared" si="26"/>
        <v>#DIV/0!</v>
      </c>
      <c r="AR7" s="20" t="s">
        <v>18</v>
      </c>
      <c r="AS7" s="21">
        <f t="shared" si="27"/>
        <v>0</v>
      </c>
      <c r="AT7" s="22" t="str">
        <f t="shared" si="28"/>
        <v>#DIV/0!</v>
      </c>
      <c r="AU7" s="20" t="s">
        <v>18</v>
      </c>
      <c r="AV7" s="21">
        <f t="shared" si="29"/>
        <v>0</v>
      </c>
      <c r="AW7" s="22" t="str">
        <f t="shared" si="30"/>
        <v>#DIV/0!</v>
      </c>
      <c r="AX7" s="20" t="s">
        <v>18</v>
      </c>
      <c r="AY7" s="21">
        <f t="shared" si="31"/>
        <v>0</v>
      </c>
      <c r="AZ7" s="22" t="str">
        <f t="shared" si="32"/>
        <v>#DIV/0!</v>
      </c>
      <c r="BA7" s="20" t="s">
        <v>18</v>
      </c>
      <c r="BB7" s="21">
        <f t="shared" si="33"/>
        <v>0</v>
      </c>
      <c r="BC7" s="22" t="str">
        <f t="shared" si="34"/>
        <v>#DIV/0!</v>
      </c>
      <c r="BD7" s="20" t="s">
        <v>18</v>
      </c>
      <c r="BE7" s="21">
        <f t="shared" si="35"/>
        <v>0</v>
      </c>
      <c r="BF7" s="22" t="str">
        <f t="shared" si="36"/>
        <v>#DIV/0!</v>
      </c>
      <c r="BG7" s="20" t="s">
        <v>18</v>
      </c>
      <c r="BH7" s="21">
        <f t="shared" si="37"/>
        <v>0</v>
      </c>
      <c r="BI7" s="22" t="str">
        <f t="shared" si="38"/>
        <v>#DIV/0!</v>
      </c>
      <c r="BJ7" s="20" t="s">
        <v>18</v>
      </c>
      <c r="BK7" s="21">
        <f t="shared" si="39"/>
        <v>0</v>
      </c>
      <c r="BL7" s="22" t="str">
        <f t="shared" si="40"/>
        <v>#DIV/0!</v>
      </c>
      <c r="BM7" s="20" t="s">
        <v>18</v>
      </c>
      <c r="BN7" s="21">
        <f t="shared" si="41"/>
        <v>0</v>
      </c>
      <c r="BO7" s="22" t="str">
        <f t="shared" si="42"/>
        <v>#DIV/0!</v>
      </c>
      <c r="BP7" s="20" t="s">
        <v>18</v>
      </c>
      <c r="BQ7" s="21">
        <f t="shared" si="43"/>
        <v>0</v>
      </c>
      <c r="BR7" s="22" t="str">
        <f t="shared" si="44"/>
        <v>#DIV/0!</v>
      </c>
      <c r="BS7" s="20" t="s">
        <v>18</v>
      </c>
      <c r="BT7" s="21">
        <f t="shared" si="45"/>
        <v>0</v>
      </c>
      <c r="BU7" s="22" t="str">
        <f t="shared" si="46"/>
        <v>#DIV/0!</v>
      </c>
      <c r="BV7" s="20" t="s">
        <v>18</v>
      </c>
      <c r="BW7" s="21">
        <f t="shared" si="47"/>
        <v>0</v>
      </c>
      <c r="BX7" s="22" t="str">
        <f t="shared" si="48"/>
        <v>#DIV/0!</v>
      </c>
      <c r="BY7" s="20" t="s">
        <v>18</v>
      </c>
      <c r="BZ7" s="21">
        <f t="shared" si="49"/>
        <v>0</v>
      </c>
      <c r="CA7" s="22" t="str">
        <f t="shared" si="50"/>
        <v>#DIV/0!</v>
      </c>
      <c r="CB7" s="20" t="s">
        <v>18</v>
      </c>
      <c r="CC7" s="21">
        <f t="shared" si="51"/>
        <v>0</v>
      </c>
      <c r="CD7" s="22" t="str">
        <f t="shared" si="52"/>
        <v>#DIV/0!</v>
      </c>
      <c r="CE7" s="20" t="s">
        <v>18</v>
      </c>
      <c r="CF7" s="21">
        <f t="shared" si="53"/>
        <v>0</v>
      </c>
      <c r="CG7" s="22" t="str">
        <f t="shared" si="54"/>
        <v>#DIV/0!</v>
      </c>
      <c r="CH7" s="20" t="s">
        <v>18</v>
      </c>
      <c r="CI7" s="21">
        <f t="shared" si="55"/>
        <v>0</v>
      </c>
      <c r="CJ7" s="22" t="str">
        <f t="shared" si="56"/>
        <v>#DIV/0!</v>
      </c>
      <c r="CK7" s="20" t="s">
        <v>18</v>
      </c>
      <c r="CL7" s="21">
        <f t="shared" si="57"/>
        <v>0</v>
      </c>
      <c r="CM7" s="22" t="str">
        <f t="shared" si="58"/>
        <v>#DIV/0!</v>
      </c>
      <c r="CN7" s="20" t="s">
        <v>18</v>
      </c>
      <c r="CO7" s="21">
        <f t="shared" si="59"/>
        <v>0</v>
      </c>
      <c r="CP7" s="22" t="str">
        <f t="shared" si="60"/>
        <v>#DIV/0!</v>
      </c>
      <c r="CQ7" s="20" t="s">
        <v>18</v>
      </c>
      <c r="CR7" s="21">
        <f t="shared" si="61"/>
        <v>0</v>
      </c>
      <c r="CS7" s="22" t="str">
        <f t="shared" si="62"/>
        <v>#DIV/0!</v>
      </c>
      <c r="CT7" s="6"/>
      <c r="CU7" s="6"/>
      <c r="CV7" s="6"/>
      <c r="CW7" s="6"/>
      <c r="CX7" s="6"/>
      <c r="CY7" s="6"/>
      <c r="CZ7" s="6"/>
      <c r="DA7" s="6"/>
      <c r="DB7" s="6"/>
      <c r="DC7" s="6"/>
      <c r="DD7" s="6"/>
      <c r="DE7" s="6"/>
      <c r="DF7" s="6"/>
    </row>
    <row r="8">
      <c r="A8" s="14"/>
      <c r="B8" s="19"/>
      <c r="C8" s="14"/>
      <c r="D8" s="14"/>
      <c r="E8" s="24" t="s">
        <v>13</v>
      </c>
      <c r="F8" s="5">
        <f>SUM(F3:F7)</f>
        <v>9</v>
      </c>
      <c r="G8" s="25">
        <f>SUM(G6:G7)</f>
        <v>0.7777777778</v>
      </c>
      <c r="H8" s="24" t="s">
        <v>13</v>
      </c>
      <c r="I8" s="5">
        <f>SUM(I3:I7)</f>
        <v>2</v>
      </c>
      <c r="J8" s="25">
        <f>SUM(J6:J7)</f>
        <v>1</v>
      </c>
      <c r="K8" s="24" t="s">
        <v>13</v>
      </c>
      <c r="L8" s="5">
        <f>SUM(L3:L7)</f>
        <v>6</v>
      </c>
      <c r="M8" s="25">
        <f>SUM(M6:M7)</f>
        <v>0.6666666667</v>
      </c>
      <c r="N8" s="24" t="s">
        <v>13</v>
      </c>
      <c r="O8" s="5">
        <f>SUM(O3:O7)</f>
        <v>7</v>
      </c>
      <c r="P8" s="25">
        <f>SUM(P6:P7)</f>
        <v>0.8571428571</v>
      </c>
      <c r="Q8" s="24" t="s">
        <v>13</v>
      </c>
      <c r="R8" s="5">
        <f>SUM(R3:R7)</f>
        <v>2</v>
      </c>
      <c r="S8" s="25">
        <f>SUM(S6:S7)</f>
        <v>1</v>
      </c>
      <c r="T8" s="24" t="s">
        <v>13</v>
      </c>
      <c r="U8" s="5">
        <f>SUM(U3:U7)</f>
        <v>7</v>
      </c>
      <c r="V8" s="25">
        <f>SUM(V6:V7)</f>
        <v>0.7142857143</v>
      </c>
      <c r="W8" s="24" t="s">
        <v>13</v>
      </c>
      <c r="X8" s="5">
        <f>SUM(X3:X7)</f>
        <v>11</v>
      </c>
      <c r="Y8" s="25">
        <f>SUM(Y6:Y7)</f>
        <v>0.6363636364</v>
      </c>
      <c r="Z8" s="24" t="s">
        <v>13</v>
      </c>
      <c r="AA8" s="5">
        <f>SUM(AA3:AA7)</f>
        <v>5</v>
      </c>
      <c r="AB8" s="25">
        <f>SUM(AB6:AB7)</f>
        <v>0.2</v>
      </c>
      <c r="AC8" s="24" t="s">
        <v>13</v>
      </c>
      <c r="AD8" s="5">
        <f>SUM(AD3:AD7)</f>
        <v>1</v>
      </c>
      <c r="AE8" s="25">
        <f>SUM(AE6:AE7)</f>
        <v>1</v>
      </c>
      <c r="AF8" s="24" t="s">
        <v>13</v>
      </c>
      <c r="AG8" s="5">
        <f>SUM(AG3:AG7)</f>
        <v>1</v>
      </c>
      <c r="AH8" s="25">
        <f>SUM(AH6:AH7)</f>
        <v>0</v>
      </c>
      <c r="AI8" s="24" t="s">
        <v>13</v>
      </c>
      <c r="AJ8" s="5">
        <f>SUM(AJ3:AJ7)</f>
        <v>2</v>
      </c>
      <c r="AK8" s="25">
        <f>SUM(AK6:AK7)</f>
        <v>1</v>
      </c>
      <c r="AL8" s="24" t="s">
        <v>13</v>
      </c>
      <c r="AM8" s="5">
        <f>SUM(AM3:AM7)</f>
        <v>0</v>
      </c>
      <c r="AN8" s="25" t="str">
        <f>SUM(AN6:AN7)</f>
        <v>#DIV/0!</v>
      </c>
      <c r="AO8" s="24" t="s">
        <v>13</v>
      </c>
      <c r="AP8" s="5">
        <f>SUM(AP3:AP7)</f>
        <v>0</v>
      </c>
      <c r="AQ8" s="25" t="str">
        <f>SUM(AQ6:AQ7)</f>
        <v>#DIV/0!</v>
      </c>
      <c r="AR8" s="24" t="s">
        <v>13</v>
      </c>
      <c r="AS8" s="5">
        <f>SUM(AS3:AS7)</f>
        <v>0</v>
      </c>
      <c r="AT8" s="25" t="str">
        <f>SUM(AT6:AT7)</f>
        <v>#DIV/0!</v>
      </c>
      <c r="AU8" s="24" t="s">
        <v>13</v>
      </c>
      <c r="AV8" s="5">
        <f>SUM(AV3:AV7)</f>
        <v>0</v>
      </c>
      <c r="AW8" s="25" t="str">
        <f>SUM(AW6:AW7)</f>
        <v>#DIV/0!</v>
      </c>
      <c r="AX8" s="24" t="s">
        <v>13</v>
      </c>
      <c r="AY8" s="5">
        <f>SUM(AY3:AY7)</f>
        <v>0</v>
      </c>
      <c r="AZ8" s="25" t="str">
        <f>SUM(AZ6:AZ7)</f>
        <v>#DIV/0!</v>
      </c>
      <c r="BA8" s="24" t="s">
        <v>13</v>
      </c>
      <c r="BB8" s="5">
        <f>SUM(BB3:BB7)</f>
        <v>0</v>
      </c>
      <c r="BC8" s="25" t="str">
        <f>SUM(BC6:BC7)</f>
        <v>#DIV/0!</v>
      </c>
      <c r="BD8" s="24" t="s">
        <v>13</v>
      </c>
      <c r="BE8" s="5">
        <f>SUM(BE3:BE7)</f>
        <v>0</v>
      </c>
      <c r="BF8" s="25" t="str">
        <f>SUM(BF6:BF7)</f>
        <v>#DIV/0!</v>
      </c>
      <c r="BG8" s="24" t="s">
        <v>13</v>
      </c>
      <c r="BH8" s="5">
        <f>SUM(BH3:BH7)</f>
        <v>0</v>
      </c>
      <c r="BI8" s="25" t="str">
        <f>SUM(BI6:BI7)</f>
        <v>#DIV/0!</v>
      </c>
      <c r="BJ8" s="24" t="s">
        <v>13</v>
      </c>
      <c r="BK8" s="5">
        <f>SUM(BK3:BK7)</f>
        <v>0</v>
      </c>
      <c r="BL8" s="25" t="str">
        <f>SUM(BL6:BL7)</f>
        <v>#DIV/0!</v>
      </c>
      <c r="BM8" s="24" t="s">
        <v>13</v>
      </c>
      <c r="BN8" s="5">
        <f>SUM(BN3:BN7)</f>
        <v>0</v>
      </c>
      <c r="BO8" s="25" t="str">
        <f>SUM(BO6:BO7)</f>
        <v>#DIV/0!</v>
      </c>
      <c r="BP8" s="24" t="s">
        <v>13</v>
      </c>
      <c r="BQ8" s="5">
        <f>SUM(BQ3:BQ7)</f>
        <v>0</v>
      </c>
      <c r="BR8" s="25" t="str">
        <f>SUM(BR6:BR7)</f>
        <v>#DIV/0!</v>
      </c>
      <c r="BS8" s="24" t="s">
        <v>13</v>
      </c>
      <c r="BT8" s="5">
        <f>SUM(BT3:BT7)</f>
        <v>0</v>
      </c>
      <c r="BU8" s="25" t="str">
        <f>SUM(BU6:BU7)</f>
        <v>#DIV/0!</v>
      </c>
      <c r="BV8" s="24" t="s">
        <v>13</v>
      </c>
      <c r="BW8" s="5">
        <f>SUM(BW3:BW7)</f>
        <v>0</v>
      </c>
      <c r="BX8" s="25" t="str">
        <f>SUM(BX6:BX7)</f>
        <v>#DIV/0!</v>
      </c>
      <c r="BY8" s="24" t="s">
        <v>13</v>
      </c>
      <c r="BZ8" s="5">
        <f>SUM(BZ3:BZ7)</f>
        <v>0</v>
      </c>
      <c r="CA8" s="25" t="str">
        <f>SUM(CA6:CA7)</f>
        <v>#DIV/0!</v>
      </c>
      <c r="CB8" s="24" t="s">
        <v>13</v>
      </c>
      <c r="CC8" s="5">
        <f>SUM(CC3:CC7)</f>
        <v>0</v>
      </c>
      <c r="CD8" s="25" t="str">
        <f>SUM(CD6:CD7)</f>
        <v>#DIV/0!</v>
      </c>
      <c r="CE8" s="24" t="s">
        <v>13</v>
      </c>
      <c r="CF8" s="5">
        <f>SUM(CF3:CF7)</f>
        <v>0</v>
      </c>
      <c r="CG8" s="25" t="str">
        <f>SUM(CG6:CG7)</f>
        <v>#DIV/0!</v>
      </c>
      <c r="CH8" s="24" t="s">
        <v>13</v>
      </c>
      <c r="CI8" s="5">
        <f>SUM(CI3:CI7)</f>
        <v>0</v>
      </c>
      <c r="CJ8" s="25" t="str">
        <f>SUM(CJ6:CJ7)</f>
        <v>#DIV/0!</v>
      </c>
      <c r="CK8" s="24" t="s">
        <v>13</v>
      </c>
      <c r="CL8" s="5">
        <f>SUM(CL3:CL7)</f>
        <v>0</v>
      </c>
      <c r="CM8" s="25" t="str">
        <f>SUM(CM6:CM7)</f>
        <v>#DIV/0!</v>
      </c>
      <c r="CN8" s="24" t="s">
        <v>13</v>
      </c>
      <c r="CO8" s="5">
        <f>SUM(CO3:CO7)</f>
        <v>0</v>
      </c>
      <c r="CP8" s="25" t="str">
        <f>SUM(CP6:CP7)</f>
        <v>#DIV/0!</v>
      </c>
      <c r="CQ8" s="24" t="s">
        <v>13</v>
      </c>
      <c r="CR8" s="5">
        <f>SUM(CR3:CR7)</f>
        <v>0</v>
      </c>
      <c r="CS8" s="25" t="str">
        <f>SUM(CS6:CS7)</f>
        <v>#DIV/0!</v>
      </c>
      <c r="CT8" s="26"/>
      <c r="CU8" s="26"/>
      <c r="CV8" s="26"/>
      <c r="CW8" s="26"/>
      <c r="CX8" s="26"/>
      <c r="CY8" s="26"/>
      <c r="CZ8" s="26"/>
      <c r="DA8" s="26"/>
      <c r="DB8" s="26"/>
      <c r="DC8" s="26"/>
      <c r="DD8" s="26"/>
      <c r="DE8" s="26"/>
      <c r="DF8" s="26"/>
    </row>
    <row r="9">
      <c r="A9" s="14" t="s">
        <v>33</v>
      </c>
      <c r="B9" s="19"/>
      <c r="C9" s="14" t="s">
        <v>34</v>
      </c>
      <c r="D9" s="14" t="s">
        <v>35</v>
      </c>
      <c r="E9" s="27" t="str">
        <f>IF((COLUMN(E9) - 2)/3 = INT((COLUMN(E9) - 2)/3), INDIRECT("R1C"&amp;CEILING(4 + COLUMN(E9)/3,1), FALSE), "")</f>
        <v>['keeper', 'best', 'goalkeep', 'defend', 'EXCLUDED-kepa', 'save']</v>
      </c>
      <c r="F9" s="28"/>
      <c r="G9" s="29"/>
      <c r="H9" s="27" t="str">
        <f>IF((COLUMN(H9) - 2)/3 = INT((COLUMN(H9) - 2)/3), INDIRECT("R1C"&amp;CEILING(4 + COLUMN(H9)/3,1), FALSE), "")</f>
        <v>['touch', 'cross', 'ball', 'pass']</v>
      </c>
      <c r="I9" s="28"/>
      <c r="J9" s="29"/>
      <c r="K9" s="27" t="str">
        <f>IF((COLUMN(K9) - 2)/3 = INT((COLUMN(K9) - 2)/3), INDIRECT("R1C"&amp;CEILING(4 + COLUMN(K9)/3,1), FALSE), "")</f>
        <v>['take', 'knee', 'player']</v>
      </c>
      <c r="L9" s="28"/>
      <c r="M9" s="29"/>
      <c r="N9" s="27" t="str">
        <f>IF((COLUMN(N9) - 2)/3 = INT((COLUMN(N9) - 2)/3), INDIRECT("R1C"&amp;CEILING(4 + COLUMN(N9)/3,1), FALSE), "")</f>
        <v>['goal', 'score', 'conced', 'equalis', 'offsid', 'assist']</v>
      </c>
      <c r="O9" s="28"/>
      <c r="P9" s="29"/>
      <c r="Q9" s="27" t="str">
        <f>IF((COLUMN(Q9) - 2)/3 = INT((COLUMN(Q9) - 2)/3), INDIRECT("R1C"&amp;CEILING(4 + COLUMN(Q9)/3,1), FALSE), "")</f>
        <v>['gol', 'stream', 'onlin', 'free', 'reddit', 'link', 'EXCLUDED-manchest', 'ff', 'live']</v>
      </c>
      <c r="R9" s="28"/>
      <c r="S9" s="29"/>
      <c r="T9" s="27" t="str">
        <f>IF((COLUMN(T9) - 2)/3 = INT((COLUMN(T9) - 2)/3), INDIRECT("R1C"&amp;CEILING(4 + COLUMN(T9)/3,1), FALSE), "")</f>
        <v>['need', 'half', 'sub', 'second', 'lead', '2nd']</v>
      </c>
      <c r="U9" s="28"/>
      <c r="V9" s="29"/>
      <c r="W9" s="27" t="str">
        <f>IF((COLUMN(W9) - 2)/3 = INT((COLUMN(W9) - 2)/3), INDIRECT("R1C"&amp;CEILING(4 + COLUMN(W9)/3,1), FALSE), "")</f>
        <v>['champion', 'final', 'leagu', 'footbal', 'win']</v>
      </c>
      <c r="X9" s="28"/>
      <c r="Y9" s="29"/>
      <c r="Z9" s="27" t="str">
        <f>IF((COLUMN(Z9) - 2)/3 = INT((COLUMN(Z9) - 2)/3), INDIRECT("R1C"&amp;CEILING(4 + COLUMN(Z9)/3,1), FALSE), "")</f>
        <v>['foul', 'refere', 'book', 'decis', 'var', 'given', 'pen', 'dive', 'ref', 'penalti']</v>
      </c>
      <c r="AA9" s="28"/>
      <c r="AB9" s="29"/>
      <c r="AC9" s="27" t="str">
        <f>IF((COLUMN(AC9) - 2)/3 = INT((COLUMN(AC9) - 2)/3), INDIRECT("R1C"&amp;CEILING(4 + COLUMN(AC9)/3,1), FALSE), "")</f>
        <v>['hit', 'post']</v>
      </c>
      <c r="AD9" s="28"/>
      <c r="AE9" s="29"/>
      <c r="AF9" s="27" t="str">
        <f>IF((COLUMN(AF9) - 2)/3 = INT((COLUMN(AF9) - 2)/3), INDIRECT("R1C"&amp;CEILING(4 + COLUMN(AF9)/3,1), FALSE), "")</f>
        <v>['world', 'class', 'striker']</v>
      </c>
      <c r="AG9" s="28"/>
      <c r="AH9" s="29"/>
      <c r="AI9" s="27" t="str">
        <f>IF((COLUMN(AI9) - 2)/3 = INT((COLUMN(AI9) - 2)/3), INDIRECT("R1C"&amp;CEILING(4 + COLUMN(AI9)/3,1), FALSE), "")</f>
        <v>['deflect', 'kick', 'corner', 'shot', 'net']</v>
      </c>
      <c r="AJ9" s="28"/>
      <c r="AK9" s="29"/>
      <c r="AL9" s="27" t="str">
        <f>IF((COLUMN(AL9) - 2)/3 = INT((COLUMN(AL9) - 2)/3), INDIRECT("R1C"&amp;CEILING(4 + COLUMN(AL9)/3,1), FALSE), "")</f>
        <v/>
      </c>
      <c r="AM9" s="28"/>
      <c r="AN9" s="29"/>
      <c r="AO9" s="27" t="str">
        <f>IF((COLUMN(AO9) - 2)/3 = INT((COLUMN(AO9) - 2)/3), INDIRECT("R1C"&amp;CEILING(4 + COLUMN(AO9)/3,1), FALSE), "")</f>
        <v/>
      </c>
      <c r="AP9" s="28"/>
      <c r="AQ9" s="29"/>
      <c r="AR9" s="27" t="str">
        <f>IF((COLUMN(AR9) - 2)/3 = INT((COLUMN(AR9) - 2)/3), INDIRECT("R1C"&amp;CEILING(4 + COLUMN(AR9)/3,1), FALSE), "")</f>
        <v/>
      </c>
      <c r="AS9" s="28"/>
      <c r="AT9" s="29"/>
      <c r="AU9" s="27" t="str">
        <f>IF((COLUMN(AU9) - 2)/3 = INT((COLUMN(AU9) - 2)/3), INDIRECT("R1C"&amp;CEILING(4 + COLUMN(AU9)/3,1), FALSE), "")</f>
        <v/>
      </c>
      <c r="AV9" s="28"/>
      <c r="AW9" s="29"/>
      <c r="AX9" s="27" t="str">
        <f>IF((COLUMN(AX9) - 2)/3 = INT((COLUMN(AX9) - 2)/3), INDIRECT("R1C"&amp;CEILING(4 + COLUMN(AX9)/3,1), FALSE), "")</f>
        <v/>
      </c>
      <c r="AY9" s="28"/>
      <c r="AZ9" s="29"/>
      <c r="BA9" s="27" t="str">
        <f>IF((COLUMN(BA9) - 2)/3 = INT((COLUMN(BA9) - 2)/3), INDIRECT("R1C"&amp;CEILING(4 + COLUMN(BA9)/3,1), FALSE), "")</f>
        <v/>
      </c>
      <c r="BB9" s="28"/>
      <c r="BC9" s="29"/>
      <c r="BD9" s="27" t="str">
        <f>IF((COLUMN(BD9) - 2)/3 = INT((COLUMN(BD9) - 2)/3), INDIRECT("R1C"&amp;CEILING(4 + COLUMN(BD9)/3,1), FALSE), "")</f>
        <v/>
      </c>
      <c r="BE9" s="28"/>
      <c r="BF9" s="29"/>
      <c r="BG9" s="27" t="str">
        <f>IF((COLUMN(BG9) - 2)/3 = INT((COLUMN(BG9) - 2)/3), INDIRECT("R1C"&amp;CEILING(4 + COLUMN(BG9)/3,1), FALSE), "")</f>
        <v/>
      </c>
      <c r="BH9" s="28"/>
      <c r="BI9" s="29"/>
      <c r="BJ9" s="27" t="str">
        <f>IF((COLUMN(BJ9) - 2)/3 = INT((COLUMN(BJ9) - 2)/3), INDIRECT("R1C"&amp;CEILING(4 + COLUMN(BJ9)/3,1), FALSE), "")</f>
        <v/>
      </c>
      <c r="BK9" s="28"/>
      <c r="BL9" s="29"/>
      <c r="BM9" s="27" t="str">
        <f>IF((COLUMN(BM9) - 2)/3 = INT((COLUMN(BM9) - 2)/3), INDIRECT("R1C"&amp;CEILING(4 + COLUMN(BM9)/3,1), FALSE), "")</f>
        <v/>
      </c>
      <c r="BN9" s="28"/>
      <c r="BO9" s="29"/>
      <c r="BP9" s="27" t="str">
        <f>IF((COLUMN(BP9) - 2)/3 = INT((COLUMN(BP9) - 2)/3), INDIRECT("R1C"&amp;CEILING(4 + COLUMN(BP9)/3,1), FALSE), "")</f>
        <v/>
      </c>
      <c r="BQ9" s="28"/>
      <c r="BR9" s="29"/>
      <c r="BS9" s="27" t="str">
        <f>IF((COLUMN(BS9) - 2)/3 = INT((COLUMN(BS9) - 2)/3), INDIRECT("R1C"&amp;CEILING(4 + COLUMN(BS9)/3,1), FALSE), "")</f>
        <v/>
      </c>
      <c r="BT9" s="28"/>
      <c r="BU9" s="29"/>
      <c r="BV9" s="27" t="str">
        <f>IF((COLUMN(BV9) - 2)/3 = INT((COLUMN(BV9) - 2)/3), INDIRECT("R1C"&amp;CEILING(4 + COLUMN(BV9)/3,1), FALSE), "")</f>
        <v/>
      </c>
      <c r="BW9" s="28"/>
      <c r="BX9" s="29"/>
      <c r="BY9" s="27" t="str">
        <f>IF((COLUMN(BY9) - 2)/3 = INT((COLUMN(BY9) - 2)/3), INDIRECT("R1C"&amp;CEILING(4 + COLUMN(BY9)/3,1), FALSE), "")</f>
        <v/>
      </c>
      <c r="BZ9" s="28"/>
      <c r="CA9" s="29"/>
      <c r="CB9" s="27" t="str">
        <f>IF((COLUMN(CB9) - 2)/3 = INT((COLUMN(CB9) - 2)/3), INDIRECT("R1C"&amp;CEILING(4 + COLUMN(CB9)/3,1), FALSE), "")</f>
        <v/>
      </c>
      <c r="CC9" s="28"/>
      <c r="CD9" s="29"/>
      <c r="CE9" s="27" t="str">
        <f>IF((COLUMN(CE9) - 2)/3 = INT((COLUMN(CE9) - 2)/3), INDIRECT("R1C"&amp;CEILING(4 + COLUMN(CE9)/3,1), FALSE), "")</f>
        <v/>
      </c>
      <c r="CF9" s="28"/>
      <c r="CG9" s="29"/>
      <c r="CH9" s="27" t="str">
        <f>IF((COLUMN(CH9) - 2)/3 = INT((COLUMN(CH9) - 2)/3), INDIRECT("R1C"&amp;CEILING(4 + COLUMN(CH9)/3,1), FALSE), "")</f>
        <v/>
      </c>
      <c r="CI9" s="28"/>
      <c r="CJ9" s="29"/>
      <c r="CK9" s="27" t="str">
        <f>IF((COLUMN(CK9) - 2)/3 = INT((COLUMN(CK9) - 2)/3), INDIRECT("R1C"&amp;CEILING(4 + COLUMN(CK9)/3,1), FALSE), "")</f>
        <v/>
      </c>
      <c r="CL9" s="28"/>
      <c r="CM9" s="29"/>
      <c r="CN9" s="27" t="str">
        <f>IF((COLUMN(CN9) - 2)/3 = INT((COLUMN(CN9) - 2)/3), INDIRECT("R1C"&amp;CEILING(4 + COLUMN(CN9)/3,1), FALSE), "")</f>
        <v/>
      </c>
      <c r="CO9" s="28"/>
      <c r="CP9" s="29"/>
      <c r="CQ9" s="27" t="str">
        <f>IF((COLUMN(CQ9) - 2)/3 = INT((COLUMN(CQ9) - 2)/3), INDIRECT("R1C"&amp;CEILING(4 + COLUMN(CQ9)/3,1), FALSE), "")</f>
        <v/>
      </c>
      <c r="CR9" s="28"/>
      <c r="CS9" s="29"/>
    </row>
    <row r="10">
      <c r="A10" s="19" t="s">
        <v>14</v>
      </c>
      <c r="B10" s="19" t="s">
        <v>36</v>
      </c>
      <c r="C10" s="30">
        <f>IFERROR(__xludf.DUMMYFUNCTION("SUM(FILTER($E3:DF3, (COLUMN($E3:DF3)) / 3 = ROUND((COLUMN($E3:DF3)) / 3), NOT(ISERROR($E3:DF3))))"),4.0)</f>
        <v>4</v>
      </c>
      <c r="D10" s="26">
        <f t="shared" ref="D10:D14" si="63">$C10/$C$15</f>
        <v>0.07547169811</v>
      </c>
      <c r="E10" s="5" t="str">
        <f>IFERROR(__xludf.DUMMYFUNCTION("QUERY(INDIRECT($B$2&amp;""!$A$1:$F""), ""SELECT C, F WHERE D = """""" &amp; E9 &amp; """""""")"),"date")</f>
        <v>date</v>
      </c>
      <c r="F10" s="5" t="str">
        <f>IFERROR(__xludf.DUMMYFUNCTION("""COMPUTED_VALUE"""),"summary")</f>
        <v>summary</v>
      </c>
      <c r="H10" s="5" t="str">
        <f>IFERROR(__xludf.DUMMYFUNCTION("QUERY(INDIRECT($B$2&amp;""!$A$1:$F""), ""SELECT C, F WHERE D = """""" &amp; H9 &amp; """""""")"),"date")</f>
        <v>date</v>
      </c>
      <c r="I10" s="5" t="str">
        <f>IFERROR(__xludf.DUMMYFUNCTION("""COMPUTED_VALUE"""),"summary")</f>
        <v>summary</v>
      </c>
      <c r="K10" s="5" t="str">
        <f>IFERROR(__xludf.DUMMYFUNCTION("QUERY(INDIRECT($B$2&amp;""!$A$1:$F""), ""SELECT C, F WHERE D = """""" &amp; K9 &amp; """""""")"),"date")</f>
        <v>date</v>
      </c>
      <c r="L10" s="5" t="str">
        <f>IFERROR(__xludf.DUMMYFUNCTION("""COMPUTED_VALUE"""),"summary")</f>
        <v>summary</v>
      </c>
      <c r="N10" s="5" t="str">
        <f>IFERROR(__xludf.DUMMYFUNCTION("QUERY(INDIRECT($B$2&amp;""!$A$1:$F""), ""SELECT C, F WHERE D = """""" &amp; N9 &amp; """""""")"),"date")</f>
        <v>date</v>
      </c>
      <c r="O10" s="5" t="str">
        <f>IFERROR(__xludf.DUMMYFUNCTION("""COMPUTED_VALUE"""),"summary")</f>
        <v>summary</v>
      </c>
      <c r="Q10" s="5" t="str">
        <f>IFERROR(__xludf.DUMMYFUNCTION("QUERY(INDIRECT($B$2&amp;""!$A$1:$F""), ""SELECT C, F WHERE D = """""" &amp; Q9 &amp; """""""")"),"date")</f>
        <v>date</v>
      </c>
      <c r="R10" s="5" t="str">
        <f>IFERROR(__xludf.DUMMYFUNCTION("""COMPUTED_VALUE"""),"summary")</f>
        <v>summary</v>
      </c>
      <c r="T10" s="5" t="str">
        <f>IFERROR(__xludf.DUMMYFUNCTION("QUERY(INDIRECT($B$2&amp;""!$A$1:$F""), ""SELECT C, F WHERE D = """""" &amp; T9 &amp; """""""")"),"date")</f>
        <v>date</v>
      </c>
      <c r="U10" s="5" t="str">
        <f>IFERROR(__xludf.DUMMYFUNCTION("""COMPUTED_VALUE"""),"summary")</f>
        <v>summary</v>
      </c>
      <c r="W10" s="5" t="str">
        <f>IFERROR(__xludf.DUMMYFUNCTION("QUERY(INDIRECT($B$2&amp;""!$A$1:$F""), ""SELECT C, F WHERE D = """""" &amp; W9 &amp; """""""")"),"date")</f>
        <v>date</v>
      </c>
      <c r="X10" s="5" t="str">
        <f>IFERROR(__xludf.DUMMYFUNCTION("""COMPUTED_VALUE"""),"summary")</f>
        <v>summary</v>
      </c>
      <c r="Z10" s="5" t="str">
        <f>IFERROR(__xludf.DUMMYFUNCTION("QUERY(INDIRECT($B$2&amp;""!$A$1:$F""), ""SELECT C, F WHERE D = """""" &amp; Z9 &amp; """""""")"),"date")</f>
        <v>date</v>
      </c>
      <c r="AA10" s="5" t="str">
        <f>IFERROR(__xludf.DUMMYFUNCTION("""COMPUTED_VALUE"""),"summary")</f>
        <v>summary</v>
      </c>
      <c r="AC10" s="5" t="str">
        <f>IFERROR(__xludf.DUMMYFUNCTION("QUERY(INDIRECT($B$2&amp;""!$A$1:$F""), ""SELECT C, F WHERE D = """""" &amp; AC9 &amp; """""""")"),"date")</f>
        <v>date</v>
      </c>
      <c r="AD10" s="5" t="str">
        <f>IFERROR(__xludf.DUMMYFUNCTION("""COMPUTED_VALUE"""),"summary")</f>
        <v>summary</v>
      </c>
      <c r="AF10" s="5" t="str">
        <f>IFERROR(__xludf.DUMMYFUNCTION("QUERY(INDIRECT($B$2&amp;""!$A$1:$F""), ""SELECT C, F WHERE D = """""" &amp; AF9 &amp; """""""")"),"date")</f>
        <v>date</v>
      </c>
      <c r="AG10" s="5" t="str">
        <f>IFERROR(__xludf.DUMMYFUNCTION("""COMPUTED_VALUE"""),"summary")</f>
        <v>summary</v>
      </c>
      <c r="AI10" s="5" t="str">
        <f>IFERROR(__xludf.DUMMYFUNCTION("QUERY(INDIRECT($B$2&amp;""!$A$1:$F""), ""SELECT C, F WHERE D = """""" &amp; AI9 &amp; """""""")"),"date")</f>
        <v>date</v>
      </c>
      <c r="AJ10" s="5" t="str">
        <f>IFERROR(__xludf.DUMMYFUNCTION("""COMPUTED_VALUE"""),"summary")</f>
        <v>summary</v>
      </c>
      <c r="AL10" s="5" t="str">
        <f>IFERROR(__xludf.DUMMYFUNCTION("QUERY(INDIRECT($B$2&amp;""!$A$1:$F""), ""SELECT C, F WHERE D = """""" &amp; AL9 &amp; """""""")"),"date")</f>
        <v>date</v>
      </c>
      <c r="AM10" s="5" t="str">
        <f>IFERROR(__xludf.DUMMYFUNCTION("""COMPUTED_VALUE"""),"summary")</f>
        <v>summary</v>
      </c>
      <c r="AO10" s="5" t="str">
        <f>IFERROR(__xludf.DUMMYFUNCTION("QUERY(INDIRECT($B$2&amp;""!$A$1:$F""), ""SELECT C, F WHERE D = """""" &amp; AO9 &amp; """""""")"),"date")</f>
        <v>date</v>
      </c>
      <c r="AP10" s="5" t="str">
        <f>IFERROR(__xludf.DUMMYFUNCTION("""COMPUTED_VALUE"""),"summary")</f>
        <v>summary</v>
      </c>
      <c r="AR10" s="5" t="str">
        <f>IFERROR(__xludf.DUMMYFUNCTION("QUERY(INDIRECT($B$2&amp;""!$A$1:$F""), ""SELECT C, F WHERE D = """""" &amp; AR9 &amp; """""""")"),"date")</f>
        <v>date</v>
      </c>
      <c r="AS10" s="5" t="str">
        <f>IFERROR(__xludf.DUMMYFUNCTION("""COMPUTED_VALUE"""),"summary")</f>
        <v>summary</v>
      </c>
      <c r="AU10" s="5" t="str">
        <f>IFERROR(__xludf.DUMMYFUNCTION("QUERY(INDIRECT($B$2&amp;""!$A$1:$F""), ""SELECT C, F WHERE D = """""" &amp; AU9 &amp; """""""")"),"date")</f>
        <v>date</v>
      </c>
      <c r="AV10" s="5" t="str">
        <f>IFERROR(__xludf.DUMMYFUNCTION("""COMPUTED_VALUE"""),"summary")</f>
        <v>summary</v>
      </c>
      <c r="AX10" s="5" t="str">
        <f>IFERROR(__xludf.DUMMYFUNCTION("QUERY(INDIRECT($B$2&amp;""!$A$1:$F""), ""SELECT C, F WHERE D = """""" &amp; AX9 &amp; """""""")"),"date")</f>
        <v>date</v>
      </c>
      <c r="AY10" s="5" t="str">
        <f>IFERROR(__xludf.DUMMYFUNCTION("""COMPUTED_VALUE"""),"summary")</f>
        <v>summary</v>
      </c>
      <c r="BA10" s="5" t="str">
        <f>IFERROR(__xludf.DUMMYFUNCTION("QUERY(INDIRECT($B$2&amp;""!$A$1:$F""), ""SELECT C, F WHERE D = """""" &amp; BA9 &amp; """""""")"),"date")</f>
        <v>date</v>
      </c>
      <c r="BB10" s="5" t="str">
        <f>IFERROR(__xludf.DUMMYFUNCTION("""COMPUTED_VALUE"""),"summary")</f>
        <v>summary</v>
      </c>
      <c r="BD10" s="5" t="str">
        <f>IFERROR(__xludf.DUMMYFUNCTION("QUERY(INDIRECT($B$2&amp;""!$A$1:$F""), ""SELECT C, F WHERE D = """""" &amp; BD9 &amp; """""""")"),"date")</f>
        <v>date</v>
      </c>
      <c r="BE10" s="5" t="str">
        <f>IFERROR(__xludf.DUMMYFUNCTION("""COMPUTED_VALUE"""),"summary")</f>
        <v>summary</v>
      </c>
      <c r="BG10" s="5" t="str">
        <f>IFERROR(__xludf.DUMMYFUNCTION("QUERY(INDIRECT($B$2&amp;""!$A$1:$F""), ""SELECT C, F WHERE D = """""" &amp; BG9 &amp; """""""")"),"date")</f>
        <v>date</v>
      </c>
      <c r="BH10" s="5" t="str">
        <f>IFERROR(__xludf.DUMMYFUNCTION("""COMPUTED_VALUE"""),"summary")</f>
        <v>summary</v>
      </c>
      <c r="BJ10" s="5" t="str">
        <f>IFERROR(__xludf.DUMMYFUNCTION("QUERY(INDIRECT($B$2&amp;""!$A$1:$F""), ""SELECT C, F WHERE D = """""" &amp; BJ9 &amp; """""""")"),"date")</f>
        <v>date</v>
      </c>
      <c r="BK10" s="5" t="str">
        <f>IFERROR(__xludf.DUMMYFUNCTION("""COMPUTED_VALUE"""),"summary")</f>
        <v>summary</v>
      </c>
      <c r="BM10" s="5" t="str">
        <f>IFERROR(__xludf.DUMMYFUNCTION("QUERY(INDIRECT($B$2&amp;""!$A$1:$F""), ""SELECT C, F WHERE D = """""" &amp; BM9 &amp; """""""")"),"date")</f>
        <v>date</v>
      </c>
      <c r="BN10" s="5" t="str">
        <f>IFERROR(__xludf.DUMMYFUNCTION("""COMPUTED_VALUE"""),"summary")</f>
        <v>summary</v>
      </c>
      <c r="BP10" s="5" t="str">
        <f>IFERROR(__xludf.DUMMYFUNCTION("QUERY(INDIRECT($B$2&amp;""!$A$1:$F""), ""SELECT C, F WHERE D = """""" &amp; BP9 &amp; """""""")"),"date")</f>
        <v>date</v>
      </c>
      <c r="BQ10" s="5" t="str">
        <f>IFERROR(__xludf.DUMMYFUNCTION("""COMPUTED_VALUE"""),"summary")</f>
        <v>summary</v>
      </c>
      <c r="BS10" s="5" t="str">
        <f>IFERROR(__xludf.DUMMYFUNCTION("QUERY(INDIRECT($B$2&amp;""!$A$1:$F""), ""SELECT C, F WHERE D = """""" &amp; BS9 &amp; """""""")"),"date")</f>
        <v>date</v>
      </c>
      <c r="BT10" s="5" t="str">
        <f>IFERROR(__xludf.DUMMYFUNCTION("""COMPUTED_VALUE"""),"summary")</f>
        <v>summary</v>
      </c>
      <c r="BV10" s="5" t="str">
        <f>IFERROR(__xludf.DUMMYFUNCTION("QUERY(INDIRECT($B$2&amp;""!$A$1:$F""), ""SELECT C, F WHERE D = """""" &amp; BV9 &amp; """""""")"),"date")</f>
        <v>date</v>
      </c>
      <c r="BW10" s="5" t="str">
        <f>IFERROR(__xludf.DUMMYFUNCTION("""COMPUTED_VALUE"""),"summary")</f>
        <v>summary</v>
      </c>
      <c r="BY10" s="5" t="str">
        <f>IFERROR(__xludf.DUMMYFUNCTION("QUERY(INDIRECT($B$2&amp;""!$A$1:$F""), ""SELECT C, F WHERE D = """""" &amp; BY9 &amp; """""""")"),"date")</f>
        <v>date</v>
      </c>
      <c r="BZ10" s="5" t="str">
        <f>IFERROR(__xludf.DUMMYFUNCTION("""COMPUTED_VALUE"""),"summary")</f>
        <v>summary</v>
      </c>
      <c r="CB10" s="5" t="str">
        <f>IFERROR(__xludf.DUMMYFUNCTION("QUERY(INDIRECT($B$2&amp;""!$A$1:$F""), ""SELECT C, F WHERE D = """""" &amp; CB9 &amp; """""""")"),"date")</f>
        <v>date</v>
      </c>
      <c r="CC10" s="5" t="str">
        <f>IFERROR(__xludf.DUMMYFUNCTION("""COMPUTED_VALUE"""),"summary")</f>
        <v>summary</v>
      </c>
      <c r="CE10" s="5" t="str">
        <f>IFERROR(__xludf.DUMMYFUNCTION("QUERY(INDIRECT($B$2&amp;""!$A$1:$F""), ""SELECT C, F WHERE D = """""" &amp; CE9 &amp; """""""")"),"date")</f>
        <v>date</v>
      </c>
      <c r="CF10" s="5" t="str">
        <f>IFERROR(__xludf.DUMMYFUNCTION("""COMPUTED_VALUE"""),"summary")</f>
        <v>summary</v>
      </c>
      <c r="CH10" s="5" t="str">
        <f>IFERROR(__xludf.DUMMYFUNCTION("QUERY(INDIRECT($B$2&amp;""!$A$1:$F""), ""SELECT C, F WHERE D = """""" &amp; CH9 &amp; """""""")"),"date")</f>
        <v>date</v>
      </c>
      <c r="CI10" s="5" t="str">
        <f>IFERROR(__xludf.DUMMYFUNCTION("""COMPUTED_VALUE"""),"summary")</f>
        <v>summary</v>
      </c>
      <c r="CK10" s="5" t="str">
        <f>IFERROR(__xludf.DUMMYFUNCTION("QUERY(INDIRECT($B$2&amp;""!$A$1:$F""), ""SELECT C, F WHERE D = """""" &amp; CK9 &amp; """""""")"),"date")</f>
        <v>date</v>
      </c>
      <c r="CL10" s="5" t="str">
        <f>IFERROR(__xludf.DUMMYFUNCTION("""COMPUTED_VALUE"""),"summary")</f>
        <v>summary</v>
      </c>
      <c r="CN10" s="5" t="str">
        <f>IFERROR(__xludf.DUMMYFUNCTION("QUERY(INDIRECT($B$2&amp;""!$A$1:$F""), ""SELECT C, F WHERE D = """""" &amp; CN9 &amp; """""""")"),"date")</f>
        <v>date</v>
      </c>
      <c r="CO10" s="5" t="str">
        <f>IFERROR(__xludf.DUMMYFUNCTION("""COMPUTED_VALUE"""),"summary")</f>
        <v>summary</v>
      </c>
      <c r="CQ10" s="5" t="str">
        <f>IFERROR(__xludf.DUMMYFUNCTION("QUERY(INDIRECT($B$2&amp;""!$A$1:$F""), ""SELECT C, F WHERE D = """""" &amp; CQ9 &amp; """""""")"),"date")</f>
        <v>date</v>
      </c>
      <c r="CR10" s="5" t="str">
        <f>IFERROR(__xludf.DUMMYFUNCTION("""COMPUTED_VALUE"""),"summary")</f>
        <v>summary</v>
      </c>
    </row>
    <row r="11">
      <c r="A11" s="19" t="s">
        <v>15</v>
      </c>
      <c r="B11" s="19" t="s">
        <v>37</v>
      </c>
      <c r="C11" s="30">
        <f>IFERROR(__xludf.DUMMYFUNCTION("SUM(FILTER($E4:DF4, (COLUMN($E4:DF4)) / 3 = ROUND((COLUMN($E4:DF4)) / 3), NOT(ISERROR($E4:DF4))))"),2.0)</f>
        <v>2</v>
      </c>
      <c r="D11" s="26">
        <f t="shared" si="63"/>
        <v>0.03773584906</v>
      </c>
      <c r="E11" s="40">
        <f>IFERROR(__xludf.DUMMYFUNCTION("""COMPUTED_VALUE"""),44361.55342592593)</f>
        <v>44361.55343</v>
      </c>
      <c r="F11" s="5" t="str">
        <f>IFERROR(__xludf.DUMMYFUNCTION("""COMPUTED_VALUE"""),"Good save but how was that not a foul on McGinn? Great save from Marshall there #sco. What a save #SCOCZE. Great save from martial. #SCO #CZE. What a save about went into cardiac arrest there #SCO. 15' SHOOT by Valdimir Darida, SAVES by keeper and then co"&amp;"rner kick for Czech Rep.")</f>
        <v>Good save but how was that not a foul on McGinn? Great save from Marshall there #sco. What a save #SCOCZE. Great save from martial. #SCO #CZE. What a save about went into cardiac arrest there #SCO. 15' SHOOT by Valdimir Darida, SAVES by keeper and then corner kick for Czech Rep.</v>
      </c>
      <c r="G11" s="39" t="s">
        <v>18</v>
      </c>
      <c r="H11" s="40">
        <f>IFERROR(__xludf.DUMMYFUNCTION("""COMPUTED_VALUE"""),44361.55542824074)</f>
        <v>44361.55543</v>
      </c>
      <c r="I11" s="5" t="str">
        <f>IFERROR(__xludf.DUMMYFUNCTION("""COMPUTED_VALUE"""),"Robertson has mastered the art of crossing. Can’t think of many others who are so accurate. #SCO. That would have been a goal if it was a LFC player on the end of that Robertson cross. #SCO #SCOCZE. #SCOCZE sublime cross from Captain Andy Robertson reache"&amp;"s Dykes - just wide!")</f>
        <v>Robertson has mastered the art of crossing. Can’t think of many others who are so accurate. #SCO. That would have been a goal if it was a LFC player on the end of that Robertson cross. #SCO #SCOCZE. #SCOCZE sublime cross from Captain Andy Robertson reaches Dykes - just wide!</v>
      </c>
      <c r="J11" s="39" t="s">
        <v>18</v>
      </c>
      <c r="K11" s="40">
        <f>IFERROR(__xludf.DUMMYFUNCTION("""COMPUTED_VALUE"""),44361.55752314815)</f>
        <v>44361.55752</v>
      </c>
      <c r="L11" s="5" t="str">
        <f>IFERROR(__xludf.DUMMYFUNCTION("""COMPUTED_VALUE"""),"O’Donnell tackling his own player like a mad man hahah #SCOCZE. Great of him to tackle his own player off the ball 😂. #SCO. #SCO so amped up they're tackling their own players. EURO 2020. O'Donnell has now tackled his own player and ruined the attack. Th"&amp;"is is ridiculous.")</f>
        <v>O’Donnell tackling his own player like a mad man hahah #SCOCZE. Great of him to tackle his own player off the ball 😂. #SCO. #SCO so amped up they're tackling their own players. EURO 2020. O'Donnell has now tackled his own player and ruined the attack. This is ridiculous.</v>
      </c>
      <c r="M11" s="39" t="s">
        <v>18</v>
      </c>
      <c r="N11" s="40">
        <f>IFERROR(__xludf.DUMMYFUNCTION("""COMPUTED_VALUE"""),44361.571111111116)</f>
        <v>44361.57111</v>
      </c>
      <c r="O11" s="5" t="str">
        <f>IFERROR(__xludf.DUMMYFUNCTION("""COMPUTED_VALUE"""),"Coufal again with the assist. What a signing he was for west ham 🤑. Unlucky Scotland. Good goal. Was going to back that Coufal to Schick combo. Will just scored for Czech Republic against Scotland!!! How could you?! Schick one mate.")</f>
        <v>Coufal again with the assist. What a signing he was for west ham 🤑. Unlucky Scotland. Good goal. Was going to back that Coufal to Schick combo. Will just scored for Czech Republic against Scotland!!! How could you?! Schick one mate.</v>
      </c>
      <c r="P11" s="39" t="s">
        <v>17</v>
      </c>
      <c r="Q11" s="40">
        <f>IFERROR(__xludf.DUMMYFUNCTION("""COMPUTED_VALUE"""),44361.57142361111)</f>
        <v>44361.57142</v>
      </c>
      <c r="R11" s="5" t="str">
        <f>IFERROR(__xludf.DUMMYFUNCTION("""COMPUTED_VALUE"""),"Gol de Schick. Gol da tcheca schick. Gol de #CZE. Patrick Schick. Gol de Schick. Escocia 0-1 Rep Checa. Goooool de Schick #CZE. Gol de Schick Euro 2021. Schick still living of that one season at Samp. Schick gol. GOL | #SCO 0-1 #CZE, 42' Schick. Schick ff"&amp;"s. Gran gol de Schick.")</f>
        <v>Gol de Schick. Gol da tcheca schick. Gol de #CZE. Patrick Schick. Gol de Schick. Escocia 0-1 Rep Checa. Goooool de Schick #CZE. Gol de Schick Euro 2021. Schick still living of that one season at Samp. Schick gol. GOL | #SCO 0-1 #CZE, 42' Schick. Schick ffs. Gran gol de Schick.</v>
      </c>
      <c r="S11" s="39" t="s">
        <v>17</v>
      </c>
      <c r="T11" s="40">
        <f>IFERROR(__xludf.DUMMYFUNCTION("""COMPUTED_VALUE"""),44361.571481481486)</f>
        <v>44361.57148</v>
      </c>
      <c r="U11" s="5" t="str">
        <f>IFERROR(__xludf.DUMMYFUNCTION("""COMPUTED_VALUE"""),"GOAL - CZECH REPUBLIC LEAD!. Schick with the opening goal.. #SCO #CZE. That goal's been coming, deserved lead. Beautiful header from Schick. #CZE take the lead... Euro 2020. Schick gives the Czech’s the lead. #SCOCZE. Schick scores. Czech lead! 42’ Scotla"&amp;"nd 0-1 Czech.")</f>
        <v>GOAL - CZECH REPUBLIC LEAD!. Schick with the opening goal.. #SCO #CZE. That goal's been coming, deserved lead. Beautiful header from Schick. #CZE take the lead... Euro 2020. Schick gives the Czech’s the lead. #SCOCZE. Schick scores. Czech lead! 42’ Scotland 0-1 Czech.</v>
      </c>
      <c r="V11" s="39" t="s">
        <v>17</v>
      </c>
      <c r="W11" s="40">
        <f>IFERROR(__xludf.DUMMYFUNCTION("""COMPUTED_VALUE"""),44361.5724537037)</f>
        <v>44361.57245</v>
      </c>
      <c r="X11" s="5" t="str">
        <f>IFERROR(__xludf.DUMMYFUNCTION("""COMPUTED_VALUE"""),"Finally one of those corner kicks paid off!!! EURO 2020. After playing Lawn Tennis with set-pieces, the Czech Republic finally score. #SCOCZE. Finally!! A goal #SCOCZE. Winning a euros game isn't for everyone... #eng #SCOCZE.")</f>
        <v>Finally one of those corner kicks paid off!!! EURO 2020. After playing Lawn Tennis with set-pieces, the Czech Republic finally score. #SCOCZE. Finally!! A goal #SCOCZE. Winning a euros game isn't for everyone... #eng #SCOCZE.</v>
      </c>
      <c r="Y11" s="39" t="s">
        <v>17</v>
      </c>
      <c r="Z11" s="40">
        <f>IFERROR(__xludf.DUMMYFUNCTION("""COMPUTED_VALUE"""),44361.57456018518)</f>
        <v>44361.57456</v>
      </c>
      <c r="AA11" s="5" t="str">
        <f>IFERROR(__xludf.DUMMYFUNCTION("""COMPUTED_VALUE"""),"Christie what a run and why no penalty for mctominay. Why did I think that's a pen for #Sco. 👀. Crikey that would be a penalty In rugby that tackle #SCOCZE. How isn’t that a penalty? Are they all blind or what? #SCO. Why is that not going straight to #VA"&amp;"R??? Clear penalty! #sco.")</f>
        <v>Christie what a run and why no penalty for mctominay. Why did I think that's a pen for #Sco. 👀. Crikey that would be a penalty In rugby that tackle #SCOCZE. How isn’t that a penalty? Are they all blind or what? #SCO. Why is that not going straight to #VAR??? Clear penalty! #sco.</v>
      </c>
      <c r="AB11" s="39" t="s">
        <v>18</v>
      </c>
      <c r="AC11" s="40">
        <f>IFERROR(__xludf.DUMMYFUNCTION("""COMPUTED_VALUE"""),44361.58755787037)</f>
        <v>44361.58756</v>
      </c>
      <c r="AD11" s="5" t="str">
        <f>IFERROR(__xludf.DUMMYFUNCTION("""COMPUTED_VALUE"""),"Oh... hit the bar ! #SCOCZE. Hendry hits the crossbar! Good work from Adams. #SCO. Hits the crossbar.. Scotland National Team.. #SCOCZE. 48' | Off the bar! Jack Hendry's shot from the edge of the box hits the crossbar. A good passage of play from Scotland"&amp;". [0-1]")</f>
        <v>Oh... hit the bar ! #SCOCZE. Hendry hits the crossbar! Good work from Adams. #SCO. Hits the crossbar.. Scotland National Team.. #SCOCZE. 48' | Off the bar! Jack Hendry's shot from the edge of the box hits the crossbar. A good passage of play from Scotland. [0-1]</v>
      </c>
      <c r="AE11" s="39" t="s">
        <v>18</v>
      </c>
      <c r="AF11" s="40">
        <f>IFERROR(__xludf.DUMMYFUNCTION("""COMPUTED_VALUE"""),44361.59263888889)</f>
        <v>44361.59264</v>
      </c>
      <c r="AG11" s="5" t="str">
        <f>IFERROR(__xludf.DUMMYFUNCTION("""COMPUTED_VALUE"""),"Patrik Schick is the best player in the world tbh. Patrik Schick just pissed me off with his class. OUT OF THIS WORLD FROM PATRIK SCHICK 🤯.")</f>
        <v>Patrik Schick is the best player in the world tbh. Patrik Schick just pissed me off with his class. OUT OF THIS WORLD FROM PATRIK SCHICK 🤯.</v>
      </c>
      <c r="AH11" s="39" t="s">
        <v>16</v>
      </c>
      <c r="AI11" s="40">
        <f>IFERROR(__xludf.DUMMYFUNCTION("""COMPUTED_VALUE"""),44361.59501157407)</f>
        <v>44361.59501</v>
      </c>
      <c r="AJ11" s="5" t="str">
        <f>IFERROR(__xludf.DUMMYFUNCTION("""COMPUTED_VALUE"""),"Definitely a fan of the goalie just launching himself into the back of the net. #SCOCZE. The net looks broken from the aftermath of the goal #SCOCZE EURO 2020. The way the keeper went flying into the net is killing me, Schick did him dirty man💀.")</f>
        <v>Definitely a fan of the goalie just launching himself into the back of the net. #SCOCZE. The net looks broken from the aftermath of the goal #SCOCZE EURO 2020. The way the keeper went flying into the net is killing me, Schick did him dirty man💀.</v>
      </c>
      <c r="AK11" s="39" t="s">
        <v>18</v>
      </c>
      <c r="AL11" s="40"/>
      <c r="AM11" s="5"/>
      <c r="AN11" s="5"/>
      <c r="AO11" s="40"/>
      <c r="AP11" s="5"/>
      <c r="AQ11" s="5"/>
      <c r="AR11" s="40"/>
      <c r="AS11" s="5"/>
      <c r="AT11" s="5"/>
      <c r="AU11" s="40"/>
      <c r="AV11" s="5"/>
      <c r="AW11" s="5"/>
      <c r="AX11" s="40"/>
      <c r="AY11" s="5"/>
      <c r="AZ11" s="5"/>
      <c r="BA11" s="40"/>
      <c r="BB11" s="5"/>
      <c r="BC11" s="5"/>
      <c r="BD11" s="40"/>
      <c r="BE11" s="5"/>
      <c r="BF11" s="5"/>
      <c r="BG11" s="40"/>
      <c r="BH11" s="5"/>
      <c r="BI11" s="5"/>
      <c r="BJ11" s="40"/>
      <c r="BK11" s="5"/>
      <c r="BL11" s="5"/>
      <c r="BM11" s="40"/>
      <c r="BN11" s="5"/>
      <c r="BO11" s="5"/>
      <c r="BP11" s="40"/>
      <c r="BQ11" s="5"/>
      <c r="BR11" s="5"/>
      <c r="BS11" s="40"/>
      <c r="BT11" s="5"/>
      <c r="BU11" s="5"/>
      <c r="BV11" s="40"/>
      <c r="BW11" s="5"/>
      <c r="BX11" s="5"/>
      <c r="BY11" s="40"/>
      <c r="BZ11" s="5"/>
      <c r="CA11" s="5"/>
      <c r="CB11" s="40"/>
      <c r="CC11" s="5"/>
      <c r="CD11" s="5"/>
      <c r="CE11" s="40"/>
      <c r="CF11" s="5"/>
      <c r="CG11" s="5"/>
      <c r="CH11" s="40"/>
      <c r="CI11" s="5"/>
      <c r="CJ11" s="5"/>
      <c r="CK11" s="40"/>
      <c r="CL11" s="5"/>
      <c r="CM11" s="5"/>
      <c r="CN11" s="40"/>
      <c r="CO11" s="5"/>
      <c r="CP11" s="5"/>
      <c r="CQ11" s="40"/>
      <c r="CR11" s="5"/>
      <c r="CS11" s="5"/>
      <c r="CT11" s="5"/>
      <c r="CU11" s="5"/>
      <c r="CV11" s="5"/>
      <c r="CW11" s="5"/>
      <c r="CX11" s="5"/>
      <c r="CY11" s="5"/>
      <c r="CZ11" s="5"/>
      <c r="DA11" s="5"/>
      <c r="DB11" s="5"/>
      <c r="DC11" s="5"/>
      <c r="DD11" s="5"/>
      <c r="DE11" s="5"/>
      <c r="DF11" s="5"/>
    </row>
    <row r="12">
      <c r="A12" s="19" t="s">
        <v>16</v>
      </c>
      <c r="B12" s="19" t="s">
        <v>38</v>
      </c>
      <c r="C12" s="30">
        <f>IFERROR(__xludf.DUMMYFUNCTION("SUM(FILTER($E5:DF5, (COLUMN($E5:DF5)) / 3 = ROUND((COLUMN($E5:DF5)) / 3), NOT(ISERROR($E5:DF5))))"),10.0)</f>
        <v>10</v>
      </c>
      <c r="D12" s="26">
        <f t="shared" si="63"/>
        <v>0.1886792453</v>
      </c>
      <c r="E12" s="40">
        <f>IFERROR(__xludf.DUMMYFUNCTION("""COMPUTED_VALUE"""),44361.564664351856)</f>
        <v>44361.56466</v>
      </c>
      <c r="F12" s="5" t="str">
        <f>IFERROR(__xludf.DUMMYFUNCTION("""COMPUTED_VALUE"""),"Class save #CZE. It’s a good save. ‘Mon!!!!! #SCO EURO 2020. Huge chance for #SCO. Great football but what a save! EURO 2020. That was goal-bound from Robertson. Need save for #CZE. Crazy save by Czech keeper EURO 2020. Fantastic save #Sco #CZE. What a sa"&amp;"ve from Vaclik!")</f>
        <v>Class save #CZE. It’s a good save. ‘Mon!!!!! #SCO EURO 2020. Huge chance for #SCO. Great football but what a save! EURO 2020. That was goal-bound from Robertson. Need save for #CZE. Crazy save by Czech keeper EURO 2020. Fantastic save #Sco #CZE. What a save from Vaclik!</v>
      </c>
      <c r="G12" s="39" t="s">
        <v>18</v>
      </c>
      <c r="H12" s="40">
        <f>IFERROR(__xludf.DUMMYFUNCTION("""COMPUTED_VALUE"""),44361.57158564815)</f>
        <v>44361.57159</v>
      </c>
      <c r="I12" s="5" t="str">
        <f>IFERROR(__xludf.DUMMYFUNCTION("""COMPUTED_VALUE"""),"See, it wasn't Soucek but a header from a cross. Stop them putting crosses in. Coufal with a free run and cross, horrendous defending 🥴. Coufal has been torched at the back by Robertson but that was a great cross for Schick to open the scoring #CZE 1-0.")</f>
        <v>See, it wasn't Soucek but a header from a cross. Stop them putting crosses in. Coufal with a free run and cross, horrendous defending 🥴. Coufal has been torched at the back by Robertson but that was a great cross for Schick to open the scoring #CZE 1-0.</v>
      </c>
      <c r="J12" s="39" t="s">
        <v>17</v>
      </c>
      <c r="K12" s="40">
        <f>IFERROR(__xludf.DUMMYFUNCTION("""COMPUTED_VALUE"""),44361.57231481481)</f>
        <v>44361.57231</v>
      </c>
      <c r="L12" s="5" t="str">
        <f>IFERROR(__xludf.DUMMYFUNCTION("""COMPUTED_VALUE"""),"Goallll Czech Republic take the lead Patrick Schick has scored. Goal Schick. Another Bundesliga player.. #SCOCZE. Schick his looked a player throughout. Schick takes the lead for #SCO. EURO 2020. Lovely run by Coufal before assisting Schick. Quality playe"&amp;"r.. EURO 2020 #SCOCZE.")</f>
        <v>Goallll Czech Republic take the lead Patrick Schick has scored. Goal Schick. Another Bundesliga player.. #SCOCZE. Schick his looked a player throughout. Schick takes the lead for #SCO. EURO 2020. Lovely run by Coufal before assisting Schick. Quality player.. EURO 2020 #SCOCZE.</v>
      </c>
      <c r="M12" s="39" t="s">
        <v>17</v>
      </c>
      <c r="N12" s="40">
        <f>IFERROR(__xludf.DUMMYFUNCTION("""COMPUTED_VALUE"""),44361.57462962963)</f>
        <v>44361.57463</v>
      </c>
      <c r="O12" s="5" t="str">
        <f>IFERROR(__xludf.DUMMYFUNCTION("""COMPUTED_VALUE"""),"🇨🇿 Schick nods in his 12th international goal in 27 appearances for Czech Republic ⚽️. EURO 2020. Oh, the Czechs scored? #SCOCZE. Juventus legend Patrick Schick scoring against Scotland. Schick is a player who ghosts the whole game but somehow will scor"&amp;"e out of nowhere 🤷🤷.")</f>
        <v>🇨🇿 Schick nods in his 12th international goal in 27 appearances for Czech Republic ⚽️. EURO 2020. Oh, the Czechs scored? #SCOCZE. Juventus legend Patrick Schick scoring against Scotland. Schick is a player who ghosts the whole game but somehow will score out of nowhere 🤷🤷.</v>
      </c>
      <c r="P12" s="39" t="s">
        <v>18</v>
      </c>
      <c r="Q12" s="40">
        <f>IFERROR(__xludf.DUMMYFUNCTION("""COMPUTED_VALUE"""),44361.59034722223)</f>
        <v>44361.59035</v>
      </c>
      <c r="R12" s="5" t="str">
        <f>IFERROR(__xludf.DUMMYFUNCTION("""COMPUTED_VALUE"""),"CHE GOL SCHICK. SCHICK CO ZA GOL. Che gol di Schick!!!! Offf ne gol be EURO 2020. GOL | #SCO 0-2 #CZE, 53' Schick. QUE GOL SCHICK. GOOOLLL!! SCHICKKKK 52.' #SCO 0-2 #CZE. VERY VERY SICK! ¡Goooooooool de #CZE! Patrick'ten Schick bir gol!!! Ohhh gade on gol"&amp;" Schick fe.")</f>
        <v>CHE GOL SCHICK. SCHICK CO ZA GOL. Che gol di Schick!!!! Offf ne gol be EURO 2020. GOL | #SCO 0-2 #CZE, 53' Schick. QUE GOL SCHICK. GOOOLLL!! SCHICKKKK 52.' #SCO 0-2 #CZE. VERY VERY SICK! ¡Goooooooool de #CZE! Patrick'ten Schick bir gol!!! Ohhh gade on gol Schick fe.</v>
      </c>
      <c r="S12" s="39" t="s">
        <v>17</v>
      </c>
      <c r="T12" s="40">
        <f>IFERROR(__xludf.DUMMYFUNCTION("""COMPUTED_VALUE"""),44361.585277777776)</f>
        <v>44361.58528</v>
      </c>
      <c r="U12" s="5" t="str">
        <f>IFERROR(__xludf.DUMMYFUNCTION("""COMPUTED_VALUE"""),"CHE ADAMS SUPER SUB. Che Adams, good sub that. Need Che on your change this game.. Dykes ain’t doing a thing up top. #SCO 0-1 #CZE. Che Adams on. ✅. Ryan Christie off. ❌. Second half begins. Hopefully Che Adams makes the difference for Scotland. Need some"&amp;" more help upfront.")</f>
        <v>CHE ADAMS SUPER SUB. Che Adams, good sub that. Need Che on your change this game.. Dykes ain’t doing a thing up top. #SCO 0-1 #CZE. Che Adams on. ✅. Ryan Christie off. ❌. Second half begins. Hopefully Che Adams makes the difference for Scotland. Need some more help upfront.</v>
      </c>
      <c r="V12" s="39" t="s">
        <v>17</v>
      </c>
      <c r="W12" s="40">
        <f>IFERROR(__xludf.DUMMYFUNCTION("""COMPUTED_VALUE"""),44361.575057870374)</f>
        <v>44361.57506</v>
      </c>
      <c r="X12" s="5" t="str">
        <f>IFERROR(__xludf.DUMMYFUNCTION("""COMPUTED_VALUE"""),"Fuck you Steve Clarke. Played quality attacking football against Netherlands just to play like a pussy today. A goal down, despite playing the better football in the first half.. we're still in this #SCO. Premier League penalty for Mctominay there.")</f>
        <v>Fuck you Steve Clarke. Played quality attacking football against Netherlands just to play like a pussy today. A goal down, despite playing the better football in the first half.. we're still in this #SCO. Premier League penalty for Mctominay there.</v>
      </c>
      <c r="Y12" s="39" t="s">
        <v>18</v>
      </c>
      <c r="Z12" s="40">
        <f>IFERROR(__xludf.DUMMYFUNCTION("""COMPUTED_VALUE"""),44361.57751157407)</f>
        <v>44361.57751</v>
      </c>
      <c r="AA12" s="5" t="str">
        <f>IFERROR(__xludf.DUMMYFUNCTION("""COMPUTED_VALUE"""),"Ref has Donkey Brains. #SCO. #SCOCZE this ref is a wee dick. Are they using VAR at this tournament? #SCOCZE. ODonnell off, Forrest on, Calmac too. Oh, could we put the VAR plug back in the socket? This ref's lost it.")</f>
        <v>Ref has Donkey Brains. #SCO. #SCOCZE this ref is a wee dick. Are they using VAR at this tournament? #SCOCZE. ODonnell off, Forrest on, Calmac too. Oh, could we put the VAR plug back in the socket? This ref's lost it.</v>
      </c>
      <c r="AB12" s="39" t="s">
        <v>16</v>
      </c>
      <c r="AE12" s="5"/>
      <c r="AH12" s="5"/>
      <c r="AI12" s="40">
        <f>IFERROR(__xludf.DUMMYFUNCTION("""COMPUTED_VALUE"""),44361.59643518519)</f>
        <v>44361.59644</v>
      </c>
      <c r="AJ12" s="5" t="str">
        <f>IFERROR(__xludf.DUMMYFUNCTION("""COMPUTED_VALUE"""),"Thought that was deflecting in then😭 #SCOCZE EURO 2020. Scotland very unlucky yet again. Stuart Armstrong goes close but it deflects over the bar. (61) - Armstrong's shot is deflected over the bar. #SCOCZE. Armstrong’s shot takes a deflection ends up on "&amp;"top of the netting! #SCO.")</f>
        <v>Thought that was deflecting in then😭 #SCOCZE EURO 2020. Scotland very unlucky yet again. Stuart Armstrong goes close but it deflects over the bar. (61) - Armstrong's shot is deflected over the bar. #SCOCZE. Armstrong’s shot takes a deflection ends up on top of the netting! #SCO.</v>
      </c>
      <c r="AK12" s="39" t="s">
        <v>18</v>
      </c>
      <c r="AL12" s="40"/>
      <c r="AM12" s="5"/>
      <c r="AN12" s="5"/>
      <c r="AO12" s="40"/>
      <c r="AP12" s="5"/>
      <c r="AQ12" s="5"/>
      <c r="AR12" s="40"/>
      <c r="AS12" s="5"/>
      <c r="AT12" s="5"/>
      <c r="AU12" s="40"/>
      <c r="AV12" s="5"/>
      <c r="AW12" s="5"/>
      <c r="AX12" s="40"/>
      <c r="AY12" s="5"/>
      <c r="AZ12" s="5"/>
      <c r="BA12" s="40"/>
      <c r="BB12" s="5"/>
      <c r="BC12" s="5"/>
      <c r="BD12" s="40"/>
      <c r="BE12" s="5"/>
      <c r="BF12" s="5"/>
      <c r="BG12" s="40"/>
      <c r="BH12" s="5"/>
      <c r="BI12" s="5"/>
      <c r="BJ12" s="40"/>
      <c r="BK12" s="5"/>
      <c r="BL12" s="5"/>
      <c r="BM12" s="40"/>
      <c r="BN12" s="5"/>
      <c r="BO12" s="5"/>
      <c r="BP12" s="40"/>
      <c r="BQ12" s="5"/>
      <c r="BR12" s="5"/>
      <c r="BS12" s="40"/>
      <c r="BT12" s="5"/>
      <c r="BU12" s="5"/>
      <c r="BV12" s="40"/>
      <c r="BW12" s="5"/>
      <c r="BX12" s="5"/>
      <c r="BY12" s="40"/>
      <c r="BZ12" s="5"/>
      <c r="CA12" s="5"/>
      <c r="CB12" s="40"/>
      <c r="CC12" s="5"/>
      <c r="CD12" s="5"/>
      <c r="CE12" s="40"/>
      <c r="CF12" s="5"/>
      <c r="CG12" s="5"/>
      <c r="CH12" s="40"/>
      <c r="CI12" s="5"/>
      <c r="CJ12" s="5"/>
      <c r="CK12" s="40"/>
      <c r="CL12" s="5"/>
      <c r="CM12" s="5"/>
      <c r="CN12" s="40"/>
      <c r="CO12" s="5"/>
      <c r="CP12" s="5"/>
      <c r="CQ12" s="40"/>
      <c r="CR12" s="5"/>
      <c r="CS12" s="5"/>
      <c r="CT12" s="5"/>
      <c r="CU12" s="5"/>
      <c r="CV12" s="5"/>
      <c r="CW12" s="5"/>
      <c r="CX12" s="5"/>
      <c r="CY12" s="5"/>
      <c r="CZ12" s="5"/>
      <c r="DA12" s="5"/>
      <c r="DB12" s="5"/>
      <c r="DC12" s="5"/>
      <c r="DD12" s="5"/>
      <c r="DE12" s="5"/>
      <c r="DF12" s="5"/>
    </row>
    <row r="13">
      <c r="A13" s="19" t="s">
        <v>17</v>
      </c>
      <c r="B13" s="19" t="s">
        <v>39</v>
      </c>
      <c r="C13" s="30">
        <f>IFERROR(__xludf.DUMMYFUNCTION("SUM(FILTER($E6:DF6, (COLUMN($E6:DF6)) / 3 = ROUND((COLUMN($E6:DF6)) / 3), NOT(ISERROR($E6:DF6))))"),19.0)</f>
        <v>19</v>
      </c>
      <c r="D13" s="26">
        <f t="shared" si="63"/>
        <v>0.358490566</v>
      </c>
      <c r="E13" s="40">
        <f>IFERROR(__xludf.DUMMYFUNCTION("""COMPUTED_VALUE"""),44361.57197916666)</f>
        <v>44361.57198</v>
      </c>
      <c r="F13" s="5" t="str">
        <f>IFERROR(__xludf.DUMMYFUNCTION("""COMPUTED_VALUE"""),"😲 Scotland poor defending. #sco #SCOCZE. Rotten defending #sco #SCOCZE. Coufal with a free run and cross, horrendous defending 🥴. This is pish. Shit defending there and we've still have Armstrong and O'Donnell on the pitch. Schick dunked on that defende"&amp;"r.")</f>
        <v>😲 Scotland poor defending. #sco #SCOCZE. Rotten defending #sco #SCOCZE. Coufal with a free run and cross, horrendous defending 🥴. This is pish. Shit defending there and we've still have Armstrong and O'Donnell on the pitch. Schick dunked on that defender.</v>
      </c>
      <c r="G13" s="39" t="s">
        <v>18</v>
      </c>
      <c r="J13" s="5"/>
      <c r="K13" s="40">
        <f>IFERROR(__xludf.DUMMYFUNCTION("""COMPUTED_VALUE"""),44361.59018518518)</f>
        <v>44361.59019</v>
      </c>
      <c r="L13" s="5" t="str">
        <f>IFERROR(__xludf.DUMMYFUNCTION("""COMPUTED_VALUE"""),"Take a freaking bow Patrik Schick. What a goal.... take a bow son #SCOCZE. Just wow! Schick take a bow! Patrick Schick, take a fucking bow. Insane goal. Schick take a fucking bow. Take a bow Patrick Schick, OMG. Best goal of the tournament! Take a bow Sch"&amp;"ick Euro 2020.")</f>
        <v>Take a freaking bow Patrik Schick. What a goal.... take a bow son #SCOCZE. Just wow! Schick take a bow! Patrick Schick, take a fucking bow. Insane goal. Schick take a fucking bow. Take a bow Patrick Schick, OMG. Best goal of the tournament! Take a bow Schick Euro 2020.</v>
      </c>
      <c r="M13" s="39" t="s">
        <v>17</v>
      </c>
      <c r="N13" s="40">
        <f>IFERROR(__xludf.DUMMYFUNCTION("""COMPUTED_VALUE"""),44361.575833333336)</f>
        <v>44361.57583</v>
      </c>
      <c r="O13" s="5" t="str">
        <f>IFERROR(__xludf.DUMMYFUNCTION("""COMPUTED_VALUE"""),"We should not be losing a goal like that. Go and meet the header. Make it yours.. Big 2nd half ahead. #SCOCZE. is the first YouTuber to score at EURO 2020, having opened the scoring vs. Scotland. Excellent header. 🔥. Coufal with the assist! Irons! #COYI "&amp;"⚒️. Coufal assist 👀.")</f>
        <v>We should not be losing a goal like that. Go and meet the header. Make it yours.. Big 2nd half ahead. #SCOCZE. is the first YouTuber to score at EURO 2020, having opened the scoring vs. Scotland. Excellent header. 🔥. Coufal with the assist! Irons! #COYI ⚒️. Coufal assist 👀.</v>
      </c>
      <c r="P13" s="39" t="s">
        <v>16</v>
      </c>
      <c r="S13" s="5"/>
      <c r="T13" s="40">
        <f>IFERROR(__xludf.DUMMYFUNCTION("""COMPUTED_VALUE"""),44361.590370370366)</f>
        <v>44361.59037</v>
      </c>
      <c r="U13" s="5" t="str">
        <f>IFERROR(__xludf.DUMMYFUNCTION("""COMPUTED_VALUE"""),"GOAL Patrik Schick again. Lobbed David Marshall from just inside the Scotland half. 2-0 Czech Republic. Gooooallll Schick from half line , Scotland in the mud. Jesus fuck, that second Schick goal at #SCOCZE. Patrick Schick , what goal Goosebumps , This wh"&amp;"at EURO 2020 needed.")</f>
        <v>GOAL Patrik Schick again. Lobbed David Marshall from just inside the Scotland half. 2-0 Czech Republic. Gooooallll Schick from half line , Scotland in the mud. Jesus fuck, that second Schick goal at #SCOCZE. Patrick Schick , what goal Goosebumps , This what EURO 2020 needed.</v>
      </c>
      <c r="V13" s="39" t="s">
        <v>17</v>
      </c>
      <c r="W13" s="40">
        <f>IFERROR(__xludf.DUMMYFUNCTION("""COMPUTED_VALUE"""),44361.59135416667)</f>
        <v>44361.59135</v>
      </c>
      <c r="X13" s="5" t="str">
        <f>IFERROR(__xludf.DUMMYFUNCTION("""COMPUTED_VALUE"""),"OH BLOODY FOOTBALL GODS WHAT A GOAL BY SCHICK. The Schick they use to hype is finally showing up on the big stage. That tenner I had on Schick to win the… nah I’m kidding. International football is Schick anyway. Patrik Schick is my new favourite football"&amp;"er #SCOCZE.")</f>
        <v>OH BLOODY FOOTBALL GODS WHAT A GOAL BY SCHICK. The Schick they use to hype is finally showing up on the big stage. That tenner I had on Schick to win the… nah I’m kidding. International football is Schick anyway. Patrik Schick is my new favourite footballer #SCOCZE.</v>
      </c>
      <c r="Y13" s="39" t="s">
        <v>17</v>
      </c>
      <c r="Z13" s="40">
        <f>IFERROR(__xludf.DUMMYFUNCTION("""COMPUTED_VALUE"""),44361.591099537036)</f>
        <v>44361.5911</v>
      </c>
      <c r="AA13" s="5" t="str">
        <f>IFERROR(__xludf.DUMMYFUNCTION("""COMPUTED_VALUE"""),"Poor decision from hendry, not good enough. Fuck Jack Hendry. Stupid stupid decision. Poor decision from Jack Hendry! Get jack Hendry tae fuck btw, nonsense decision to try and take that on. That’s on hendry !! … bad decision making. Moronic decision to s"&amp;"hoot from Hendry.")</f>
        <v>Poor decision from hendry, not good enough. Fuck Jack Hendry. Stupid stupid decision. Poor decision from Jack Hendry! Get jack Hendry tae fuck btw, nonsense decision to try and take that on. That’s on hendry !! … bad decision making. Moronic decision to shoot from Hendry.</v>
      </c>
      <c r="AB13" s="39" t="s">
        <v>15</v>
      </c>
      <c r="AE13" s="5"/>
      <c r="AH13" s="5"/>
      <c r="AK13" s="5"/>
      <c r="AL13" s="40"/>
      <c r="AM13" s="5"/>
      <c r="AN13" s="5"/>
      <c r="AO13" s="40"/>
      <c r="AP13" s="5"/>
      <c r="AQ13" s="5"/>
      <c r="AR13" s="40"/>
      <c r="AS13" s="5"/>
      <c r="AT13" s="5"/>
      <c r="AU13" s="40"/>
      <c r="AV13" s="5"/>
      <c r="AW13" s="5"/>
      <c r="AX13" s="40"/>
      <c r="AY13" s="5"/>
      <c r="AZ13" s="5"/>
      <c r="BA13" s="40"/>
      <c r="BB13" s="5"/>
      <c r="BC13" s="5"/>
      <c r="BD13" s="40"/>
      <c r="BE13" s="5"/>
      <c r="BF13" s="5"/>
      <c r="BG13" s="40"/>
      <c r="BH13" s="5"/>
      <c r="BI13" s="5"/>
      <c r="BJ13" s="40"/>
      <c r="BK13" s="5"/>
      <c r="BL13" s="5"/>
      <c r="BM13" s="40"/>
      <c r="BN13" s="5"/>
      <c r="BO13" s="5"/>
      <c r="BP13" s="40"/>
      <c r="BQ13" s="5"/>
      <c r="BR13" s="5"/>
      <c r="BS13" s="40"/>
      <c r="BT13" s="5"/>
      <c r="BU13" s="5"/>
      <c r="BV13" s="40"/>
      <c r="BW13" s="5"/>
      <c r="BX13" s="5"/>
      <c r="BY13" s="40"/>
      <c r="BZ13" s="5"/>
      <c r="CA13" s="5"/>
      <c r="CB13" s="40"/>
      <c r="CC13" s="5"/>
      <c r="CD13" s="5"/>
      <c r="CE13" s="40"/>
      <c r="CF13" s="5"/>
      <c r="CG13" s="5"/>
      <c r="CH13" s="40"/>
      <c r="CI13" s="5"/>
      <c r="CJ13" s="5"/>
      <c r="CK13" s="40"/>
      <c r="CL13" s="5"/>
      <c r="CM13" s="5"/>
      <c r="CN13" s="40"/>
      <c r="CO13" s="5"/>
      <c r="CP13" s="5"/>
      <c r="CQ13" s="40"/>
      <c r="CR13" s="5"/>
      <c r="CS13" s="5"/>
      <c r="CT13" s="5"/>
      <c r="CU13" s="5"/>
      <c r="CV13" s="5"/>
      <c r="CW13" s="5"/>
      <c r="CX13" s="5"/>
      <c r="CY13" s="5"/>
      <c r="CZ13" s="5"/>
      <c r="DA13" s="5"/>
      <c r="DB13" s="5"/>
      <c r="DC13" s="5"/>
      <c r="DD13" s="5"/>
      <c r="DE13" s="5"/>
      <c r="DF13" s="5"/>
    </row>
    <row r="14">
      <c r="A14" s="19" t="s">
        <v>18</v>
      </c>
      <c r="B14" s="19" t="s">
        <v>40</v>
      </c>
      <c r="C14" s="30">
        <f>IFERROR(__xludf.DUMMYFUNCTION("SUM(FILTER($E7:DF7, (COLUMN($E7:DF7)) / 3 = ROUND((COLUMN($E7:DF7)) / 3), NOT(ISERROR($E7:DF7))))"),18.0)</f>
        <v>18</v>
      </c>
      <c r="D14" s="26">
        <f t="shared" si="63"/>
        <v>0.3396226415</v>
      </c>
      <c r="E14" s="40">
        <f>IFERROR(__xludf.DUMMYFUNCTION("""COMPUTED_VALUE"""),44361.59060185185)</f>
        <v>44361.5906</v>
      </c>
      <c r="F14" s="5" t="str">
        <f>IFERROR(__xludf.DUMMYFUNCTION("""COMPUTED_VALUE"""),"What a finish!!!!!! What's the keeper doing out there 😂 #CZE #sco. Best goal of the tournament! Take a bow Schick Euro 2020. Fucking hell!!! See Schick's goal. Saw the keeper off his line. Patrick schik might have scored the best goal of EURO 2020.")</f>
        <v>What a finish!!!!!! What's the keeper doing out there 😂 #CZE #sco. Best goal of the tournament! Take a bow Schick Euro 2020. Fucking hell!!! See Schick's goal. Saw the keeper off his line. Patrick schik might have scored the best goal of EURO 2020.</v>
      </c>
      <c r="G14" s="39" t="s">
        <v>17</v>
      </c>
      <c r="J14" s="5"/>
      <c r="K14" s="40">
        <f>IFERROR(__xludf.DUMMYFUNCTION("""COMPUTED_VALUE"""),44361.5997337963)</f>
        <v>44361.59973</v>
      </c>
      <c r="L14" s="5" t="str">
        <f>IFERROR(__xludf.DUMMYFUNCTION("""COMPUTED_VALUE"""),"Take off dykes. This Lyndon Dykes player is terrible. Why didn’t Dykes just put his foot through it?? Shite player. Dykes might actually be the worst player to ever grace the Euros. TAKE DYKES OFF 🤬🤬🤬🤬. Send Dykes home. Awful awful player. Dykes is a "&amp;"useless player wtf #SCO.")</f>
        <v>Take off dykes. This Lyndon Dykes player is terrible. Why didn’t Dykes just put his foot through it?? Shite player. Dykes might actually be the worst player to ever grace the Euros. TAKE DYKES OFF 🤬🤬🤬🤬. Send Dykes home. Awful awful player. Dykes is a useless player wtf #SCO.</v>
      </c>
      <c r="M14" s="39" t="s">
        <v>16</v>
      </c>
      <c r="N14" s="40">
        <f>IFERROR(__xludf.DUMMYFUNCTION("""COMPUTED_VALUE"""),44361.57703703704)</f>
        <v>44361.57704</v>
      </c>
      <c r="O14" s="5" t="str">
        <f>IFERROR(__xludf.DUMMYFUNCTION("""COMPUTED_VALUE"""),"Disappointing to concede having played well for most of the half. #SCOCZE. Best tackle of the first half half was Stephen O’Donnells on John McGinn when he was through on goal 😑. Great goal from Schick just before half time! Can Scotland bounce back EURO"&amp;" 2020.")</f>
        <v>Disappointing to concede having played well for most of the half. #SCOCZE. Best tackle of the first half half was Stephen O’Donnells on John McGinn when he was through on goal 😑. Great goal from Schick just before half time! Can Scotland bounce back EURO 2020.</v>
      </c>
      <c r="P14" s="39" t="s">
        <v>18</v>
      </c>
      <c r="S14" s="5"/>
      <c r="T14" s="40">
        <f>IFERROR(__xludf.DUMMYFUNCTION("""COMPUTED_VALUE"""),44361.602268518516)</f>
        <v>44361.60227</v>
      </c>
      <c r="U14" s="5" t="str">
        <f>IFERROR(__xludf.DUMMYFUNCTION("""COMPUTED_VALUE"""),"I didnt know half these guys were Scottish. Armstrong and Liam Cooper specifically. Schick finish! Wonderful second goal for #CZE just when #SCO were getting into it. David Marshall… 100% to blame for second goal! Scotland National Team 😡.")</f>
        <v>I didnt know half these guys were Scottish. Armstrong and Liam Cooper specifically. Schick finish! Wonderful second goal for #CZE just when #SCO were getting into it. David Marshall… 100% to blame for second goal! Scotland National Team 😡.</v>
      </c>
      <c r="V14" s="39" t="s">
        <v>14</v>
      </c>
      <c r="W14" s="40">
        <f>IFERROR(__xludf.DUMMYFUNCTION("""COMPUTED_VALUE"""),44361.592824074076)</f>
        <v>44361.59282</v>
      </c>
      <c r="X14" s="5" t="str">
        <f>IFERROR(__xludf.DUMMYFUNCTION("""COMPUTED_VALUE"""),"Teamspirt💪🏻🔥 What a win en great atmosphere 🦁 EURO 2020. I feel sorry for people that don't like football EURO 2020. I actually predicted #SCO to win this game 1-0 lmaooo. I'm sorry Scotland, you'll never win with an ex Norwich goalkeeper #SCOCZE #Eur"&amp;"os.")</f>
        <v>Teamspirt💪🏻🔥 What a win en great atmosphere 🦁 EURO 2020. I feel sorry for people that don't like football EURO 2020. I actually predicted #SCO to win this game 1-0 lmaooo. I'm sorry Scotland, you'll never win with an ex Norwich goalkeeper #SCOCZE #Euros.</v>
      </c>
      <c r="Y14" s="39" t="s">
        <v>16</v>
      </c>
      <c r="Z14" s="40">
        <f>IFERROR(__xludf.DUMMYFUNCTION("""COMPUTED_VALUE"""),44361.59414351852)</f>
        <v>44361.59414</v>
      </c>
      <c r="AA14" s="5" t="str">
        <f>IFERROR(__xludf.DUMMYFUNCTION("""COMPUTED_VALUE"""),"Irrelevant to everything but i do enjoy referees in pink #SCOCZE. Why is Ander Herrera refereeing this match? #SCOCZE. This referee is an absolute clown. #SCOCZE. Getting absolutely nothing at all out of this referee #sco.")</f>
        <v>Irrelevant to everything but i do enjoy referees in pink #SCOCZE. Why is Ander Herrera refereeing this match? #SCOCZE. This referee is an absolute clown. #SCOCZE. Getting absolutely nothing at all out of this referee #sco.</v>
      </c>
      <c r="AB14" s="39" t="s">
        <v>16</v>
      </c>
      <c r="AE14" s="5"/>
      <c r="AH14" s="5"/>
      <c r="AK14" s="5"/>
      <c r="AL14" s="40"/>
      <c r="AM14" s="5"/>
      <c r="AN14" s="5"/>
      <c r="AO14" s="40"/>
      <c r="AP14" s="5"/>
      <c r="AQ14" s="5"/>
      <c r="AR14" s="40"/>
      <c r="AS14" s="5"/>
      <c r="AT14" s="5"/>
      <c r="AU14" s="40"/>
      <c r="AV14" s="5"/>
      <c r="AW14" s="5"/>
      <c r="AX14" s="40"/>
      <c r="AY14" s="5"/>
      <c r="AZ14" s="5"/>
      <c r="BA14" s="40"/>
      <c r="BB14" s="5"/>
      <c r="BC14" s="5"/>
      <c r="BD14" s="40"/>
      <c r="BE14" s="5"/>
      <c r="BF14" s="5"/>
      <c r="BG14" s="40"/>
      <c r="BH14" s="5"/>
      <c r="BI14" s="5"/>
      <c r="BJ14" s="40"/>
      <c r="BK14" s="5"/>
      <c r="BL14" s="5"/>
      <c r="BM14" s="40"/>
      <c r="BN14" s="5"/>
      <c r="BO14" s="5"/>
      <c r="BP14" s="40"/>
      <c r="BQ14" s="5"/>
      <c r="BR14" s="5"/>
      <c r="BS14" s="40"/>
      <c r="BT14" s="5"/>
      <c r="BU14" s="5"/>
      <c r="BV14" s="40"/>
      <c r="BW14" s="5"/>
      <c r="BX14" s="5"/>
      <c r="BY14" s="40"/>
      <c r="BZ14" s="5"/>
      <c r="CA14" s="5"/>
      <c r="CB14" s="40"/>
      <c r="CC14" s="5"/>
      <c r="CD14" s="5"/>
      <c r="CE14" s="40"/>
      <c r="CF14" s="5"/>
      <c r="CG14" s="5"/>
      <c r="CH14" s="40"/>
      <c r="CI14" s="5"/>
      <c r="CJ14" s="5"/>
      <c r="CK14" s="40"/>
      <c r="CL14" s="5"/>
      <c r="CM14" s="5"/>
      <c r="CN14" s="40"/>
      <c r="CO14" s="5"/>
      <c r="CP14" s="5"/>
      <c r="CQ14" s="40"/>
      <c r="CR14" s="5"/>
      <c r="CS14" s="5"/>
      <c r="CT14" s="5"/>
      <c r="CU14" s="5"/>
      <c r="CV14" s="5"/>
      <c r="CW14" s="5"/>
      <c r="CX14" s="5"/>
      <c r="CY14" s="5"/>
      <c r="CZ14" s="5"/>
      <c r="DA14" s="5"/>
      <c r="DB14" s="5"/>
      <c r="DC14" s="5"/>
      <c r="DD14" s="5"/>
      <c r="DE14" s="5"/>
      <c r="DF14" s="5"/>
    </row>
    <row r="15">
      <c r="A15" s="19"/>
      <c r="B15" s="14" t="s">
        <v>41</v>
      </c>
      <c r="C15" s="31">
        <f t="shared" ref="C15:D15" si="64">SUM(C10:C14)</f>
        <v>53</v>
      </c>
      <c r="D15" s="26">
        <f t="shared" si="64"/>
        <v>1</v>
      </c>
      <c r="E15" s="40">
        <f>IFERROR(__xludf.DUMMYFUNCTION("""COMPUTED_VALUE"""),44361.595937499995)</f>
        <v>44361.59594</v>
      </c>
      <c r="F15" s="5" t="str">
        <f>IFERROR(__xludf.DUMMYFUNCTION("""COMPUTED_VALUE"""),"Scotland missed 3 chances could have scored 3 if the goalkeeper of #CZE wouldn't have stopped it saves in first half. TOP SAVE BY VACLIK 🇨🇿. McLaughlin wd have saved that 🤣. You don’t save those! 🤣. #SCOCZE EURO 2020..")</f>
        <v>Scotland missed 3 chances could have scored 3 if the goalkeeper of #CZE wouldn't have stopped it saves in first half. TOP SAVE BY VACLIK 🇨🇿. McLaughlin wd have saved that 🤣. You don’t save those! 🤣. #SCOCZE EURO 2020..</v>
      </c>
      <c r="G15" s="39" t="s">
        <v>18</v>
      </c>
      <c r="J15" s="5"/>
      <c r="K15" s="40">
        <f>IFERROR(__xludf.DUMMYFUNCTION("""COMPUTED_VALUE"""),44361.60943287037)</f>
        <v>44361.60943</v>
      </c>
      <c r="L15" s="5" t="str">
        <f>IFERROR(__xludf.DUMMYFUNCTION("""COMPUTED_VALUE"""),"Craig | ☀️🌵 Suns in FOAH Will Forrest take his shirt off if he scores? FINALLY TAKES O’DONNELL OFF AND PUTS ON FORREST WHEN PATTERSON IS SITTING THERE 😂😂😂😂😂😂😂😂😂😂. And Forrest is on now. Clarke yet again picking players based on current form…. J"&amp;"ames Forrest. Good player.")</f>
        <v>Craig | ☀️🌵 Suns in FOAH Will Forrest take his shirt off if he scores? FINALLY TAKES O’DONNELL OFF AND PUTS ON FORREST WHEN PATTERSON IS SITTING THERE 😂😂😂😂😂😂😂😂😂😂. And Forrest is on now. Clarke yet again picking players based on current form…. James Forrest. Good player.</v>
      </c>
      <c r="M15" s="39" t="s">
        <v>17</v>
      </c>
      <c r="N15" s="40">
        <f>IFERROR(__xludf.DUMMYFUNCTION("""COMPUTED_VALUE"""),44361.58767361111)</f>
        <v>44361.58767</v>
      </c>
      <c r="O15" s="5" t="str">
        <f>IFERROR(__xludf.DUMMYFUNCTION("""COMPUTED_VALUE"""),"Patrik Schick puts the Czech Republic ahead with a great header past David Marshall! His 11th International goal 🇨🇿. 🇨🇿 Patrik Schick has now scored 7 goals in his last 11 games for Czech Republic 🔥. EURO 2020.")</f>
        <v>Patrik Schick puts the Czech Republic ahead with a great header past David Marshall! His 11th International goal 🇨🇿. 🇨🇿 Patrik Schick has now scored 7 goals in his last 11 games for Czech Republic 🔥. EURO 2020.</v>
      </c>
      <c r="P15" s="39" t="s">
        <v>18</v>
      </c>
      <c r="S15" s="5"/>
      <c r="T15" s="40">
        <f>IFERROR(__xludf.DUMMYFUNCTION("""COMPUTED_VALUE"""),44361.603425925925)</f>
        <v>44361.60343</v>
      </c>
      <c r="U15" s="5" t="str">
        <f>IFERROR(__xludf.DUMMYFUNCTION("""COMPUTED_VALUE"""),"Steve Clarke got todays line up and subs all wrong. All FM players watching Hlozek being subbed in at the euros. Vydra good sub to bring on here. Get in behind. He's made 3 subs. Gilmour isn't on. Patterson isn't in. O'Donnell is still on. Mcginn and mcto"&amp;"minay 2nd half.")</f>
        <v>Steve Clarke got todays line up and subs all wrong. All FM players watching Hlozek being subbed in at the euros. Vydra good sub to bring on here. Get in behind. He's made 3 subs. Gilmour isn't on. Patterson isn't in. O'Donnell is still on. Mcginn and mctominay 2nd half.</v>
      </c>
      <c r="V15" s="39" t="s">
        <v>17</v>
      </c>
      <c r="W15" s="40">
        <f>IFERROR(__xludf.DUMMYFUNCTION("""COMPUTED_VALUE"""),44361.5984375)</f>
        <v>44361.59844</v>
      </c>
      <c r="X15" s="5" t="str">
        <f>IFERROR(__xludf.DUMMYFUNCTION("""COMPUTED_VALUE"""),"Lyndon Dykes might be the worst footballer I've ever seen. Is this Dykes boy a footballer? Lyndon Dykes awful footballer. Jesus Lyndon Dykes is a terrible footballer EURO 2020. How's dykes a football player ? This Lyndon Dykes guy has to go back to league"&amp;" one.")</f>
        <v>Lyndon Dykes might be the worst footballer I've ever seen. Is this Dykes boy a footballer? Lyndon Dykes awful footballer. Jesus Lyndon Dykes is a terrible footballer EURO 2020. How's dykes a football player ? This Lyndon Dykes guy has to go back to league one.</v>
      </c>
      <c r="Y15" s="39" t="s">
        <v>16</v>
      </c>
      <c r="Z15" s="40">
        <f>IFERROR(__xludf.DUMMYFUNCTION("""COMPUTED_VALUE"""),44361.61730324074)</f>
        <v>44361.6173</v>
      </c>
      <c r="AA15" s="5" t="str">
        <f>IFERROR(__xludf.DUMMYFUNCTION("""COMPUTED_VALUE"""),"Imagine being a ref at the Euros and being this fucking shite at your job #SCO. The ref's given Scotland nothing today #SCOCZE. This ref is shiiiiiit #SCO #CZE. On a scale of 10-10 how much does this ref need the Czechs to win? EURO 2020 #Scotland.")</f>
        <v>Imagine being a ref at the Euros and being this fucking shite at your job #SCO. The ref's given Scotland nothing today #SCOCZE. This ref is shiiiiiit #SCO #CZE. On a scale of 10-10 how much does this ref need the Czechs to win? EURO 2020 #Scotland.</v>
      </c>
      <c r="AB15" s="39" t="s">
        <v>16</v>
      </c>
      <c r="AE15" s="5"/>
      <c r="AH15" s="5"/>
      <c r="AK15" s="5"/>
      <c r="AL15" s="40"/>
      <c r="AM15" s="5"/>
      <c r="AN15" s="5"/>
      <c r="AO15" s="40"/>
      <c r="AP15" s="5"/>
      <c r="AQ15" s="5"/>
      <c r="AR15" s="40"/>
      <c r="AS15" s="5"/>
      <c r="AT15" s="5"/>
      <c r="AU15" s="40"/>
      <c r="AV15" s="5"/>
      <c r="AW15" s="5"/>
      <c r="AX15" s="40"/>
      <c r="AY15" s="5"/>
      <c r="AZ15" s="5"/>
      <c r="BA15" s="40"/>
      <c r="BB15" s="5"/>
      <c r="BC15" s="5"/>
      <c r="BD15" s="40"/>
      <c r="BE15" s="5"/>
      <c r="BF15" s="5"/>
      <c r="BG15" s="40"/>
      <c r="BH15" s="5"/>
      <c r="BI15" s="5"/>
      <c r="BJ15" s="40"/>
      <c r="BK15" s="5"/>
      <c r="BL15" s="5"/>
      <c r="BM15" s="40"/>
      <c r="BN15" s="5"/>
      <c r="BO15" s="5"/>
      <c r="BP15" s="40"/>
      <c r="BQ15" s="5"/>
      <c r="BR15" s="5"/>
      <c r="BS15" s="40"/>
      <c r="BT15" s="5"/>
      <c r="BU15" s="5"/>
      <c r="BV15" s="40"/>
      <c r="BW15" s="5"/>
      <c r="BX15" s="5"/>
      <c r="BY15" s="40"/>
      <c r="BZ15" s="5"/>
      <c r="CA15" s="5"/>
      <c r="CB15" s="40"/>
      <c r="CC15" s="5"/>
      <c r="CD15" s="5"/>
      <c r="CE15" s="40"/>
      <c r="CF15" s="5"/>
      <c r="CG15" s="5"/>
      <c r="CH15" s="40"/>
      <c r="CI15" s="5"/>
      <c r="CJ15" s="5"/>
      <c r="CK15" s="40"/>
      <c r="CL15" s="5"/>
      <c r="CM15" s="5"/>
      <c r="CN15" s="40"/>
      <c r="CO15" s="5"/>
      <c r="CP15" s="5"/>
      <c r="CQ15" s="40"/>
      <c r="CR15" s="5"/>
      <c r="CS15" s="5"/>
      <c r="CT15" s="5"/>
      <c r="CU15" s="5"/>
      <c r="CV15" s="5"/>
      <c r="CW15" s="5"/>
      <c r="CX15" s="5"/>
      <c r="CY15" s="5"/>
      <c r="CZ15" s="5"/>
      <c r="DA15" s="5"/>
      <c r="DB15" s="5"/>
      <c r="DC15" s="5"/>
      <c r="DD15" s="5"/>
      <c r="DE15" s="5"/>
      <c r="DF15" s="5"/>
    </row>
    <row r="16">
      <c r="A16" s="19"/>
      <c r="B16" s="32" t="s">
        <v>42</v>
      </c>
      <c r="D16" s="26">
        <f>IFERROR(__xludf.DUMMYFUNCTION("AVERAGE(FILTER($E8:DF8, (COLUMN($E8:DF8) - 1) / 3 = ROUND((COLUMN($E8:DF8) - 1) / 3), NOT(ISERROR($E8:DF8))))"),0.7138396956578775)</f>
        <v>0.7138396957</v>
      </c>
      <c r="E16" s="40">
        <f>IFERROR(__xludf.DUMMYFUNCTION("""COMPUTED_VALUE"""),44361.597766203704)</f>
        <v>44361.59777</v>
      </c>
      <c r="F16" s="5" t="str">
        <f>IFERROR(__xludf.DUMMYFUNCTION("""COMPUTED_VALUE"""),"Smdh why is Marshall that far off his line 🤦 Smart by Schick but sh*t from the Scotland goalkeeper 😅 EURO 2020 #SCOCZE. Steve Clarke just changed David Marshall from Sweeper keeper (attack) to Goalkeeper (defend). Marshall, you are a keeper not a sweepe"&amp;"r! #Scotland #SCOCZE.")</f>
        <v>Smdh why is Marshall that far off his line 🤦 Smart by Schick but sh*t from the Scotland goalkeeper 😅 EURO 2020 #SCOCZE. Steve Clarke just changed David Marshall from Sweeper keeper (attack) to Goalkeeper (defend). Marshall, you are a keeper not a sweeper! #Scotland #SCOCZE.</v>
      </c>
      <c r="G16" s="39" t="s">
        <v>18</v>
      </c>
      <c r="J16" s="5"/>
      <c r="K16" s="40">
        <f>IFERROR(__xludf.DUMMYFUNCTION("""COMPUTED_VALUE"""),44361.61655092593)</f>
        <v>44361.61655</v>
      </c>
      <c r="L16" s="5" t="str">
        <f>IFERROR(__xludf.DUMMYFUNCTION("""COMPUTED_VALUE"""),"Watch Steve Clarke come out with some bullshit likes theres been positives to take in his interview after the game 🤦🏻‍♂️🤦🏻‍♂️. Team like Scotland having a player like Billy Gilmour and not using him is absolutely criminal....")</f>
        <v>Watch Steve Clarke come out with some bullshit likes theres been positives to take in his interview after the game 🤦🏻‍♂️🤦🏻‍♂️. Team like Scotland having a player like Billy Gilmour and not using him is absolutely criminal....</v>
      </c>
      <c r="M16" s="39" t="s">
        <v>16</v>
      </c>
      <c r="N16" s="40">
        <f>IFERROR(__xludf.DUMMYFUNCTION("""COMPUTED_VALUE"""),44361.58891203704)</f>
        <v>44361.58891</v>
      </c>
      <c r="O16" s="5" t="str">
        <f>IFERROR(__xludf.DUMMYFUNCTION("""COMPUTED_VALUE"""),"Goal keepers win you matches,look at vaclik with that save. Saved a certain goal there! #CZESCO. I can’t believe one of the potential saves of the tournament will be one that saved an own goal #CZE. Tomas Vaclik just saved Tomas Kalas from scoring a beaut"&amp;"iful own goal.")</f>
        <v>Goal keepers win you matches,look at vaclik with that save. Saved a certain goal there! #CZESCO. I can’t believe one of the potential saves of the tournament will be one that saved an own goal #CZE. Tomas Vaclik just saved Tomas Kalas from scoring a beautiful own goal.</v>
      </c>
      <c r="P16" s="39" t="s">
        <v>18</v>
      </c>
      <c r="S16" s="5"/>
      <c r="T16" s="40">
        <f>IFERROR(__xludf.DUMMYFUNCTION("""COMPUTED_VALUE"""),44361.60912037037)</f>
        <v>44361.60912</v>
      </c>
      <c r="U16" s="5" t="str">
        <f>IFERROR(__xludf.DUMMYFUNCTION("""COMPUTED_VALUE"""),"James Forrest🤣🤣🤣 clarke needs to stay off the sauce. He's just subbed o'donnell for forrest I've got no words. Dykes and Forrest should have been on half an hour ago ffs. 5 subs, Gilmour and Patterson not even brought on. Pathetic.")</f>
        <v>James Forrest🤣🤣🤣 clarke needs to stay off the sauce. He's just subbed o'donnell for forrest I've got no words. Dykes and Forrest should have been on half an hour ago ffs. 5 subs, Gilmour and Patterson not even brought on. Pathetic.</v>
      </c>
      <c r="V16" s="39" t="s">
        <v>17</v>
      </c>
      <c r="W16" s="40">
        <f>IFERROR(__xludf.DUMMYFUNCTION("""COMPUTED_VALUE"""),44361.60055555556)</f>
        <v>44361.60056</v>
      </c>
      <c r="X16" s="5" t="str">
        <f>IFERROR(__xludf.DUMMYFUNCTION("""COMPUTED_VALUE"""),"I know fuck all about football, but that was a goal and a half 😲👏🏻 Schick really did T H A T. Vaclik will finally get the plaudits he deserves at the end of this tournament. If Scotland had even a single good striker they'd be winning this game. #SCOCZ"&amp;"E.")</f>
        <v>I know fuck all about football, but that was a goal and a half 😲👏🏻 Schick really did T H A T. Vaclik will finally get the plaudits he deserves at the end of this tournament. If Scotland had even a single good striker they'd be winning this game. #SCOCZE.</v>
      </c>
      <c r="Y16" s="39" t="s">
        <v>14</v>
      </c>
      <c r="AB16" s="5"/>
      <c r="AE16" s="5"/>
      <c r="AH16" s="5"/>
      <c r="AK16" s="5"/>
      <c r="AL16" s="40"/>
      <c r="AM16" s="5"/>
      <c r="AN16" s="5"/>
      <c r="AO16" s="40"/>
      <c r="AP16" s="5"/>
      <c r="AQ16" s="5"/>
      <c r="AR16" s="40"/>
      <c r="AS16" s="5"/>
      <c r="AT16" s="5"/>
      <c r="AU16" s="40"/>
      <c r="AV16" s="5"/>
      <c r="AW16" s="5"/>
      <c r="AX16" s="40"/>
      <c r="AY16" s="5"/>
      <c r="AZ16" s="5"/>
      <c r="BA16" s="40"/>
      <c r="BB16" s="5"/>
      <c r="BC16" s="5"/>
      <c r="BD16" s="40"/>
      <c r="BE16" s="5"/>
      <c r="BF16" s="5"/>
      <c r="BG16" s="40"/>
      <c r="BH16" s="5"/>
      <c r="BI16" s="5"/>
      <c r="BJ16" s="40"/>
      <c r="BK16" s="5"/>
      <c r="BL16" s="5"/>
      <c r="BM16" s="40"/>
      <c r="BN16" s="5"/>
      <c r="BO16" s="5"/>
      <c r="BP16" s="40"/>
      <c r="BQ16" s="5"/>
      <c r="BR16" s="5"/>
      <c r="BS16" s="40"/>
      <c r="BT16" s="5"/>
      <c r="BU16" s="5"/>
      <c r="BV16" s="40"/>
      <c r="BW16" s="5"/>
      <c r="BX16" s="5"/>
      <c r="BY16" s="40"/>
      <c r="BZ16" s="5"/>
      <c r="CA16" s="5"/>
      <c r="CB16" s="40"/>
      <c r="CC16" s="5"/>
      <c r="CD16" s="5"/>
      <c r="CE16" s="40"/>
      <c r="CF16" s="5"/>
      <c r="CG16" s="5"/>
      <c r="CH16" s="40"/>
      <c r="CI16" s="5"/>
      <c r="CJ16" s="5"/>
      <c r="CK16" s="40"/>
      <c r="CL16" s="5"/>
      <c r="CM16" s="5"/>
      <c r="CN16" s="40"/>
      <c r="CO16" s="5"/>
      <c r="CP16" s="5"/>
      <c r="CQ16" s="40"/>
      <c r="CR16" s="5"/>
      <c r="CS16" s="5"/>
      <c r="CT16" s="5"/>
      <c r="CU16" s="5"/>
      <c r="CV16" s="5"/>
      <c r="CW16" s="5"/>
      <c r="CX16" s="5"/>
      <c r="CY16" s="5"/>
      <c r="CZ16" s="5"/>
      <c r="DA16" s="5"/>
      <c r="DB16" s="5"/>
      <c r="DC16" s="5"/>
      <c r="DD16" s="5"/>
      <c r="DE16" s="5"/>
      <c r="DF16" s="5"/>
    </row>
    <row r="17">
      <c r="B17" s="1" t="s">
        <v>43</v>
      </c>
      <c r="D17" s="6">
        <f>SUM(D13:D14)</f>
        <v>0.6981132075</v>
      </c>
      <c r="E17" s="40">
        <f>IFERROR(__xludf.DUMMYFUNCTION("""COMPUTED_VALUE"""),44361.60170138889)</f>
        <v>44361.6017</v>
      </c>
      <c r="F17" s="5" t="str">
        <f>IFERROR(__xludf.DUMMYFUNCTION("""COMPUTED_VALUE"""),"If only #SCO called up it's best player.... Probably the best goal of the tournament EURO 2020. The wait is nearly over... ⌛. Best of luck to Robert Lewandowski in his opening match of EURO 2020 today! 🔴⚪. David Marshall did his best to keep it out 🧤.")</f>
        <v>If only #SCO called up it's best player.... Probably the best goal of the tournament EURO 2020. The wait is nearly over... ⌛. Best of luck to Robert Lewandowski in his opening match of EURO 2020 today! 🔴⚪. David Marshall did his best to keep it out 🧤.</v>
      </c>
      <c r="G17" s="39" t="s">
        <v>14</v>
      </c>
      <c r="J17" s="5"/>
      <c r="K17" s="40">
        <f>IFERROR(__xludf.DUMMYFUNCTION("""COMPUTED_VALUE"""),44361.62082175926)</f>
        <v>44361.62082</v>
      </c>
      <c r="L17" s="5" t="str">
        <f>IFERROR(__xludf.DUMMYFUNCTION("""COMPUTED_VALUE"""),"Schick is a great player. PATRIK SCHICK TAKE A BOW. Never heard or seen Partrick Schick but ayeee what a player!! At least England Croatia are there for the taking! #SCO. If only the Twitter armchair football players were on the field. They would have had"&amp;" it sorted. 🙄 #SCO.")</f>
        <v>Schick is a great player. PATRIK SCHICK TAKE A BOW. Never heard or seen Partrick Schick but ayeee what a player!! At least England Croatia are there for the taking! #SCO. If only the Twitter armchair football players were on the field. They would have had it sorted. 🙄 #SCO.</v>
      </c>
      <c r="M17" s="5"/>
      <c r="N17" s="40">
        <f>IFERROR(__xludf.DUMMYFUNCTION("""COMPUTED_VALUE"""),44361.599907407406)</f>
        <v>44361.59991</v>
      </c>
      <c r="O17" s="5" t="str">
        <f>IFERROR(__xludf.DUMMYFUNCTION("""COMPUTED_VALUE"""),"That’s so poor from Dykes, you have got to be scoring that. This guy Dykes has missed too many chances … he has to score that. Dykes has to score then. He has not been on it today. Put your foot through it. Dykes should have scored that!... But what a sav"&amp;"e it was.")</f>
        <v>That’s so poor from Dykes, you have got to be scoring that. This guy Dykes has missed too many chances … he has to score that. Dykes has to score then. He has not been on it today. Put your foot through it. Dykes should have scored that!... But what a save it was.</v>
      </c>
      <c r="P17" s="39" t="s">
        <v>18</v>
      </c>
      <c r="S17" s="5"/>
      <c r="T17" s="40">
        <f>IFERROR(__xludf.DUMMYFUNCTION("""COMPUTED_VALUE"""),44361.61982638889)</f>
        <v>44361.61983</v>
      </c>
      <c r="U17" s="5" t="str">
        <f>IFERROR(__xludf.DUMMYFUNCTION("""COMPUTED_VALUE"""),"Schick 2nd goal was sick! #SCOCZE. Harsh to blame Hendry for the second goal because he took a shot. Should be blaming Marshall for being so far up the pitch #SCOCZE. That second schick is pretty decent. Schick. Vaclík. No more words needed. EURO 2020.")</f>
        <v>Schick 2nd goal was sick! #SCOCZE. Harsh to blame Hendry for the second goal because he took a shot. Should be blaming Marshall for being so far up the pitch #SCOCZE. That second schick is pretty decent. Schick. Vaclík. No more words needed. EURO 2020.</v>
      </c>
      <c r="V17" s="39" t="s">
        <v>14</v>
      </c>
      <c r="W17" s="40">
        <f>IFERROR(__xludf.DUMMYFUNCTION("""COMPUTED_VALUE"""),44361.601689814815)</f>
        <v>44361.60169</v>
      </c>
      <c r="X17" s="5" t="str">
        <f>IFERROR(__xludf.DUMMYFUNCTION("""COMPUTED_VALUE"""),"Ryan Fraser coming on now after refusing to play the opening hour as he wanted to stay fit for the final half hour. Scotland would be winning if McKenna was playing. Dykes should not b playing football. If billy gilmour plays Scotland win this game simple"&amp;" #SCOCZE.")</f>
        <v>Ryan Fraser coming on now after refusing to play the opening hour as he wanted to stay fit for the final half hour. Scotland would be winning if McKenna was playing. Dykes should not b playing football. If billy gilmour plays Scotland win this game simple #SCOCZE.</v>
      </c>
      <c r="Y17" s="39" t="s">
        <v>17</v>
      </c>
      <c r="AB17" s="5"/>
      <c r="AE17" s="5"/>
      <c r="AH17" s="5"/>
      <c r="AK17" s="5"/>
      <c r="AL17" s="40"/>
      <c r="AM17" s="5"/>
      <c r="AN17" s="5"/>
      <c r="AO17" s="40"/>
      <c r="AP17" s="5"/>
      <c r="AQ17" s="5"/>
      <c r="AR17" s="40"/>
      <c r="AS17" s="5"/>
      <c r="AT17" s="5"/>
      <c r="AU17" s="40"/>
      <c r="AV17" s="5"/>
      <c r="AW17" s="5"/>
      <c r="AX17" s="40"/>
      <c r="AY17" s="5"/>
      <c r="AZ17" s="5"/>
      <c r="BA17" s="40"/>
      <c r="BB17" s="5"/>
      <c r="BC17" s="5"/>
      <c r="BD17" s="40"/>
      <c r="BE17" s="5"/>
      <c r="BF17" s="5"/>
      <c r="BG17" s="40"/>
      <c r="BH17" s="5"/>
      <c r="BI17" s="5"/>
      <c r="BJ17" s="40"/>
      <c r="BK17" s="5"/>
      <c r="BL17" s="5"/>
      <c r="BM17" s="40"/>
      <c r="BN17" s="5"/>
      <c r="BO17" s="5"/>
      <c r="BP17" s="40"/>
      <c r="BQ17" s="5"/>
      <c r="BR17" s="5"/>
      <c r="BS17" s="40"/>
      <c r="BT17" s="5"/>
      <c r="BU17" s="5"/>
      <c r="BV17" s="40"/>
      <c r="BW17" s="5"/>
      <c r="BX17" s="5"/>
      <c r="BY17" s="40"/>
      <c r="BZ17" s="5"/>
      <c r="CA17" s="5"/>
      <c r="CB17" s="40"/>
      <c r="CC17" s="5"/>
      <c r="CD17" s="5"/>
      <c r="CE17" s="40"/>
      <c r="CF17" s="5"/>
      <c r="CG17" s="5"/>
      <c r="CH17" s="40"/>
      <c r="CI17" s="5"/>
      <c r="CJ17" s="5"/>
      <c r="CK17" s="40"/>
      <c r="CL17" s="5"/>
      <c r="CM17" s="5"/>
      <c r="CN17" s="40"/>
      <c r="CO17" s="5"/>
      <c r="CP17" s="5"/>
      <c r="CQ17" s="40"/>
      <c r="CR17" s="5"/>
      <c r="CS17" s="5"/>
      <c r="CT17" s="5"/>
      <c r="CU17" s="5"/>
      <c r="CV17" s="5"/>
      <c r="CW17" s="5"/>
      <c r="CX17" s="5"/>
      <c r="CY17" s="5"/>
      <c r="CZ17" s="5"/>
      <c r="DA17" s="5"/>
      <c r="DB17" s="5"/>
      <c r="DC17" s="5"/>
      <c r="DD17" s="5"/>
      <c r="DE17" s="5"/>
      <c r="DF17" s="5"/>
    </row>
    <row r="18">
      <c r="A18" s="14" t="s">
        <v>44</v>
      </c>
      <c r="B18" s="33" t="s">
        <v>45</v>
      </c>
      <c r="E18" s="40">
        <f>IFERROR(__xludf.DUMMYFUNCTION("""COMPUTED_VALUE"""),44361.60325231482)</f>
        <v>44361.60325</v>
      </c>
      <c r="F18" s="5" t="str">
        <f>IFERROR(__xludf.DUMMYFUNCTION("""COMPUTED_VALUE"""),"Imagine playing Shatta Wale's enter the net song in the background of Patrick Schick'a keeper enter the net simple koraaa😂😂. I feel for the goalkeeper 🤣🤣😩. Patrick Schick filthy goal!!! #SCOCZE. Czech republic's Goalkeeper today - #SCOCZE EURO 2020.")</f>
        <v>Imagine playing Shatta Wale's enter the net song in the background of Patrick Schick'a keeper enter the net simple koraaa😂😂. I feel for the goalkeeper 🤣🤣😩. Patrick Schick filthy goal!!! #SCOCZE. Czech republic's Goalkeeper today - #SCOCZE EURO 2020.</v>
      </c>
      <c r="G18" s="39" t="s">
        <v>15</v>
      </c>
      <c r="J18" s="5"/>
      <c r="K18" s="40">
        <f>IFERROR(__xludf.DUMMYFUNCTION("""COMPUTED_VALUE"""),44361.62265046296)</f>
        <v>44361.62265</v>
      </c>
      <c r="L18" s="5" t="str">
        <f>IFERROR(__xludf.DUMMYFUNCTION("""COMPUTED_VALUE"""),"We had better chances and were the better team. Hendry taking a shot from 40 yards and Dykes not finishing cost us. So disappointing, not taking our chances has cost us big time 😢. #SCO EURO 2020.")</f>
        <v>We had better chances and were the better team. Hendry taking a shot from 40 yards and Dykes not finishing cost us. So disappointing, not taking our chances has cost us big time 😢. #SCO EURO 2020.</v>
      </c>
      <c r="M18" s="5"/>
      <c r="P18" s="5"/>
      <c r="S18" s="5"/>
      <c r="T18" s="40">
        <f>IFERROR(__xludf.DUMMYFUNCTION("""COMPUTED_VALUE"""),44361.62106481481)</f>
        <v>44361.62106</v>
      </c>
      <c r="U18" s="5" t="str">
        <f>IFERROR(__xludf.DUMMYFUNCTION("""COMPUTED_VALUE"""),"Nice victory for my 2nd team #CZE. Clarke needs to quit picking his pals and pick players who will make a difference otherwise we’re fucking wasting our time here #SCO. Can we sub Steve Clarke for the rest of the euros ? Mcginn and mctominay 2nd half.")</f>
        <v>Nice victory for my 2nd team #CZE. Clarke needs to quit picking his pals and pick players who will make a difference otherwise we’re fucking wasting our time here #SCO. Can we sub Steve Clarke for the rest of the euros ? Mcginn and mctominay 2nd half.</v>
      </c>
      <c r="V18" s="5"/>
      <c r="W18" s="40">
        <f>IFERROR(__xludf.DUMMYFUNCTION("""COMPUTED_VALUE"""),44361.60282407407)</f>
        <v>44361.60282</v>
      </c>
      <c r="X18" s="5" t="str">
        <f>IFERROR(__xludf.DUMMYFUNCTION("""COMPUTED_VALUE"""),"2-0 down and we bring on Callum mcgregor 🤮🤮Clarke’s actually a football terrorists. 2-0 down and we bring on mcgregor Steve Clarke football terrorist.")</f>
        <v>2-0 down and we bring on Callum mcgregor 🤮🤮Clarke’s actually a football terrorists. 2-0 down and we bring on mcgregor Steve Clarke football terrorist.</v>
      </c>
      <c r="Y18" s="39" t="s">
        <v>17</v>
      </c>
      <c r="AB18" s="5"/>
      <c r="AE18" s="5"/>
      <c r="AH18" s="5"/>
      <c r="AK18" s="5"/>
      <c r="AL18" s="40"/>
      <c r="AM18" s="5"/>
      <c r="AN18" s="5"/>
      <c r="AO18" s="40"/>
      <c r="AP18" s="5"/>
      <c r="AQ18" s="5"/>
      <c r="AR18" s="40"/>
      <c r="AS18" s="5"/>
      <c r="AT18" s="5"/>
      <c r="AU18" s="40"/>
      <c r="AV18" s="5"/>
      <c r="AW18" s="5"/>
      <c r="AX18" s="40"/>
      <c r="AY18" s="5"/>
      <c r="AZ18" s="5"/>
      <c r="BA18" s="40"/>
      <c r="BB18" s="5"/>
      <c r="BC18" s="5"/>
      <c r="BD18" s="40"/>
      <c r="BE18" s="5"/>
      <c r="BF18" s="5"/>
      <c r="BG18" s="40"/>
      <c r="BH18" s="5"/>
      <c r="BI18" s="5"/>
      <c r="BJ18" s="40"/>
      <c r="BK18" s="5"/>
      <c r="BL18" s="5"/>
      <c r="BM18" s="40"/>
      <c r="BN18" s="5"/>
      <c r="BO18" s="5"/>
      <c r="BP18" s="40"/>
      <c r="BQ18" s="5"/>
      <c r="BR18" s="5"/>
      <c r="BS18" s="40"/>
      <c r="BT18" s="5"/>
      <c r="BU18" s="5"/>
      <c r="BV18" s="40"/>
      <c r="BW18" s="5"/>
      <c r="BX18" s="5"/>
      <c r="BY18" s="40"/>
      <c r="BZ18" s="5"/>
      <c r="CA18" s="5"/>
      <c r="CB18" s="40"/>
      <c r="CC18" s="5"/>
      <c r="CD18" s="5"/>
      <c r="CE18" s="40"/>
      <c r="CF18" s="5"/>
      <c r="CG18" s="5"/>
      <c r="CH18" s="40"/>
      <c r="CI18" s="5"/>
      <c r="CJ18" s="5"/>
      <c r="CK18" s="40"/>
      <c r="CL18" s="5"/>
      <c r="CM18" s="5"/>
      <c r="CN18" s="40"/>
      <c r="CO18" s="5"/>
      <c r="CP18" s="5"/>
      <c r="CQ18" s="40"/>
      <c r="CR18" s="5"/>
      <c r="CS18" s="5"/>
      <c r="CT18" s="5"/>
      <c r="CU18" s="5"/>
      <c r="CV18" s="5"/>
      <c r="CW18" s="5"/>
      <c r="CX18" s="5"/>
      <c r="CY18" s="5"/>
      <c r="CZ18" s="5"/>
      <c r="DA18" s="5"/>
      <c r="DB18" s="5"/>
      <c r="DC18" s="5"/>
      <c r="DD18" s="5"/>
      <c r="DE18" s="5"/>
      <c r="DF18" s="5"/>
    </row>
    <row r="19">
      <c r="A19" s="14" t="s">
        <v>46</v>
      </c>
      <c r="C19" s="14" t="s">
        <v>34</v>
      </c>
      <c r="D19" s="14" t="s">
        <v>35</v>
      </c>
      <c r="E19" s="40">
        <f>IFERROR(__xludf.DUMMYFUNCTION("""COMPUTED_VALUE"""),44361.61729166667)</f>
        <v>44361.61729</v>
      </c>
      <c r="F19" s="5" t="str">
        <f>IFERROR(__xludf.DUMMYFUNCTION("""COMPUTED_VALUE"""),"Good save Marshall vydra close to a 3rd. Great save, Marshall. 👏. #SCOCZE EURO 2020. David Marshall showing again there that it’s much easier to save shots when not 40 yards off your line. Some cracking goalkeeping from Vaclik and Marshall today 🧤.")</f>
        <v>Good save Marshall vydra close to a 3rd. Great save, Marshall. 👏. #SCOCZE EURO 2020. David Marshall showing again there that it’s much easier to save shots when not 40 yards off your line. Some cracking goalkeeping from Vaclik and Marshall today 🧤.</v>
      </c>
      <c r="G19" s="39" t="s">
        <v>18</v>
      </c>
      <c r="J19" s="5"/>
      <c r="M19" s="5"/>
      <c r="P19" s="5"/>
      <c r="S19" s="5"/>
      <c r="V19" s="5"/>
      <c r="W19" s="40">
        <f>IFERROR(__xludf.DUMMYFUNCTION("""COMPUTED_VALUE"""),44361.609189814815)</f>
        <v>44361.60919</v>
      </c>
      <c r="X19" s="5" t="str">
        <f>IFERROR(__xludf.DUMMYFUNCTION("""COMPUTED_VALUE"""),"Oh look ODonnell finally off for Forrest. And Nisbet on for Dykes. Dykes off, football wins.. FINALLY TAKES O’DONNELL OFF AND PUTS ON FORREST WHEN PATTERSON IS SITTING THERE 😂😂😂😂😂😂😂😂😂😂. DYKES OFF FINALLY. Champions League Winner still on bench. "&amp;"Hilarious. #Sco.")</f>
        <v>Oh look ODonnell finally off for Forrest. And Nisbet on for Dykes. Dykes off, football wins.. FINALLY TAKES O’DONNELL OFF AND PUTS ON FORREST WHEN PATTERSON IS SITTING THERE 😂😂😂😂😂😂😂😂😂😂. DYKES OFF FINALLY. Champions League Winner still on bench. Hilarious. #Sco.</v>
      </c>
      <c r="Y19" s="39" t="s">
        <v>17</v>
      </c>
      <c r="AB19" s="5"/>
      <c r="AE19" s="5"/>
      <c r="AH19" s="5"/>
      <c r="AK19" s="5"/>
      <c r="AL19" s="40"/>
      <c r="AM19" s="5"/>
      <c r="AN19" s="5"/>
      <c r="AO19" s="40"/>
      <c r="AP19" s="5"/>
      <c r="AQ19" s="5"/>
      <c r="AR19" s="40"/>
      <c r="AS19" s="5"/>
      <c r="AT19" s="5"/>
      <c r="AU19" s="40"/>
      <c r="AV19" s="5"/>
      <c r="AW19" s="5"/>
      <c r="AX19" s="40"/>
      <c r="AY19" s="5"/>
      <c r="AZ19" s="5"/>
      <c r="BA19" s="40"/>
      <c r="BB19" s="5"/>
      <c r="BC19" s="5"/>
      <c r="BD19" s="40"/>
      <c r="BE19" s="5"/>
      <c r="BF19" s="5"/>
      <c r="BG19" s="40"/>
      <c r="BH19" s="5"/>
      <c r="BI19" s="5"/>
      <c r="BJ19" s="40"/>
      <c r="BK19" s="5"/>
      <c r="BL19" s="5"/>
      <c r="BM19" s="40"/>
      <c r="BN19" s="5"/>
      <c r="BO19" s="5"/>
      <c r="BP19" s="40"/>
      <c r="BQ19" s="5"/>
      <c r="BR19" s="5"/>
      <c r="BS19" s="40"/>
      <c r="BT19" s="5"/>
      <c r="BU19" s="5"/>
      <c r="BV19" s="40"/>
      <c r="BW19" s="5"/>
      <c r="BX19" s="5"/>
      <c r="BY19" s="40"/>
      <c r="BZ19" s="5"/>
      <c r="CA19" s="5"/>
      <c r="CB19" s="40"/>
      <c r="CC19" s="5"/>
      <c r="CD19" s="5"/>
      <c r="CE19" s="40"/>
      <c r="CF19" s="5"/>
      <c r="CG19" s="5"/>
      <c r="CH19" s="40"/>
      <c r="CI19" s="5"/>
      <c r="CJ19" s="5"/>
      <c r="CK19" s="40"/>
      <c r="CL19" s="5"/>
      <c r="CM19" s="5"/>
      <c r="CN19" s="40"/>
      <c r="CO19" s="5"/>
      <c r="CP19" s="5"/>
      <c r="CQ19" s="40"/>
      <c r="CR19" s="5"/>
      <c r="CS19" s="5"/>
      <c r="CT19" s="5"/>
      <c r="CU19" s="5"/>
      <c r="CV19" s="5"/>
      <c r="CW19" s="5"/>
      <c r="CX19" s="5"/>
      <c r="CY19" s="5"/>
      <c r="CZ19" s="5"/>
      <c r="DA19" s="5"/>
      <c r="DB19" s="5"/>
      <c r="DC19" s="5"/>
      <c r="DD19" s="5"/>
      <c r="DE19" s="5"/>
      <c r="DF19" s="5"/>
    </row>
    <row r="20">
      <c r="A20" s="19" t="s">
        <v>47</v>
      </c>
      <c r="B20" s="19" t="s">
        <v>48</v>
      </c>
      <c r="C20" s="21">
        <f t="shared" ref="C20:C23" si="65">COUNTIF($A$26:$A1007, A20)</f>
        <v>2</v>
      </c>
      <c r="D20" s="26">
        <f>IFERROR(__xludf.DUMMYFUNCTION("IF(C20, COUNTIF(FILTER($D$26:$D1007, $A$26:$A1007=A20), TRUE)/C20, 0)"),1.0)</f>
        <v>1</v>
      </c>
      <c r="G20" s="5"/>
      <c r="J20" s="5"/>
      <c r="M20" s="5"/>
      <c r="P20" s="5"/>
      <c r="S20" s="5"/>
      <c r="V20" s="5"/>
      <c r="W20" s="40">
        <f>IFERROR(__xludf.DUMMYFUNCTION("""COMPUTED_VALUE"""),44361.61984953703)</f>
        <v>44361.61985</v>
      </c>
      <c r="X20" s="5" t="str">
        <f>IFERROR(__xludf.DUMMYFUNCTION("""COMPUTED_VALUE"""),"Blaming Jack Hendry for taking a shot, not having it. That's football. That patrick schick goal will win goal of the tournament. Patrik Schick's wonder goal secures an opening game win for Czech Republic. Simple sensational. EURO 2020.")</f>
        <v>Blaming Jack Hendry for taking a shot, not having it. That's football. That patrick schick goal will win goal of the tournament. Patrik Schick's wonder goal secures an opening game win for Czech Republic. Simple sensational. EURO 2020.</v>
      </c>
      <c r="Y20" s="39" t="s">
        <v>16</v>
      </c>
      <c r="AB20" s="5"/>
      <c r="AE20" s="5"/>
      <c r="AH20" s="5"/>
      <c r="AK20" s="5"/>
      <c r="AL20" s="40"/>
      <c r="AM20" s="5"/>
      <c r="AN20" s="5"/>
      <c r="AO20" s="40"/>
      <c r="AP20" s="5"/>
      <c r="AQ20" s="5"/>
      <c r="AR20" s="40"/>
      <c r="AS20" s="5"/>
      <c r="AT20" s="5"/>
      <c r="AU20" s="40"/>
      <c r="AV20" s="5"/>
      <c r="AW20" s="5"/>
      <c r="AX20" s="40"/>
      <c r="AY20" s="5"/>
      <c r="AZ20" s="5"/>
      <c r="BA20" s="40"/>
      <c r="BB20" s="5"/>
      <c r="BC20" s="5"/>
      <c r="BD20" s="40"/>
      <c r="BE20" s="5"/>
      <c r="BF20" s="5"/>
      <c r="BG20" s="40"/>
      <c r="BH20" s="5"/>
      <c r="BI20" s="5"/>
      <c r="BJ20" s="40"/>
      <c r="BK20" s="5"/>
      <c r="BL20" s="5"/>
      <c r="BM20" s="40"/>
      <c r="BN20" s="5"/>
      <c r="BO20" s="5"/>
      <c r="BP20" s="40"/>
      <c r="BQ20" s="5"/>
      <c r="BR20" s="5"/>
      <c r="BS20" s="40"/>
      <c r="BT20" s="5"/>
      <c r="BU20" s="5"/>
      <c r="BV20" s="40"/>
      <c r="BW20" s="5"/>
      <c r="BX20" s="5"/>
      <c r="BY20" s="40"/>
      <c r="BZ20" s="5"/>
      <c r="CA20" s="5"/>
      <c r="CB20" s="40"/>
      <c r="CC20" s="5"/>
      <c r="CD20" s="5"/>
      <c r="CE20" s="40"/>
      <c r="CF20" s="5"/>
      <c r="CG20" s="5"/>
      <c r="CH20" s="40"/>
      <c r="CI20" s="5"/>
      <c r="CJ20" s="5"/>
      <c r="CK20" s="40"/>
      <c r="CL20" s="5"/>
      <c r="CM20" s="5"/>
      <c r="CN20" s="40"/>
      <c r="CO20" s="5"/>
      <c r="CP20" s="5"/>
      <c r="CQ20" s="40"/>
      <c r="CR20" s="5"/>
      <c r="CS20" s="5"/>
      <c r="CT20" s="5"/>
      <c r="CU20" s="5"/>
      <c r="CV20" s="5"/>
      <c r="CW20" s="5"/>
      <c r="CX20" s="5"/>
      <c r="CY20" s="5"/>
      <c r="CZ20" s="5"/>
      <c r="DA20" s="5"/>
      <c r="DB20" s="5"/>
      <c r="DC20" s="5"/>
      <c r="DD20" s="5"/>
      <c r="DE20" s="5"/>
      <c r="DF20" s="5"/>
    </row>
    <row r="21">
      <c r="A21" s="19" t="s">
        <v>49</v>
      </c>
      <c r="B21" s="19" t="s">
        <v>50</v>
      </c>
      <c r="C21" s="21">
        <f t="shared" si="65"/>
        <v>0</v>
      </c>
      <c r="D21" s="26">
        <f>IFERROR(__xludf.DUMMYFUNCTION("IF(C21, COUNTIF(FILTER($D$26:$D1007, $A$26:$A1007=A21), TRUE)/C21, 0)"),0.0)</f>
        <v>0</v>
      </c>
      <c r="G21" s="5"/>
      <c r="J21" s="5"/>
      <c r="M21" s="5"/>
      <c r="P21" s="5"/>
      <c r="S21" s="5"/>
      <c r="V21" s="5"/>
      <c r="W21" s="40">
        <f>IFERROR(__xludf.DUMMYFUNCTION("""COMPUTED_VALUE"""),44361.62150462963)</f>
        <v>44361.6215</v>
      </c>
      <c r="X21" s="5" t="str">
        <f>IFERROR(__xludf.DUMMYFUNCTION("""COMPUTED_VALUE"""),"Final whistle drowned out by the sound of school kid’s hearts breaking across the country... #SCO EURO 2020. Final #SCO 0 #CZE 2. Scotland fans boo their team at the final whistle. Disgraceful. #SCOCZE. 🇲🇰 North Macedonia's first final tournament 🔜. EU"&amp;"RO 2020. #SCOCZE final.")</f>
        <v>Final whistle drowned out by the sound of school kid’s hearts breaking across the country... #SCO EURO 2020. Final #SCO 0 #CZE 2. Scotland fans boo their team at the final whistle. Disgraceful. #SCOCZE. 🇲🇰 North Macedonia's first final tournament 🔜. EURO 2020. #SCOCZE final.</v>
      </c>
      <c r="Y21" s="39" t="s">
        <v>17</v>
      </c>
      <c r="AB21" s="5"/>
      <c r="AE21" s="5"/>
      <c r="AH21" s="5"/>
      <c r="AK21" s="5"/>
      <c r="AL21" s="40"/>
      <c r="AM21" s="5"/>
      <c r="AN21" s="5"/>
      <c r="AO21" s="40"/>
      <c r="AP21" s="5"/>
      <c r="AQ21" s="5"/>
      <c r="AR21" s="40"/>
      <c r="AS21" s="5"/>
      <c r="AT21" s="5"/>
      <c r="AU21" s="40"/>
      <c r="AV21" s="5"/>
      <c r="AW21" s="5"/>
      <c r="AX21" s="40"/>
      <c r="AY21" s="5"/>
      <c r="AZ21" s="5"/>
      <c r="BA21" s="40"/>
      <c r="BB21" s="5"/>
      <c r="BC21" s="5"/>
      <c r="BD21" s="40"/>
      <c r="BE21" s="5"/>
      <c r="BF21" s="5"/>
      <c r="BG21" s="40"/>
      <c r="BH21" s="5"/>
      <c r="BI21" s="5"/>
      <c r="BJ21" s="40"/>
      <c r="BK21" s="5"/>
      <c r="BL21" s="5"/>
      <c r="BM21" s="40"/>
      <c r="BN21" s="5"/>
      <c r="BO21" s="5"/>
      <c r="BP21" s="40"/>
      <c r="BQ21" s="5"/>
      <c r="BR21" s="5"/>
      <c r="BS21" s="40"/>
      <c r="BT21" s="5"/>
      <c r="BU21" s="5"/>
      <c r="BV21" s="40"/>
      <c r="BW21" s="5"/>
      <c r="BX21" s="5"/>
      <c r="BY21" s="40"/>
      <c r="BZ21" s="5"/>
      <c r="CA21" s="5"/>
      <c r="CB21" s="40"/>
      <c r="CC21" s="5"/>
      <c r="CD21" s="5"/>
      <c r="CE21" s="40"/>
      <c r="CF21" s="5"/>
      <c r="CG21" s="5"/>
      <c r="CH21" s="40"/>
      <c r="CI21" s="5"/>
      <c r="CJ21" s="5"/>
      <c r="CK21" s="40"/>
      <c r="CL21" s="5"/>
      <c r="CM21" s="5"/>
      <c r="CN21" s="40"/>
      <c r="CO21" s="5"/>
      <c r="CP21" s="5"/>
      <c r="CQ21" s="40"/>
      <c r="CR21" s="5"/>
      <c r="CS21" s="5"/>
      <c r="CT21" s="5"/>
      <c r="CU21" s="5"/>
      <c r="CV21" s="5"/>
      <c r="CW21" s="5"/>
      <c r="CX21" s="5"/>
      <c r="CY21" s="5"/>
      <c r="CZ21" s="5"/>
      <c r="DA21" s="5"/>
      <c r="DB21" s="5"/>
      <c r="DC21" s="5"/>
      <c r="DD21" s="5"/>
      <c r="DE21" s="5"/>
      <c r="DF21" s="5"/>
    </row>
    <row r="22">
      <c r="A22" s="19" t="s">
        <v>51</v>
      </c>
      <c r="B22" s="19" t="s">
        <v>52</v>
      </c>
      <c r="C22" s="21">
        <f t="shared" si="65"/>
        <v>4</v>
      </c>
      <c r="D22" s="26">
        <f>IFERROR(__xludf.DUMMYFUNCTION("IF(C22, COUNTIF(FILTER($D$26:$D1007, $A$26:$A1007=A22), TRUE)/C22, 0)"),0.5)</f>
        <v>0.5</v>
      </c>
      <c r="G22" s="5"/>
      <c r="J22" s="5"/>
      <c r="M22" s="5"/>
      <c r="P22" s="5"/>
      <c r="S22" s="5"/>
      <c r="V22" s="5"/>
      <c r="W22" s="40">
        <f>IFERROR(__xludf.DUMMYFUNCTION("""COMPUTED_VALUE"""),44361.623125)</f>
        <v>44361.62313</v>
      </c>
      <c r="X22" s="5" t="str">
        <f>IFERROR(__xludf.DUMMYFUNCTION("""COMPUTED_VALUE"""),"We should have played the game at Gayfield, Gets in win #sco. Why does Billy Gilmour not play for Scotland, he just be better than some of these that play in the Scottish league. #YESSIRICANBOOGIE. But Scotland can't play football. 🤣🤣🤣🤣🤣. #SCOCZE.")</f>
        <v>We should have played the game at Gayfield, Gets in win #sco. Why does Billy Gilmour not play for Scotland, he just be better than some of these that play in the Scottish league. #YESSIRICANBOOGIE. But Scotland can't play football. 🤣🤣🤣🤣🤣. #SCOCZE.</v>
      </c>
      <c r="Y22" s="5"/>
      <c r="AB22" s="5"/>
      <c r="AE22" s="5"/>
      <c r="AH22" s="5"/>
      <c r="AK22" s="5"/>
      <c r="AL22" s="40"/>
      <c r="AM22" s="5"/>
      <c r="AN22" s="5"/>
      <c r="AO22" s="40"/>
      <c r="AP22" s="5"/>
      <c r="AQ22" s="5"/>
      <c r="AR22" s="40"/>
      <c r="AS22" s="5"/>
      <c r="AT22" s="5"/>
      <c r="AU22" s="40"/>
      <c r="AV22" s="5"/>
      <c r="AW22" s="5"/>
      <c r="AX22" s="40"/>
      <c r="AY22" s="5"/>
      <c r="AZ22" s="5"/>
      <c r="BA22" s="40"/>
      <c r="BB22" s="5"/>
      <c r="BC22" s="5"/>
      <c r="BD22" s="40"/>
      <c r="BE22" s="5"/>
      <c r="BF22" s="5"/>
      <c r="BG22" s="40"/>
      <c r="BH22" s="5"/>
      <c r="BI22" s="5"/>
      <c r="BJ22" s="40"/>
      <c r="BK22" s="5"/>
      <c r="BL22" s="5"/>
      <c r="BM22" s="40"/>
      <c r="BN22" s="5"/>
      <c r="BO22" s="5"/>
      <c r="BP22" s="40"/>
      <c r="BQ22" s="5"/>
      <c r="BR22" s="5"/>
      <c r="BS22" s="40"/>
      <c r="BT22" s="5"/>
      <c r="BU22" s="5"/>
      <c r="BV22" s="40"/>
      <c r="BW22" s="5"/>
      <c r="BX22" s="5"/>
      <c r="BY22" s="40"/>
      <c r="BZ22" s="5"/>
      <c r="CA22" s="5"/>
      <c r="CB22" s="40"/>
      <c r="CC22" s="5"/>
      <c r="CD22" s="5"/>
      <c r="CE22" s="40"/>
      <c r="CF22" s="5"/>
      <c r="CG22" s="5"/>
      <c r="CH22" s="40"/>
      <c r="CI22" s="5"/>
      <c r="CJ22" s="5"/>
      <c r="CK22" s="40"/>
      <c r="CL22" s="5"/>
      <c r="CM22" s="5"/>
      <c r="CN22" s="40"/>
      <c r="CO22" s="5"/>
      <c r="CP22" s="5"/>
      <c r="CQ22" s="40"/>
      <c r="CR22" s="5"/>
      <c r="CS22" s="5"/>
      <c r="CT22" s="5"/>
      <c r="CU22" s="5"/>
      <c r="CV22" s="5"/>
      <c r="CW22" s="5"/>
      <c r="CX22" s="5"/>
      <c r="CY22" s="5"/>
      <c r="CZ22" s="5"/>
      <c r="DA22" s="5"/>
      <c r="DB22" s="5"/>
      <c r="DC22" s="5"/>
      <c r="DD22" s="5"/>
      <c r="DE22" s="5"/>
      <c r="DF22" s="5"/>
    </row>
    <row r="23">
      <c r="A23" s="19" t="s">
        <v>53</v>
      </c>
      <c r="B23" s="19" t="s">
        <v>54</v>
      </c>
      <c r="C23" s="21">
        <f t="shared" si="65"/>
        <v>10</v>
      </c>
      <c r="D23" s="26">
        <f>IFERROR(__xludf.DUMMYFUNCTION("IF(C23, COUNTIF(FILTER($D$26:$D1007, $A$26:$A1007=A23), TRUE)/C23, 0)"),0.7)</f>
        <v>0.7</v>
      </c>
      <c r="G23" s="5"/>
      <c r="J23" s="5"/>
      <c r="M23" s="5"/>
      <c r="P23" s="5"/>
      <c r="S23" s="5"/>
      <c r="V23" s="5"/>
      <c r="Y23" s="5"/>
      <c r="AB23" s="5"/>
      <c r="AE23" s="5"/>
      <c r="AH23" s="5"/>
      <c r="AK23" s="5"/>
      <c r="AL23" s="40"/>
      <c r="AM23" s="5"/>
      <c r="AN23" s="5"/>
      <c r="AO23" s="40"/>
      <c r="AP23" s="5"/>
      <c r="AQ23" s="5"/>
      <c r="AR23" s="40"/>
      <c r="AS23" s="5"/>
      <c r="AT23" s="5"/>
      <c r="AU23" s="40"/>
      <c r="AV23" s="5"/>
      <c r="AW23" s="5"/>
      <c r="AX23" s="40"/>
      <c r="AY23" s="5"/>
      <c r="AZ23" s="5"/>
      <c r="BA23" s="40"/>
      <c r="BB23" s="5"/>
      <c r="BC23" s="5"/>
      <c r="BD23" s="40"/>
      <c r="BE23" s="5"/>
      <c r="BF23" s="5"/>
      <c r="BG23" s="40"/>
      <c r="BH23" s="5"/>
      <c r="BI23" s="5"/>
      <c r="BJ23" s="40"/>
      <c r="BK23" s="5"/>
      <c r="BL23" s="5"/>
      <c r="BM23" s="40"/>
      <c r="BN23" s="5"/>
      <c r="BO23" s="5"/>
      <c r="BP23" s="40"/>
      <c r="BQ23" s="5"/>
      <c r="BR23" s="5"/>
      <c r="BS23" s="40"/>
      <c r="BT23" s="5"/>
      <c r="BU23" s="5"/>
      <c r="BV23" s="40"/>
      <c r="BW23" s="5"/>
      <c r="BX23" s="5"/>
      <c r="BY23" s="40"/>
      <c r="BZ23" s="5"/>
      <c r="CA23" s="5"/>
      <c r="CB23" s="40"/>
      <c r="CC23" s="5"/>
      <c r="CD23" s="5"/>
      <c r="CE23" s="40"/>
      <c r="CF23" s="5"/>
      <c r="CG23" s="5"/>
      <c r="CH23" s="40"/>
      <c r="CI23" s="5"/>
      <c r="CJ23" s="5"/>
      <c r="CK23" s="40"/>
      <c r="CL23" s="5"/>
      <c r="CM23" s="5"/>
      <c r="CN23" s="40"/>
      <c r="CO23" s="5"/>
      <c r="CP23" s="5"/>
      <c r="CQ23" s="40"/>
      <c r="CR23" s="5"/>
      <c r="CS23" s="5"/>
      <c r="CT23" s="5"/>
      <c r="CU23" s="5"/>
      <c r="CV23" s="5"/>
      <c r="CW23" s="5"/>
      <c r="CX23" s="5"/>
      <c r="CY23" s="5"/>
      <c r="CZ23" s="5"/>
      <c r="DA23" s="5"/>
      <c r="DB23" s="5"/>
      <c r="DC23" s="5"/>
      <c r="DD23" s="5"/>
      <c r="DE23" s="5"/>
      <c r="DF23" s="5"/>
    </row>
    <row r="24">
      <c r="A24" s="19"/>
      <c r="B24" s="14" t="s">
        <v>55</v>
      </c>
      <c r="C24" s="34">
        <f>SUM(C20:C23)</f>
        <v>16</v>
      </c>
      <c r="D24" s="26">
        <f>COUNTIF($D$26:$D1007, TRUE)/C24</f>
        <v>0.6875</v>
      </c>
      <c r="G24" s="5"/>
      <c r="J24" s="5"/>
      <c r="M24" s="5"/>
      <c r="P24" s="5"/>
      <c r="S24" s="5"/>
      <c r="V24" s="5"/>
      <c r="Y24" s="5"/>
      <c r="AB24" s="5"/>
      <c r="AE24" s="5"/>
      <c r="AH24" s="5"/>
      <c r="AK24" s="5"/>
      <c r="AL24" s="40"/>
      <c r="AM24" s="5"/>
      <c r="AN24" s="5"/>
      <c r="AO24" s="40"/>
      <c r="AP24" s="5"/>
      <c r="AQ24" s="5"/>
      <c r="AR24" s="40"/>
      <c r="AS24" s="5"/>
      <c r="AT24" s="5"/>
      <c r="AU24" s="40"/>
      <c r="AV24" s="5"/>
      <c r="AW24" s="5"/>
      <c r="AX24" s="40"/>
      <c r="AY24" s="5"/>
      <c r="AZ24" s="5"/>
      <c r="BA24" s="40"/>
      <c r="BB24" s="5"/>
      <c r="BC24" s="5"/>
      <c r="BD24" s="40"/>
      <c r="BE24" s="5"/>
      <c r="BF24" s="5"/>
      <c r="BG24" s="40"/>
      <c r="BH24" s="5"/>
      <c r="BI24" s="5"/>
      <c r="BJ24" s="40"/>
      <c r="BK24" s="5"/>
      <c r="BL24" s="5"/>
      <c r="BM24" s="40"/>
      <c r="BN24" s="5"/>
      <c r="BO24" s="5"/>
      <c r="BP24" s="40"/>
      <c r="BQ24" s="5"/>
      <c r="BR24" s="5"/>
      <c r="BS24" s="40"/>
      <c r="BT24" s="5"/>
      <c r="BU24" s="5"/>
      <c r="BV24" s="40"/>
      <c r="BW24" s="5"/>
      <c r="BX24" s="5"/>
      <c r="BY24" s="40"/>
      <c r="BZ24" s="5"/>
      <c r="CA24" s="5"/>
      <c r="CB24" s="40"/>
      <c r="CC24" s="5"/>
      <c r="CD24" s="5"/>
      <c r="CE24" s="40"/>
      <c r="CF24" s="5"/>
      <c r="CG24" s="5"/>
      <c r="CH24" s="40"/>
      <c r="CI24" s="5"/>
      <c r="CJ24" s="5"/>
      <c r="CK24" s="40"/>
      <c r="CL24" s="5"/>
      <c r="CM24" s="5"/>
      <c r="CN24" s="40"/>
      <c r="CO24" s="5"/>
      <c r="CP24" s="5"/>
      <c r="CQ24" s="40"/>
      <c r="CR24" s="5"/>
      <c r="CS24" s="5"/>
      <c r="CT24" s="5"/>
      <c r="CU24" s="5"/>
      <c r="CV24" s="5"/>
      <c r="CW24" s="5"/>
      <c r="CX24" s="5"/>
      <c r="CY24" s="5"/>
      <c r="CZ24" s="5"/>
      <c r="DA24" s="5"/>
      <c r="DB24" s="5"/>
      <c r="DC24" s="5"/>
      <c r="DD24" s="5"/>
      <c r="DE24" s="5"/>
      <c r="DF24" s="5"/>
    </row>
    <row r="25">
      <c r="A25" s="14" t="s">
        <v>56</v>
      </c>
      <c r="B25" s="14" t="s">
        <v>57</v>
      </c>
      <c r="C25" s="14" t="s">
        <v>58</v>
      </c>
      <c r="D25" s="32" t="s">
        <v>59</v>
      </c>
      <c r="G25" s="5"/>
      <c r="J25" s="5"/>
      <c r="M25" s="5"/>
      <c r="P25" s="5"/>
      <c r="S25" s="5"/>
      <c r="V25" s="5"/>
      <c r="Y25" s="5"/>
      <c r="AB25" s="5"/>
      <c r="AE25" s="5"/>
      <c r="AH25" s="5"/>
      <c r="AK25" s="5"/>
      <c r="AL25" s="40"/>
      <c r="AM25" s="5"/>
      <c r="AN25" s="5"/>
      <c r="AO25" s="40"/>
      <c r="AP25" s="5"/>
      <c r="AQ25" s="5"/>
      <c r="AR25" s="40"/>
      <c r="AS25" s="5"/>
      <c r="AT25" s="5"/>
      <c r="AU25" s="40"/>
      <c r="AV25" s="5"/>
      <c r="AW25" s="5"/>
      <c r="AX25" s="40"/>
      <c r="AY25" s="5"/>
      <c r="AZ25" s="5"/>
      <c r="BA25" s="40"/>
      <c r="BB25" s="5"/>
      <c r="BC25" s="5"/>
      <c r="BD25" s="40"/>
      <c r="BE25" s="5"/>
      <c r="BF25" s="5"/>
      <c r="BG25" s="40"/>
      <c r="BH25" s="5"/>
      <c r="BI25" s="5"/>
      <c r="BJ25" s="40"/>
      <c r="BK25" s="5"/>
      <c r="BL25" s="5"/>
      <c r="BM25" s="40"/>
      <c r="BN25" s="5"/>
      <c r="BO25" s="5"/>
      <c r="BP25" s="40"/>
      <c r="BQ25" s="5"/>
      <c r="BR25" s="5"/>
      <c r="BS25" s="40"/>
      <c r="BT25" s="5"/>
      <c r="BU25" s="5"/>
      <c r="BV25" s="40"/>
      <c r="BW25" s="5"/>
      <c r="BX25" s="5"/>
      <c r="BY25" s="40"/>
      <c r="BZ25" s="5"/>
      <c r="CA25" s="5"/>
      <c r="CB25" s="40"/>
      <c r="CC25" s="5"/>
      <c r="CD25" s="5"/>
      <c r="CE25" s="40"/>
      <c r="CF25" s="5"/>
      <c r="CG25" s="5"/>
      <c r="CH25" s="40"/>
      <c r="CI25" s="5"/>
      <c r="CJ25" s="5"/>
      <c r="CK25" s="40"/>
      <c r="CL25" s="5"/>
      <c r="CM25" s="5"/>
      <c r="CN25" s="40"/>
      <c r="CO25" s="5"/>
      <c r="CP25" s="5"/>
      <c r="CQ25" s="40"/>
      <c r="CR25" s="5"/>
      <c r="CS25" s="5"/>
      <c r="CT25" s="5"/>
      <c r="CU25" s="5"/>
      <c r="CV25" s="5"/>
      <c r="CW25" s="5"/>
      <c r="CX25" s="5"/>
      <c r="CY25" s="5"/>
      <c r="CZ25" s="5"/>
      <c r="DA25" s="5"/>
      <c r="DB25" s="5"/>
      <c r="DC25" s="5"/>
      <c r="DD25" s="5"/>
      <c r="DE25" s="5"/>
      <c r="DF25" s="5"/>
    </row>
    <row r="26">
      <c r="A26" s="19" t="s">
        <v>51</v>
      </c>
      <c r="B26" s="19" t="s">
        <v>60</v>
      </c>
      <c r="C26" s="21">
        <v>1.0</v>
      </c>
      <c r="D26" s="35" t="b">
        <v>0</v>
      </c>
      <c r="G26" s="5"/>
      <c r="J26" s="5"/>
      <c r="M26" s="5"/>
      <c r="P26" s="5"/>
      <c r="S26" s="5"/>
      <c r="V26" s="5"/>
      <c r="Y26" s="5"/>
      <c r="AB26" s="5"/>
      <c r="AE26" s="5"/>
      <c r="AH26" s="5"/>
      <c r="AK26" s="5"/>
      <c r="AL26" s="40"/>
      <c r="AM26" s="5"/>
      <c r="AN26" s="5"/>
      <c r="AO26" s="40"/>
      <c r="AP26" s="5"/>
      <c r="AQ26" s="5"/>
      <c r="AR26" s="40"/>
      <c r="AS26" s="5"/>
      <c r="AT26" s="5"/>
      <c r="AU26" s="40"/>
      <c r="AV26" s="5"/>
      <c r="AW26" s="5"/>
      <c r="AX26" s="40"/>
      <c r="AY26" s="5"/>
      <c r="AZ26" s="5"/>
      <c r="BA26" s="40"/>
      <c r="BB26" s="5"/>
      <c r="BC26" s="5"/>
      <c r="BD26" s="40"/>
      <c r="BE26" s="5"/>
      <c r="BF26" s="5"/>
      <c r="BG26" s="40"/>
      <c r="BH26" s="5"/>
      <c r="BI26" s="5"/>
      <c r="BJ26" s="40"/>
      <c r="BK26" s="5"/>
      <c r="BL26" s="5"/>
      <c r="BM26" s="40"/>
      <c r="BN26" s="5"/>
      <c r="BO26" s="5"/>
      <c r="BP26" s="40"/>
      <c r="BQ26" s="5"/>
      <c r="BR26" s="5"/>
      <c r="BS26" s="40"/>
      <c r="BT26" s="5"/>
      <c r="BU26" s="5"/>
      <c r="BV26" s="40"/>
      <c r="BW26" s="5"/>
      <c r="BX26" s="5"/>
      <c r="BY26" s="40"/>
      <c r="BZ26" s="5"/>
      <c r="CA26" s="5"/>
      <c r="CB26" s="40"/>
      <c r="CC26" s="5"/>
      <c r="CD26" s="5"/>
      <c r="CE26" s="40"/>
      <c r="CF26" s="5"/>
      <c r="CG26" s="5"/>
      <c r="CH26" s="40"/>
      <c r="CI26" s="5"/>
      <c r="CJ26" s="5"/>
      <c r="CK26" s="40"/>
      <c r="CL26" s="5"/>
      <c r="CM26" s="5"/>
      <c r="CN26" s="40"/>
      <c r="CO26" s="5"/>
      <c r="CP26" s="5"/>
      <c r="CQ26" s="40"/>
      <c r="CR26" s="5"/>
      <c r="CS26" s="5"/>
      <c r="CT26" s="5"/>
      <c r="CU26" s="5"/>
      <c r="CV26" s="5"/>
      <c r="CW26" s="5"/>
      <c r="CX26" s="5"/>
      <c r="CY26" s="5"/>
      <c r="CZ26" s="5"/>
      <c r="DA26" s="5"/>
      <c r="DB26" s="5"/>
      <c r="DC26" s="5"/>
      <c r="DD26" s="5"/>
      <c r="DE26" s="5"/>
      <c r="DF26" s="5"/>
    </row>
    <row r="27">
      <c r="A27" s="19" t="s">
        <v>47</v>
      </c>
      <c r="B27" s="19" t="s">
        <v>966</v>
      </c>
      <c r="C27" s="21">
        <v>42.0</v>
      </c>
      <c r="D27" s="35" t="b">
        <v>1</v>
      </c>
      <c r="G27" s="5"/>
      <c r="J27" s="5"/>
      <c r="M27" s="5"/>
      <c r="P27" s="5"/>
      <c r="S27" s="5"/>
      <c r="V27" s="5"/>
      <c r="Y27" s="5"/>
      <c r="AB27" s="5"/>
      <c r="AE27" s="5"/>
      <c r="AH27" s="5"/>
      <c r="AK27" s="5"/>
      <c r="AL27" s="40"/>
      <c r="AM27" s="5"/>
      <c r="AN27" s="5"/>
      <c r="AO27" s="40"/>
      <c r="AP27" s="5"/>
      <c r="AQ27" s="5"/>
      <c r="AR27" s="40"/>
      <c r="AS27" s="5"/>
      <c r="AT27" s="5"/>
      <c r="AU27" s="40"/>
      <c r="AV27" s="5"/>
      <c r="AW27" s="5"/>
      <c r="AX27" s="40"/>
      <c r="AY27" s="5"/>
      <c r="AZ27" s="5"/>
      <c r="BA27" s="40"/>
      <c r="BB27" s="5"/>
      <c r="BC27" s="5"/>
      <c r="BD27" s="40"/>
      <c r="BE27" s="5"/>
      <c r="BF27" s="5"/>
      <c r="BG27" s="40"/>
      <c r="BH27" s="5"/>
      <c r="BI27" s="5"/>
      <c r="BJ27" s="40"/>
      <c r="BK27" s="5"/>
      <c r="BL27" s="5"/>
      <c r="BM27" s="40"/>
      <c r="BN27" s="5"/>
      <c r="BO27" s="5"/>
      <c r="BP27" s="40"/>
      <c r="BQ27" s="5"/>
      <c r="BR27" s="5"/>
      <c r="BS27" s="40"/>
      <c r="BT27" s="5"/>
      <c r="BU27" s="5"/>
      <c r="BV27" s="40"/>
      <c r="BW27" s="5"/>
      <c r="BX27" s="5"/>
      <c r="BY27" s="40"/>
      <c r="BZ27" s="5"/>
      <c r="CA27" s="5"/>
      <c r="CB27" s="40"/>
      <c r="CC27" s="5"/>
      <c r="CD27" s="5"/>
      <c r="CE27" s="40"/>
      <c r="CF27" s="5"/>
      <c r="CG27" s="5"/>
      <c r="CH27" s="40"/>
      <c r="CI27" s="5"/>
      <c r="CJ27" s="5"/>
      <c r="CK27" s="40"/>
      <c r="CL27" s="5"/>
      <c r="CM27" s="5"/>
      <c r="CN27" s="40"/>
      <c r="CO27" s="5"/>
      <c r="CP27" s="5"/>
      <c r="CQ27" s="40"/>
      <c r="CR27" s="5"/>
      <c r="CS27" s="5"/>
      <c r="CT27" s="5"/>
      <c r="CU27" s="5"/>
      <c r="CV27" s="5"/>
      <c r="CW27" s="5"/>
      <c r="CX27" s="5"/>
      <c r="CY27" s="5"/>
      <c r="CZ27" s="5"/>
      <c r="DA27" s="5"/>
      <c r="DB27" s="5"/>
      <c r="DC27" s="5"/>
      <c r="DD27" s="5"/>
      <c r="DE27" s="5"/>
      <c r="DF27" s="5"/>
    </row>
    <row r="28">
      <c r="A28" s="19" t="s">
        <v>51</v>
      </c>
      <c r="B28" s="19" t="s">
        <v>64</v>
      </c>
      <c r="C28" s="21">
        <v>45.0</v>
      </c>
      <c r="D28" s="35" t="b">
        <v>0</v>
      </c>
      <c r="G28" s="5"/>
      <c r="J28" s="5"/>
      <c r="M28" s="5"/>
      <c r="P28" s="5"/>
      <c r="S28" s="5"/>
      <c r="V28" s="5"/>
      <c r="Y28" s="5"/>
      <c r="AB28" s="5"/>
      <c r="AE28" s="5"/>
      <c r="AH28" s="5"/>
      <c r="AK28" s="5"/>
      <c r="AL28" s="40"/>
      <c r="AM28" s="5"/>
      <c r="AN28" s="5"/>
      <c r="AO28" s="40"/>
      <c r="AP28" s="5"/>
      <c r="AQ28" s="5"/>
      <c r="AR28" s="40"/>
      <c r="AS28" s="5"/>
      <c r="AT28" s="5"/>
      <c r="AU28" s="40"/>
      <c r="AV28" s="5"/>
      <c r="AW28" s="5"/>
      <c r="AX28" s="40"/>
      <c r="AY28" s="5"/>
      <c r="AZ28" s="5"/>
      <c r="BA28" s="40"/>
      <c r="BB28" s="5"/>
      <c r="BC28" s="5"/>
      <c r="BD28" s="40"/>
      <c r="BE28" s="5"/>
      <c r="BF28" s="5"/>
      <c r="BG28" s="40"/>
      <c r="BH28" s="5"/>
      <c r="BI28" s="5"/>
      <c r="BJ28" s="40"/>
      <c r="BK28" s="5"/>
      <c r="BL28" s="5"/>
      <c r="BM28" s="40"/>
      <c r="BN28" s="5"/>
      <c r="BO28" s="5"/>
      <c r="BP28" s="40"/>
      <c r="BQ28" s="5"/>
      <c r="BR28" s="5"/>
      <c r="BS28" s="40"/>
      <c r="BT28" s="5"/>
      <c r="BU28" s="5"/>
      <c r="BV28" s="40"/>
      <c r="BW28" s="5"/>
      <c r="BX28" s="5"/>
      <c r="BY28" s="40"/>
      <c r="BZ28" s="5"/>
      <c r="CA28" s="5"/>
      <c r="CB28" s="40"/>
      <c r="CC28" s="5"/>
      <c r="CD28" s="5"/>
      <c r="CE28" s="40"/>
      <c r="CF28" s="5"/>
      <c r="CG28" s="5"/>
      <c r="CH28" s="40"/>
      <c r="CI28" s="5"/>
      <c r="CJ28" s="5"/>
      <c r="CK28" s="40"/>
      <c r="CL28" s="5"/>
      <c r="CM28" s="5"/>
      <c r="CN28" s="40"/>
      <c r="CO28" s="5"/>
      <c r="CP28" s="5"/>
      <c r="CQ28" s="40"/>
      <c r="CR28" s="5"/>
      <c r="CS28" s="5"/>
      <c r="CT28" s="5"/>
      <c r="CU28" s="5"/>
      <c r="CV28" s="5"/>
      <c r="CW28" s="5"/>
      <c r="CX28" s="5"/>
      <c r="CY28" s="5"/>
      <c r="CZ28" s="5"/>
      <c r="DA28" s="5"/>
      <c r="DB28" s="5"/>
      <c r="DC28" s="5"/>
      <c r="DD28" s="5"/>
      <c r="DE28" s="5"/>
      <c r="DF28" s="5"/>
    </row>
    <row r="29">
      <c r="A29" s="19" t="s">
        <v>51</v>
      </c>
      <c r="B29" s="19" t="s">
        <v>65</v>
      </c>
      <c r="C29" s="21">
        <v>46.0</v>
      </c>
      <c r="D29" s="35" t="b">
        <v>1</v>
      </c>
      <c r="G29" s="5"/>
      <c r="J29" s="5"/>
      <c r="M29" s="5"/>
      <c r="P29" s="5"/>
      <c r="S29" s="5"/>
      <c r="V29" s="5"/>
      <c r="Y29" s="5"/>
      <c r="AB29" s="5"/>
      <c r="AE29" s="5"/>
      <c r="AH29" s="5"/>
      <c r="AK29" s="5"/>
      <c r="AL29" s="40"/>
      <c r="AM29" s="5"/>
      <c r="AN29" s="5"/>
      <c r="AO29" s="40"/>
      <c r="AP29" s="5"/>
      <c r="AQ29" s="5"/>
      <c r="AR29" s="40"/>
      <c r="AS29" s="5"/>
      <c r="AT29" s="5"/>
      <c r="AU29" s="40"/>
      <c r="AV29" s="5"/>
      <c r="AW29" s="5"/>
      <c r="AX29" s="40"/>
      <c r="AY29" s="5"/>
      <c r="AZ29" s="5"/>
      <c r="BA29" s="40"/>
      <c r="BB29" s="5"/>
      <c r="BC29" s="5"/>
      <c r="BD29" s="40"/>
      <c r="BE29" s="5"/>
      <c r="BF29" s="5"/>
      <c r="BG29" s="40"/>
      <c r="BH29" s="5"/>
      <c r="BI29" s="5"/>
      <c r="BJ29" s="40"/>
      <c r="BK29" s="5"/>
      <c r="BL29" s="5"/>
      <c r="BM29" s="40"/>
      <c r="BN29" s="5"/>
      <c r="BO29" s="5"/>
      <c r="BP29" s="40"/>
      <c r="BQ29" s="5"/>
      <c r="BR29" s="5"/>
      <c r="BS29" s="40"/>
      <c r="BT29" s="5"/>
      <c r="BU29" s="5"/>
      <c r="BV29" s="40"/>
      <c r="BW29" s="5"/>
      <c r="BX29" s="5"/>
      <c r="BY29" s="40"/>
      <c r="BZ29" s="5"/>
      <c r="CA29" s="5"/>
      <c r="CB29" s="40"/>
      <c r="CC29" s="5"/>
      <c r="CD29" s="5"/>
      <c r="CE29" s="40"/>
      <c r="CF29" s="5"/>
      <c r="CG29" s="5"/>
      <c r="CH29" s="40"/>
      <c r="CI29" s="5"/>
      <c r="CJ29" s="5"/>
      <c r="CK29" s="40"/>
      <c r="CL29" s="5"/>
      <c r="CM29" s="5"/>
      <c r="CN29" s="40"/>
      <c r="CO29" s="5"/>
      <c r="CP29" s="5"/>
      <c r="CQ29" s="40"/>
      <c r="CR29" s="5"/>
      <c r="CS29" s="5"/>
      <c r="CT29" s="5"/>
      <c r="CU29" s="5"/>
      <c r="CV29" s="5"/>
      <c r="CW29" s="5"/>
      <c r="CX29" s="5"/>
      <c r="CY29" s="5"/>
      <c r="CZ29" s="5"/>
      <c r="DA29" s="5"/>
      <c r="DB29" s="5"/>
      <c r="DC29" s="5"/>
      <c r="DD29" s="5"/>
      <c r="DE29" s="5"/>
      <c r="DF29" s="5"/>
    </row>
    <row r="30">
      <c r="A30" s="19" t="s">
        <v>53</v>
      </c>
      <c r="B30" s="19" t="s">
        <v>967</v>
      </c>
      <c r="C30" s="21">
        <v>46.0</v>
      </c>
      <c r="D30" s="35" t="b">
        <v>1</v>
      </c>
      <c r="G30" s="5"/>
      <c r="J30" s="5"/>
      <c r="M30" s="5"/>
      <c r="P30" s="5"/>
      <c r="S30" s="5"/>
      <c r="V30" s="5"/>
      <c r="Y30" s="5"/>
      <c r="AB30" s="5"/>
      <c r="AE30" s="5"/>
      <c r="AH30" s="5"/>
      <c r="AK30" s="5"/>
      <c r="AL30" s="40"/>
      <c r="AM30" s="5"/>
      <c r="AN30" s="5"/>
      <c r="AO30" s="40"/>
      <c r="AP30" s="5"/>
      <c r="AQ30" s="5"/>
      <c r="AR30" s="40"/>
      <c r="AS30" s="5"/>
      <c r="AT30" s="5"/>
      <c r="AU30" s="40"/>
      <c r="AV30" s="5"/>
      <c r="AW30" s="5"/>
      <c r="AX30" s="40"/>
      <c r="AY30" s="5"/>
      <c r="AZ30" s="5"/>
      <c r="BA30" s="40"/>
      <c r="BB30" s="5"/>
      <c r="BC30" s="5"/>
      <c r="BD30" s="40"/>
      <c r="BE30" s="5"/>
      <c r="BF30" s="5"/>
      <c r="BG30" s="40"/>
      <c r="BH30" s="5"/>
      <c r="BI30" s="5"/>
      <c r="BJ30" s="40"/>
      <c r="BK30" s="5"/>
      <c r="BL30" s="5"/>
      <c r="BM30" s="40"/>
      <c r="BN30" s="5"/>
      <c r="BO30" s="5"/>
      <c r="BP30" s="40"/>
      <c r="BQ30" s="5"/>
      <c r="BR30" s="5"/>
      <c r="BS30" s="40"/>
      <c r="BT30" s="5"/>
      <c r="BU30" s="5"/>
      <c r="BV30" s="40"/>
      <c r="BW30" s="5"/>
      <c r="BX30" s="5"/>
      <c r="BY30" s="40"/>
      <c r="BZ30" s="5"/>
      <c r="CA30" s="5"/>
      <c r="CB30" s="40"/>
      <c r="CC30" s="5"/>
      <c r="CD30" s="5"/>
      <c r="CE30" s="40"/>
      <c r="CF30" s="5"/>
      <c r="CG30" s="5"/>
      <c r="CH30" s="40"/>
      <c r="CI30" s="5"/>
      <c r="CJ30" s="5"/>
      <c r="CK30" s="40"/>
      <c r="CL30" s="5"/>
      <c r="CM30" s="5"/>
      <c r="CN30" s="40"/>
      <c r="CO30" s="5"/>
      <c r="CP30" s="5"/>
      <c r="CQ30" s="40"/>
      <c r="CR30" s="5"/>
      <c r="CS30" s="5"/>
      <c r="CT30" s="5"/>
      <c r="CU30" s="5"/>
      <c r="CV30" s="5"/>
      <c r="CW30" s="5"/>
      <c r="CX30" s="5"/>
      <c r="CY30" s="5"/>
      <c r="CZ30" s="5"/>
      <c r="DA30" s="5"/>
      <c r="DB30" s="5"/>
      <c r="DC30" s="5"/>
      <c r="DD30" s="5"/>
      <c r="DE30" s="5"/>
      <c r="DF30" s="5"/>
    </row>
    <row r="31">
      <c r="A31" s="19" t="s">
        <v>47</v>
      </c>
      <c r="B31" s="42" t="s">
        <v>966</v>
      </c>
      <c r="C31" s="21">
        <v>52.0</v>
      </c>
      <c r="D31" s="35" t="b">
        <v>1</v>
      </c>
      <c r="G31" s="5"/>
      <c r="J31" s="5"/>
      <c r="M31" s="5"/>
      <c r="P31" s="5"/>
      <c r="S31" s="5"/>
      <c r="V31" s="5"/>
      <c r="Y31" s="5"/>
      <c r="AB31" s="5"/>
      <c r="AE31" s="5"/>
      <c r="AH31" s="5"/>
      <c r="AK31" s="5"/>
      <c r="AL31" s="40"/>
      <c r="AM31" s="5"/>
      <c r="AN31" s="5"/>
      <c r="AO31" s="40"/>
      <c r="AP31" s="5"/>
      <c r="AQ31" s="5"/>
      <c r="AR31" s="40"/>
      <c r="AS31" s="5"/>
      <c r="AT31" s="5"/>
      <c r="AU31" s="40"/>
      <c r="AV31" s="5"/>
      <c r="AW31" s="5"/>
      <c r="AX31" s="40"/>
      <c r="AY31" s="5"/>
      <c r="AZ31" s="5"/>
      <c r="BA31" s="40"/>
      <c r="BB31" s="5"/>
      <c r="BC31" s="5"/>
      <c r="BD31" s="40"/>
      <c r="BE31" s="5"/>
      <c r="BF31" s="5"/>
      <c r="BG31" s="40"/>
      <c r="BH31" s="5"/>
      <c r="BI31" s="5"/>
      <c r="BJ31" s="40"/>
      <c r="BK31" s="5"/>
      <c r="BL31" s="5"/>
      <c r="BM31" s="40"/>
      <c r="BN31" s="5"/>
      <c r="BO31" s="5"/>
      <c r="BP31" s="40"/>
      <c r="BQ31" s="5"/>
      <c r="BR31" s="5"/>
      <c r="BS31" s="40"/>
      <c r="BT31" s="5"/>
      <c r="BU31" s="5"/>
      <c r="BV31" s="40"/>
      <c r="BW31" s="5"/>
      <c r="BX31" s="5"/>
      <c r="BY31" s="40"/>
      <c r="BZ31" s="5"/>
      <c r="CA31" s="5"/>
      <c r="CB31" s="40"/>
      <c r="CC31" s="5"/>
      <c r="CD31" s="5"/>
      <c r="CE31" s="40"/>
      <c r="CF31" s="5"/>
      <c r="CG31" s="5"/>
      <c r="CH31" s="40"/>
      <c r="CI31" s="5"/>
      <c r="CJ31" s="5"/>
      <c r="CK31" s="40"/>
      <c r="CL31" s="5"/>
      <c r="CM31" s="5"/>
      <c r="CN31" s="40"/>
      <c r="CO31" s="5"/>
      <c r="CP31" s="5"/>
      <c r="CQ31" s="40"/>
      <c r="CR31" s="5"/>
      <c r="CS31" s="5"/>
      <c r="CT31" s="5"/>
      <c r="CU31" s="5"/>
      <c r="CV31" s="5"/>
      <c r="CW31" s="5"/>
      <c r="CX31" s="5"/>
      <c r="CY31" s="5"/>
      <c r="CZ31" s="5"/>
      <c r="DA31" s="5"/>
      <c r="DB31" s="5"/>
      <c r="DC31" s="5"/>
      <c r="DD31" s="5"/>
      <c r="DE31" s="5"/>
      <c r="DF31" s="5"/>
    </row>
    <row r="32">
      <c r="A32" s="19" t="s">
        <v>53</v>
      </c>
      <c r="B32" s="42" t="s">
        <v>968</v>
      </c>
      <c r="C32" s="21">
        <v>67.0</v>
      </c>
      <c r="D32" s="35" t="b">
        <v>0</v>
      </c>
      <c r="G32" s="5"/>
      <c r="J32" s="5"/>
      <c r="M32" s="5"/>
      <c r="P32" s="5"/>
      <c r="S32" s="5"/>
      <c r="V32" s="5"/>
      <c r="Y32" s="5"/>
      <c r="AB32" s="5"/>
      <c r="AE32" s="5"/>
      <c r="AH32" s="5"/>
      <c r="AK32" s="5"/>
      <c r="AL32" s="40"/>
      <c r="AM32" s="5"/>
      <c r="AN32" s="5"/>
      <c r="AO32" s="40"/>
      <c r="AP32" s="5"/>
      <c r="AQ32" s="5"/>
      <c r="AR32" s="40"/>
      <c r="AS32" s="5"/>
      <c r="AT32" s="5"/>
      <c r="AU32" s="40"/>
      <c r="AV32" s="5"/>
      <c r="AW32" s="5"/>
      <c r="AX32" s="40"/>
      <c r="AY32" s="5"/>
      <c r="AZ32" s="5"/>
      <c r="BA32" s="40"/>
      <c r="BB32" s="5"/>
      <c r="BC32" s="5"/>
      <c r="BD32" s="40"/>
      <c r="BE32" s="5"/>
      <c r="BF32" s="5"/>
      <c r="BG32" s="40"/>
      <c r="BH32" s="5"/>
      <c r="BI32" s="5"/>
      <c r="BJ32" s="40"/>
      <c r="BK32" s="5"/>
      <c r="BL32" s="5"/>
      <c r="BM32" s="40"/>
      <c r="BN32" s="5"/>
      <c r="BO32" s="5"/>
      <c r="BP32" s="40"/>
      <c r="BQ32" s="5"/>
      <c r="BR32" s="5"/>
      <c r="BS32" s="40"/>
      <c r="BT32" s="5"/>
      <c r="BU32" s="5"/>
      <c r="BV32" s="40"/>
      <c r="BW32" s="5"/>
      <c r="BX32" s="5"/>
      <c r="BY32" s="40"/>
      <c r="BZ32" s="5"/>
      <c r="CA32" s="5"/>
      <c r="CB32" s="40"/>
      <c r="CC32" s="5"/>
      <c r="CD32" s="5"/>
      <c r="CE32" s="40"/>
      <c r="CF32" s="5"/>
      <c r="CG32" s="5"/>
      <c r="CH32" s="40"/>
      <c r="CI32" s="5"/>
      <c r="CJ32" s="5"/>
      <c r="CK32" s="40"/>
      <c r="CL32" s="5"/>
      <c r="CM32" s="5"/>
      <c r="CN32" s="40"/>
      <c r="CO32" s="5"/>
      <c r="CP32" s="5"/>
      <c r="CQ32" s="40"/>
      <c r="CR32" s="5"/>
      <c r="CS32" s="5"/>
      <c r="CT32" s="5"/>
      <c r="CU32" s="5"/>
      <c r="CV32" s="5"/>
      <c r="CW32" s="5"/>
      <c r="CX32" s="5"/>
      <c r="CY32" s="5"/>
      <c r="CZ32" s="5"/>
      <c r="DA32" s="5"/>
      <c r="DB32" s="5"/>
      <c r="DC32" s="5"/>
      <c r="DD32" s="5"/>
      <c r="DE32" s="5"/>
      <c r="DF32" s="5"/>
    </row>
    <row r="33">
      <c r="A33" s="19" t="s">
        <v>53</v>
      </c>
      <c r="B33" s="42" t="s">
        <v>969</v>
      </c>
      <c r="C33" s="21">
        <v>67.0</v>
      </c>
      <c r="D33" s="35" t="b">
        <v>1</v>
      </c>
      <c r="G33" s="5"/>
      <c r="J33" s="5"/>
      <c r="M33" s="5"/>
      <c r="P33" s="5"/>
      <c r="S33" s="5"/>
      <c r="V33" s="5"/>
      <c r="Y33" s="5"/>
      <c r="AB33" s="5"/>
      <c r="AE33" s="5"/>
      <c r="AH33" s="5"/>
      <c r="AK33" s="5"/>
      <c r="AL33" s="40"/>
      <c r="AM33" s="5"/>
      <c r="AN33" s="5"/>
      <c r="AO33" s="40"/>
      <c r="AP33" s="5"/>
      <c r="AQ33" s="5"/>
      <c r="AR33" s="40"/>
      <c r="AS33" s="5"/>
      <c r="AT33" s="5"/>
      <c r="AU33" s="40"/>
      <c r="AV33" s="5"/>
      <c r="AW33" s="5"/>
      <c r="AX33" s="40"/>
      <c r="AY33" s="5"/>
      <c r="AZ33" s="5"/>
      <c r="BA33" s="40"/>
      <c r="BB33" s="5"/>
      <c r="BC33" s="5"/>
      <c r="BD33" s="40"/>
      <c r="BE33" s="5"/>
      <c r="BF33" s="5"/>
      <c r="BG33" s="40"/>
      <c r="BH33" s="5"/>
      <c r="BI33" s="5"/>
      <c r="BJ33" s="40"/>
      <c r="BK33" s="5"/>
      <c r="BL33" s="5"/>
      <c r="BM33" s="40"/>
      <c r="BN33" s="5"/>
      <c r="BO33" s="5"/>
      <c r="BP33" s="40"/>
      <c r="BQ33" s="5"/>
      <c r="BR33" s="5"/>
      <c r="BS33" s="40"/>
      <c r="BT33" s="5"/>
      <c r="BU33" s="5"/>
      <c r="BV33" s="40"/>
      <c r="BW33" s="5"/>
      <c r="BX33" s="5"/>
      <c r="BY33" s="40"/>
      <c r="BZ33" s="5"/>
      <c r="CA33" s="5"/>
      <c r="CB33" s="40"/>
      <c r="CC33" s="5"/>
      <c r="CD33" s="5"/>
      <c r="CE33" s="40"/>
      <c r="CF33" s="5"/>
      <c r="CG33" s="5"/>
      <c r="CH33" s="40"/>
      <c r="CI33" s="5"/>
      <c r="CJ33" s="5"/>
      <c r="CK33" s="40"/>
      <c r="CL33" s="5"/>
      <c r="CM33" s="5"/>
      <c r="CN33" s="40"/>
      <c r="CO33" s="5"/>
      <c r="CP33" s="5"/>
      <c r="CQ33" s="40"/>
      <c r="CR33" s="5"/>
      <c r="CS33" s="5"/>
      <c r="CT33" s="5"/>
      <c r="CU33" s="5"/>
      <c r="CV33" s="5"/>
      <c r="CW33" s="5"/>
      <c r="CX33" s="5"/>
      <c r="CY33" s="5"/>
      <c r="CZ33" s="5"/>
      <c r="DA33" s="5"/>
      <c r="DB33" s="5"/>
      <c r="DC33" s="5"/>
      <c r="DD33" s="5"/>
      <c r="DE33" s="5"/>
      <c r="DF33" s="5"/>
    </row>
    <row r="34">
      <c r="A34" s="19" t="s">
        <v>53</v>
      </c>
      <c r="B34" s="46" t="s">
        <v>970</v>
      </c>
      <c r="C34" s="21">
        <v>67.0</v>
      </c>
      <c r="D34" s="35" t="b">
        <v>1</v>
      </c>
      <c r="G34" s="5"/>
      <c r="J34" s="5"/>
      <c r="M34" s="5"/>
      <c r="P34" s="5"/>
      <c r="S34" s="5"/>
      <c r="V34" s="5"/>
      <c r="Y34" s="5"/>
      <c r="AB34" s="5"/>
      <c r="AE34" s="5"/>
      <c r="AH34" s="5"/>
      <c r="AK34" s="5"/>
      <c r="AL34" s="40"/>
      <c r="AM34" s="5"/>
      <c r="AN34" s="5"/>
      <c r="AO34" s="40"/>
      <c r="AP34" s="5"/>
      <c r="AQ34" s="5"/>
      <c r="AR34" s="40"/>
      <c r="AS34" s="5"/>
      <c r="AT34" s="5"/>
      <c r="AU34" s="40"/>
      <c r="AV34" s="5"/>
      <c r="AW34" s="5"/>
      <c r="AX34" s="40"/>
      <c r="AY34" s="5"/>
      <c r="AZ34" s="5"/>
      <c r="BA34" s="40"/>
      <c r="BB34" s="5"/>
      <c r="BC34" s="5"/>
      <c r="BD34" s="40"/>
      <c r="BE34" s="5"/>
      <c r="BF34" s="5"/>
      <c r="BG34" s="40"/>
      <c r="BH34" s="5"/>
      <c r="BI34" s="5"/>
      <c r="BJ34" s="40"/>
      <c r="BK34" s="5"/>
      <c r="BL34" s="5"/>
      <c r="BM34" s="40"/>
      <c r="BN34" s="5"/>
      <c r="BO34" s="5"/>
      <c r="BP34" s="40"/>
      <c r="BQ34" s="5"/>
      <c r="BR34" s="5"/>
      <c r="BS34" s="40"/>
      <c r="BT34" s="5"/>
      <c r="BU34" s="5"/>
      <c r="BV34" s="40"/>
      <c r="BW34" s="5"/>
      <c r="BX34" s="5"/>
      <c r="BY34" s="40"/>
      <c r="BZ34" s="5"/>
      <c r="CA34" s="5"/>
      <c r="CB34" s="40"/>
      <c r="CC34" s="5"/>
      <c r="CD34" s="5"/>
      <c r="CE34" s="40"/>
      <c r="CF34" s="5"/>
      <c r="CG34" s="5"/>
      <c r="CH34" s="40"/>
      <c r="CI34" s="5"/>
      <c r="CJ34" s="5"/>
      <c r="CK34" s="40"/>
      <c r="CL34" s="5"/>
      <c r="CM34" s="5"/>
      <c r="CN34" s="40"/>
      <c r="CO34" s="5"/>
      <c r="CP34" s="5"/>
      <c r="CQ34" s="40"/>
      <c r="CR34" s="5"/>
      <c r="CS34" s="5"/>
      <c r="CT34" s="5"/>
      <c r="CU34" s="5"/>
      <c r="CV34" s="5"/>
      <c r="CW34" s="5"/>
      <c r="CX34" s="5"/>
      <c r="CY34" s="5"/>
      <c r="CZ34" s="5"/>
      <c r="DA34" s="5"/>
      <c r="DB34" s="5"/>
      <c r="DC34" s="5"/>
      <c r="DD34" s="5"/>
      <c r="DE34" s="5"/>
      <c r="DF34" s="5"/>
    </row>
    <row r="35">
      <c r="A35" s="19" t="s">
        <v>53</v>
      </c>
      <c r="B35" s="42" t="s">
        <v>971</v>
      </c>
      <c r="C35" s="21">
        <v>72.0</v>
      </c>
      <c r="D35" s="35" t="b">
        <v>1</v>
      </c>
      <c r="G35" s="5"/>
      <c r="J35" s="5"/>
      <c r="M35" s="5"/>
      <c r="P35" s="5"/>
      <c r="S35" s="5"/>
      <c r="V35" s="5"/>
      <c r="Y35" s="5"/>
      <c r="AB35" s="5"/>
      <c r="AE35" s="5"/>
      <c r="AH35" s="5"/>
      <c r="AK35" s="5"/>
      <c r="AL35" s="40"/>
      <c r="AM35" s="5"/>
      <c r="AN35" s="5"/>
      <c r="AO35" s="40"/>
      <c r="AP35" s="5"/>
      <c r="AQ35" s="5"/>
      <c r="AR35" s="40"/>
      <c r="AS35" s="5"/>
      <c r="AT35" s="5"/>
      <c r="AU35" s="40"/>
      <c r="AV35" s="5"/>
      <c r="AW35" s="5"/>
      <c r="AX35" s="40"/>
      <c r="AY35" s="5"/>
      <c r="AZ35" s="5"/>
      <c r="BA35" s="40"/>
      <c r="BB35" s="5"/>
      <c r="BC35" s="5"/>
      <c r="BD35" s="40"/>
      <c r="BE35" s="5"/>
      <c r="BF35" s="5"/>
      <c r="BG35" s="40"/>
      <c r="BH35" s="5"/>
      <c r="BI35" s="5"/>
      <c r="BJ35" s="40"/>
      <c r="BK35" s="5"/>
      <c r="BL35" s="5"/>
      <c r="BM35" s="40"/>
      <c r="BN35" s="5"/>
      <c r="BO35" s="5"/>
      <c r="BP35" s="40"/>
      <c r="BQ35" s="5"/>
      <c r="BR35" s="5"/>
      <c r="BS35" s="40"/>
      <c r="BT35" s="5"/>
      <c r="BU35" s="5"/>
      <c r="BV35" s="40"/>
      <c r="BW35" s="5"/>
      <c r="BX35" s="5"/>
      <c r="BY35" s="40"/>
      <c r="BZ35" s="5"/>
      <c r="CA35" s="5"/>
      <c r="CB35" s="40"/>
      <c r="CC35" s="5"/>
      <c r="CD35" s="5"/>
      <c r="CE35" s="40"/>
      <c r="CF35" s="5"/>
      <c r="CG35" s="5"/>
      <c r="CH35" s="40"/>
      <c r="CI35" s="5"/>
      <c r="CJ35" s="5"/>
      <c r="CK35" s="40"/>
      <c r="CL35" s="5"/>
      <c r="CM35" s="5"/>
      <c r="CN35" s="40"/>
      <c r="CO35" s="5"/>
      <c r="CP35" s="5"/>
      <c r="CQ35" s="40"/>
      <c r="CR35" s="5"/>
      <c r="CS35" s="5"/>
      <c r="CT35" s="5"/>
      <c r="CU35" s="5"/>
      <c r="CV35" s="5"/>
      <c r="CW35" s="5"/>
      <c r="CX35" s="5"/>
      <c r="CY35" s="5"/>
      <c r="CZ35" s="5"/>
      <c r="DA35" s="5"/>
      <c r="DB35" s="5"/>
      <c r="DC35" s="5"/>
      <c r="DD35" s="5"/>
      <c r="DE35" s="5"/>
      <c r="DF35" s="5"/>
    </row>
    <row r="36">
      <c r="A36" s="19" t="s">
        <v>53</v>
      </c>
      <c r="B36" s="42" t="s">
        <v>972</v>
      </c>
      <c r="C36" s="21">
        <v>72.0</v>
      </c>
      <c r="D36" s="35" t="b">
        <v>1</v>
      </c>
      <c r="G36" s="5"/>
      <c r="J36" s="5"/>
      <c r="M36" s="5"/>
      <c r="P36" s="5"/>
      <c r="S36" s="5"/>
      <c r="V36" s="5"/>
      <c r="Y36" s="5"/>
      <c r="AB36" s="5"/>
      <c r="AE36" s="5"/>
      <c r="AH36" s="5"/>
      <c r="AK36" s="5"/>
      <c r="AL36" s="40"/>
      <c r="AM36" s="5"/>
      <c r="AN36" s="5"/>
      <c r="AO36" s="40"/>
      <c r="AP36" s="5"/>
      <c r="AQ36" s="5"/>
      <c r="AR36" s="40"/>
      <c r="AS36" s="5"/>
      <c r="AT36" s="5"/>
      <c r="AU36" s="40"/>
      <c r="AV36" s="5"/>
      <c r="AW36" s="5"/>
      <c r="AX36" s="40"/>
      <c r="AY36" s="5"/>
      <c r="AZ36" s="5"/>
      <c r="BA36" s="40"/>
      <c r="BB36" s="5"/>
      <c r="BC36" s="5"/>
      <c r="BD36" s="40"/>
      <c r="BE36" s="5"/>
      <c r="BF36" s="5"/>
      <c r="BG36" s="40"/>
      <c r="BH36" s="5"/>
      <c r="BI36" s="5"/>
      <c r="BJ36" s="40"/>
      <c r="BK36" s="5"/>
      <c r="BL36" s="5"/>
      <c r="BM36" s="40"/>
      <c r="BN36" s="5"/>
      <c r="BO36" s="5"/>
      <c r="BP36" s="40"/>
      <c r="BQ36" s="5"/>
      <c r="BR36" s="5"/>
      <c r="BS36" s="40"/>
      <c r="BT36" s="5"/>
      <c r="BU36" s="5"/>
      <c r="BV36" s="40"/>
      <c r="BW36" s="5"/>
      <c r="BX36" s="5"/>
      <c r="BY36" s="40"/>
      <c r="BZ36" s="5"/>
      <c r="CA36" s="5"/>
      <c r="CB36" s="40"/>
      <c r="CC36" s="5"/>
      <c r="CD36" s="5"/>
      <c r="CE36" s="40"/>
      <c r="CF36" s="5"/>
      <c r="CG36" s="5"/>
      <c r="CH36" s="40"/>
      <c r="CI36" s="5"/>
      <c r="CJ36" s="5"/>
      <c r="CK36" s="40"/>
      <c r="CL36" s="5"/>
      <c r="CM36" s="5"/>
      <c r="CN36" s="40"/>
      <c r="CO36" s="5"/>
      <c r="CP36" s="5"/>
      <c r="CQ36" s="40"/>
      <c r="CR36" s="5"/>
      <c r="CS36" s="5"/>
      <c r="CT36" s="5"/>
      <c r="CU36" s="5"/>
      <c r="CV36" s="5"/>
      <c r="CW36" s="5"/>
      <c r="CX36" s="5"/>
      <c r="CY36" s="5"/>
      <c r="CZ36" s="5"/>
      <c r="DA36" s="5"/>
      <c r="DB36" s="5"/>
      <c r="DC36" s="5"/>
      <c r="DD36" s="5"/>
      <c r="DE36" s="5"/>
      <c r="DF36" s="5"/>
    </row>
    <row r="37">
      <c r="A37" s="19" t="s">
        <v>53</v>
      </c>
      <c r="B37" s="42" t="s">
        <v>973</v>
      </c>
      <c r="C37" s="21">
        <v>79.0</v>
      </c>
      <c r="D37" s="35" t="b">
        <v>1</v>
      </c>
      <c r="G37" s="5"/>
      <c r="J37" s="5"/>
      <c r="M37" s="5"/>
      <c r="P37" s="5"/>
      <c r="S37" s="5"/>
      <c r="V37" s="5"/>
      <c r="Y37" s="5"/>
      <c r="AB37" s="5"/>
      <c r="AE37" s="5"/>
      <c r="AH37" s="5"/>
      <c r="AK37" s="5"/>
      <c r="AL37" s="40"/>
      <c r="AM37" s="5"/>
      <c r="AN37" s="5"/>
      <c r="AO37" s="40"/>
      <c r="AP37" s="5"/>
      <c r="AQ37" s="5"/>
      <c r="AR37" s="40"/>
      <c r="AS37" s="5"/>
      <c r="AT37" s="5"/>
      <c r="AU37" s="40"/>
      <c r="AV37" s="5"/>
      <c r="AW37" s="5"/>
      <c r="AX37" s="40"/>
      <c r="AY37" s="5"/>
      <c r="AZ37" s="5"/>
      <c r="BA37" s="40"/>
      <c r="BB37" s="5"/>
      <c r="BC37" s="5"/>
      <c r="BD37" s="40"/>
      <c r="BE37" s="5"/>
      <c r="BF37" s="5"/>
      <c r="BG37" s="40"/>
      <c r="BH37" s="5"/>
      <c r="BI37" s="5"/>
      <c r="BJ37" s="40"/>
      <c r="BK37" s="5"/>
      <c r="BL37" s="5"/>
      <c r="BM37" s="40"/>
      <c r="BN37" s="5"/>
      <c r="BO37" s="5"/>
      <c r="BP37" s="40"/>
      <c r="BQ37" s="5"/>
      <c r="BR37" s="5"/>
      <c r="BS37" s="40"/>
      <c r="BT37" s="5"/>
      <c r="BU37" s="5"/>
      <c r="BV37" s="40"/>
      <c r="BW37" s="5"/>
      <c r="BX37" s="5"/>
      <c r="BY37" s="40"/>
      <c r="BZ37" s="5"/>
      <c r="CA37" s="5"/>
      <c r="CB37" s="40"/>
      <c r="CC37" s="5"/>
      <c r="CD37" s="5"/>
      <c r="CE37" s="40"/>
      <c r="CF37" s="5"/>
      <c r="CG37" s="5"/>
      <c r="CH37" s="40"/>
      <c r="CI37" s="5"/>
      <c r="CJ37" s="5"/>
      <c r="CK37" s="40"/>
      <c r="CL37" s="5"/>
      <c r="CM37" s="5"/>
      <c r="CN37" s="40"/>
      <c r="CO37" s="5"/>
      <c r="CP37" s="5"/>
      <c r="CQ37" s="40"/>
      <c r="CR37" s="5"/>
      <c r="CS37" s="5"/>
      <c r="CT37" s="5"/>
      <c r="CU37" s="5"/>
      <c r="CV37" s="5"/>
      <c r="CW37" s="5"/>
      <c r="CX37" s="5"/>
      <c r="CY37" s="5"/>
      <c r="CZ37" s="5"/>
      <c r="DA37" s="5"/>
      <c r="DB37" s="5"/>
      <c r="DC37" s="5"/>
      <c r="DD37" s="5"/>
      <c r="DE37" s="5"/>
      <c r="DF37" s="5"/>
    </row>
    <row r="38">
      <c r="A38" s="19" t="s">
        <v>53</v>
      </c>
      <c r="B38" s="42" t="s">
        <v>974</v>
      </c>
      <c r="C38" s="21">
        <v>79.0</v>
      </c>
      <c r="D38" s="35" t="b">
        <v>1</v>
      </c>
      <c r="G38" s="5"/>
      <c r="J38" s="5"/>
      <c r="M38" s="5"/>
      <c r="P38" s="5"/>
      <c r="S38" s="5"/>
      <c r="V38" s="5"/>
      <c r="Y38" s="5"/>
      <c r="AB38" s="5"/>
      <c r="AE38" s="5"/>
      <c r="AH38" s="5"/>
      <c r="AK38" s="5"/>
      <c r="AL38" s="40"/>
      <c r="AM38" s="5"/>
      <c r="AN38" s="5"/>
      <c r="AO38" s="40"/>
      <c r="AP38" s="5"/>
      <c r="AQ38" s="5"/>
      <c r="AR38" s="40"/>
      <c r="AS38" s="5"/>
      <c r="AT38" s="5"/>
      <c r="AU38" s="40"/>
      <c r="AV38" s="5"/>
      <c r="AW38" s="5"/>
      <c r="AX38" s="40"/>
      <c r="AY38" s="5"/>
      <c r="AZ38" s="5"/>
      <c r="BA38" s="40"/>
      <c r="BB38" s="5"/>
      <c r="BC38" s="5"/>
      <c r="BD38" s="40"/>
      <c r="BE38" s="5"/>
      <c r="BF38" s="5"/>
      <c r="BG38" s="40"/>
      <c r="BH38" s="5"/>
      <c r="BI38" s="5"/>
      <c r="BJ38" s="40"/>
      <c r="BK38" s="5"/>
      <c r="BL38" s="5"/>
      <c r="BM38" s="40"/>
      <c r="BN38" s="5"/>
      <c r="BO38" s="5"/>
      <c r="BP38" s="40"/>
      <c r="BQ38" s="5"/>
      <c r="BR38" s="5"/>
      <c r="BS38" s="40"/>
      <c r="BT38" s="5"/>
      <c r="BU38" s="5"/>
      <c r="BV38" s="40"/>
      <c r="BW38" s="5"/>
      <c r="BX38" s="5"/>
      <c r="BY38" s="40"/>
      <c r="BZ38" s="5"/>
      <c r="CA38" s="5"/>
      <c r="CB38" s="40"/>
      <c r="CC38" s="5"/>
      <c r="CD38" s="5"/>
      <c r="CE38" s="40"/>
      <c r="CF38" s="5"/>
      <c r="CG38" s="5"/>
      <c r="CH38" s="40"/>
      <c r="CI38" s="5"/>
      <c r="CJ38" s="5"/>
      <c r="CK38" s="40"/>
      <c r="CL38" s="5"/>
      <c r="CM38" s="5"/>
      <c r="CN38" s="40"/>
      <c r="CO38" s="5"/>
      <c r="CP38" s="5"/>
      <c r="CQ38" s="40"/>
      <c r="CR38" s="5"/>
      <c r="CS38" s="5"/>
      <c r="CT38" s="5"/>
      <c r="CU38" s="5"/>
      <c r="CV38" s="5"/>
      <c r="CW38" s="5"/>
      <c r="CX38" s="5"/>
      <c r="CY38" s="5"/>
      <c r="CZ38" s="5"/>
      <c r="DA38" s="5"/>
      <c r="DB38" s="5"/>
      <c r="DC38" s="5"/>
      <c r="DD38" s="5"/>
      <c r="DE38" s="5"/>
      <c r="DF38" s="5"/>
    </row>
    <row r="39">
      <c r="A39" s="19" t="s">
        <v>53</v>
      </c>
      <c r="B39" s="42" t="s">
        <v>975</v>
      </c>
      <c r="C39" s="21">
        <v>87.0</v>
      </c>
      <c r="D39" s="35" t="b">
        <v>0</v>
      </c>
      <c r="G39" s="5"/>
      <c r="J39" s="5"/>
      <c r="M39" s="5"/>
      <c r="P39" s="5"/>
      <c r="S39" s="5"/>
      <c r="V39" s="5"/>
      <c r="Y39" s="5"/>
      <c r="AB39" s="5"/>
      <c r="AE39" s="5"/>
      <c r="AH39" s="5"/>
      <c r="AK39" s="5"/>
      <c r="AL39" s="40"/>
      <c r="AM39" s="5"/>
      <c r="AN39" s="5"/>
      <c r="AO39" s="40"/>
      <c r="AP39" s="5"/>
      <c r="AQ39" s="5"/>
      <c r="AR39" s="40"/>
      <c r="AS39" s="5"/>
      <c r="AT39" s="5"/>
      <c r="AU39" s="40"/>
      <c r="AV39" s="5"/>
      <c r="AW39" s="5"/>
      <c r="AX39" s="40"/>
      <c r="AY39" s="5"/>
      <c r="AZ39" s="5"/>
      <c r="BA39" s="40"/>
      <c r="BB39" s="5"/>
      <c r="BC39" s="5"/>
      <c r="BD39" s="40"/>
      <c r="BE39" s="5"/>
      <c r="BF39" s="5"/>
      <c r="BG39" s="40"/>
      <c r="BH39" s="5"/>
      <c r="BI39" s="5"/>
      <c r="BJ39" s="40"/>
      <c r="BK39" s="5"/>
      <c r="BL39" s="5"/>
      <c r="BM39" s="40"/>
      <c r="BN39" s="5"/>
      <c r="BO39" s="5"/>
      <c r="BP39" s="40"/>
      <c r="BQ39" s="5"/>
      <c r="BR39" s="5"/>
      <c r="BS39" s="40"/>
      <c r="BT39" s="5"/>
      <c r="BU39" s="5"/>
      <c r="BV39" s="40"/>
      <c r="BW39" s="5"/>
      <c r="BX39" s="5"/>
      <c r="BY39" s="40"/>
      <c r="BZ39" s="5"/>
      <c r="CA39" s="5"/>
      <c r="CB39" s="40"/>
      <c r="CC39" s="5"/>
      <c r="CD39" s="5"/>
      <c r="CE39" s="40"/>
      <c r="CF39" s="5"/>
      <c r="CG39" s="5"/>
      <c r="CH39" s="40"/>
      <c r="CI39" s="5"/>
      <c r="CJ39" s="5"/>
      <c r="CK39" s="40"/>
      <c r="CL39" s="5"/>
      <c r="CM39" s="5"/>
      <c r="CN39" s="40"/>
      <c r="CO39" s="5"/>
      <c r="CP39" s="5"/>
      <c r="CQ39" s="40"/>
      <c r="CR39" s="5"/>
      <c r="CS39" s="5"/>
      <c r="CT39" s="5"/>
      <c r="CU39" s="5"/>
      <c r="CV39" s="5"/>
      <c r="CW39" s="5"/>
      <c r="CX39" s="5"/>
      <c r="CY39" s="5"/>
      <c r="CZ39" s="5"/>
      <c r="DA39" s="5"/>
      <c r="DB39" s="5"/>
      <c r="DC39" s="5"/>
      <c r="DD39" s="5"/>
      <c r="DE39" s="5"/>
      <c r="DF39" s="5"/>
    </row>
    <row r="40">
      <c r="A40" s="19" t="s">
        <v>53</v>
      </c>
      <c r="B40" s="42" t="s">
        <v>976</v>
      </c>
      <c r="C40" s="21">
        <v>87.0</v>
      </c>
      <c r="D40" s="35" t="b">
        <v>0</v>
      </c>
      <c r="G40" s="5"/>
      <c r="J40" s="5"/>
      <c r="M40" s="5"/>
      <c r="P40" s="5"/>
      <c r="S40" s="5"/>
      <c r="V40" s="5"/>
      <c r="Y40" s="5"/>
      <c r="AB40" s="5"/>
      <c r="AE40" s="5"/>
      <c r="AH40" s="5"/>
      <c r="AK40" s="5"/>
      <c r="AL40" s="40"/>
      <c r="AM40" s="5"/>
      <c r="AN40" s="5"/>
      <c r="AO40" s="40"/>
      <c r="AP40" s="5"/>
      <c r="AQ40" s="5"/>
      <c r="AR40" s="40"/>
      <c r="AS40" s="5"/>
      <c r="AT40" s="5"/>
      <c r="AU40" s="40"/>
      <c r="AV40" s="5"/>
      <c r="AW40" s="5"/>
      <c r="AX40" s="40"/>
      <c r="AY40" s="5"/>
      <c r="AZ40" s="5"/>
      <c r="BA40" s="40"/>
      <c r="BB40" s="5"/>
      <c r="BC40" s="5"/>
      <c r="BD40" s="40"/>
      <c r="BE40" s="5"/>
      <c r="BF40" s="5"/>
      <c r="BG40" s="40"/>
      <c r="BH40" s="5"/>
      <c r="BI40" s="5"/>
      <c r="BJ40" s="40"/>
      <c r="BK40" s="5"/>
      <c r="BL40" s="5"/>
      <c r="BM40" s="40"/>
      <c r="BN40" s="5"/>
      <c r="BO40" s="5"/>
      <c r="BP40" s="40"/>
      <c r="BQ40" s="5"/>
      <c r="BR40" s="5"/>
      <c r="BS40" s="40"/>
      <c r="BT40" s="5"/>
      <c r="BU40" s="5"/>
      <c r="BV40" s="40"/>
      <c r="BW40" s="5"/>
      <c r="BX40" s="5"/>
      <c r="BY40" s="40"/>
      <c r="BZ40" s="5"/>
      <c r="CA40" s="5"/>
      <c r="CB40" s="40"/>
      <c r="CC40" s="5"/>
      <c r="CD40" s="5"/>
      <c r="CE40" s="40"/>
      <c r="CF40" s="5"/>
      <c r="CG40" s="5"/>
      <c r="CH40" s="40"/>
      <c r="CI40" s="5"/>
      <c r="CJ40" s="5"/>
      <c r="CK40" s="40"/>
      <c r="CL40" s="5"/>
      <c r="CM40" s="5"/>
      <c r="CN40" s="40"/>
      <c r="CO40" s="5"/>
      <c r="CP40" s="5"/>
      <c r="CQ40" s="40"/>
      <c r="CR40" s="5"/>
      <c r="CS40" s="5"/>
      <c r="CT40" s="5"/>
      <c r="CU40" s="5"/>
      <c r="CV40" s="5"/>
      <c r="CW40" s="5"/>
      <c r="CX40" s="5"/>
      <c r="CY40" s="5"/>
      <c r="CZ40" s="5"/>
      <c r="DA40" s="5"/>
      <c r="DB40" s="5"/>
      <c r="DC40" s="5"/>
      <c r="DD40" s="5"/>
      <c r="DE40" s="5"/>
      <c r="DF40" s="5"/>
    </row>
    <row r="41">
      <c r="A41" s="19" t="s">
        <v>51</v>
      </c>
      <c r="B41" s="42" t="s">
        <v>74</v>
      </c>
      <c r="C41" s="21">
        <v>90.0</v>
      </c>
      <c r="D41" s="35" t="b">
        <v>1</v>
      </c>
      <c r="G41" s="5"/>
      <c r="J41" s="5"/>
      <c r="M41" s="5"/>
      <c r="P41" s="5"/>
      <c r="S41" s="5"/>
      <c r="V41" s="5"/>
      <c r="Y41" s="5"/>
      <c r="AB41" s="5"/>
      <c r="AE41" s="5"/>
      <c r="AH41" s="5"/>
      <c r="AK41" s="5"/>
      <c r="AL41" s="40"/>
      <c r="AM41" s="5"/>
      <c r="AN41" s="5"/>
      <c r="AO41" s="40"/>
      <c r="AP41" s="5"/>
      <c r="AQ41" s="5"/>
      <c r="AR41" s="40"/>
      <c r="AS41" s="5"/>
      <c r="AT41" s="5"/>
      <c r="AU41" s="40"/>
      <c r="AV41" s="5"/>
      <c r="AW41" s="5"/>
      <c r="AX41" s="40"/>
      <c r="AY41" s="5"/>
      <c r="AZ41" s="5"/>
      <c r="BA41" s="40"/>
      <c r="BB41" s="5"/>
      <c r="BC41" s="5"/>
      <c r="BD41" s="40"/>
      <c r="BE41" s="5"/>
      <c r="BF41" s="5"/>
      <c r="BG41" s="40"/>
      <c r="BH41" s="5"/>
      <c r="BI41" s="5"/>
      <c r="BJ41" s="40"/>
      <c r="BK41" s="5"/>
      <c r="BL41" s="5"/>
      <c r="BM41" s="40"/>
      <c r="BN41" s="5"/>
      <c r="BO41" s="5"/>
      <c r="BP41" s="40"/>
      <c r="BQ41" s="5"/>
      <c r="BR41" s="5"/>
      <c r="BS41" s="40"/>
      <c r="BT41" s="5"/>
      <c r="BU41" s="5"/>
      <c r="BV41" s="40"/>
      <c r="BW41" s="5"/>
      <c r="BX41" s="5"/>
      <c r="BY41" s="40"/>
      <c r="BZ41" s="5"/>
      <c r="CA41" s="5"/>
      <c r="CB41" s="40"/>
      <c r="CC41" s="5"/>
      <c r="CD41" s="5"/>
      <c r="CE41" s="40"/>
      <c r="CF41" s="5"/>
      <c r="CG41" s="5"/>
      <c r="CH41" s="40"/>
      <c r="CI41" s="5"/>
      <c r="CJ41" s="5"/>
      <c r="CK41" s="40"/>
      <c r="CL41" s="5"/>
      <c r="CM41" s="5"/>
      <c r="CN41" s="40"/>
      <c r="CO41" s="5"/>
      <c r="CP41" s="5"/>
      <c r="CQ41" s="40"/>
      <c r="CR41" s="5"/>
      <c r="CS41" s="5"/>
      <c r="CT41" s="5"/>
      <c r="CU41" s="5"/>
      <c r="CV41" s="5"/>
      <c r="CW41" s="5"/>
      <c r="CX41" s="5"/>
      <c r="CY41" s="5"/>
      <c r="CZ41" s="5"/>
      <c r="DA41" s="5"/>
      <c r="DB41" s="5"/>
      <c r="DC41" s="5"/>
      <c r="DD41" s="5"/>
      <c r="DE41" s="5"/>
      <c r="DF41" s="5"/>
    </row>
    <row r="42">
      <c r="G42" s="5"/>
      <c r="J42" s="5"/>
      <c r="M42" s="5"/>
      <c r="P42" s="5"/>
      <c r="S42" s="5"/>
      <c r="V42" s="5"/>
      <c r="Y42" s="5"/>
      <c r="AB42" s="5"/>
      <c r="AE42" s="5"/>
      <c r="AH42" s="5"/>
      <c r="AK42" s="5"/>
      <c r="AL42" s="40"/>
      <c r="AM42" s="5"/>
      <c r="AN42" s="5"/>
      <c r="AO42" s="40"/>
      <c r="AP42" s="5"/>
      <c r="AQ42" s="5"/>
      <c r="AR42" s="40"/>
      <c r="AS42" s="5"/>
      <c r="AT42" s="5"/>
      <c r="AU42" s="40"/>
      <c r="AV42" s="5"/>
      <c r="AW42" s="5"/>
      <c r="AX42" s="40"/>
      <c r="AY42" s="5"/>
      <c r="AZ42" s="5"/>
      <c r="BA42" s="40"/>
      <c r="BB42" s="5"/>
      <c r="BC42" s="5"/>
      <c r="BD42" s="40"/>
      <c r="BE42" s="5"/>
      <c r="BF42" s="5"/>
      <c r="BG42" s="40"/>
      <c r="BH42" s="5"/>
      <c r="BI42" s="5"/>
      <c r="BJ42" s="40"/>
      <c r="BK42" s="5"/>
      <c r="BL42" s="5"/>
      <c r="BM42" s="40"/>
      <c r="BN42" s="5"/>
      <c r="BO42" s="5"/>
      <c r="BP42" s="40"/>
      <c r="BQ42" s="5"/>
      <c r="BR42" s="5"/>
      <c r="BS42" s="40"/>
      <c r="BT42" s="5"/>
      <c r="BU42" s="5"/>
      <c r="BV42" s="40"/>
      <c r="BW42" s="5"/>
      <c r="BX42" s="5"/>
      <c r="BY42" s="40"/>
      <c r="BZ42" s="5"/>
      <c r="CA42" s="5"/>
      <c r="CB42" s="40"/>
      <c r="CC42" s="5"/>
      <c r="CD42" s="5"/>
      <c r="CE42" s="40"/>
      <c r="CF42" s="5"/>
      <c r="CG42" s="5"/>
      <c r="CH42" s="40"/>
      <c r="CI42" s="5"/>
      <c r="CJ42" s="5"/>
      <c r="CK42" s="40"/>
      <c r="CL42" s="5"/>
      <c r="CM42" s="5"/>
      <c r="CN42" s="40"/>
      <c r="CO42" s="5"/>
      <c r="CP42" s="5"/>
      <c r="CQ42" s="40"/>
      <c r="CR42" s="5"/>
      <c r="CS42" s="5"/>
      <c r="CT42" s="5"/>
      <c r="CU42" s="5"/>
      <c r="CV42" s="5"/>
      <c r="CW42" s="5"/>
      <c r="CX42" s="5"/>
      <c r="CY42" s="5"/>
      <c r="CZ42" s="5"/>
      <c r="DA42" s="5"/>
      <c r="DB42" s="5"/>
      <c r="DC42" s="5"/>
      <c r="DD42" s="5"/>
      <c r="DE42" s="5"/>
      <c r="DF42" s="5"/>
    </row>
    <row r="43">
      <c r="G43" s="5"/>
      <c r="J43" s="5"/>
      <c r="M43" s="5"/>
      <c r="P43" s="5"/>
      <c r="S43" s="5"/>
      <c r="V43" s="5"/>
      <c r="Y43" s="5"/>
      <c r="AB43" s="5"/>
      <c r="AE43" s="5"/>
      <c r="AH43" s="5"/>
      <c r="AK43" s="5"/>
      <c r="AL43" s="40"/>
      <c r="AM43" s="5"/>
      <c r="AN43" s="5"/>
      <c r="AO43" s="40"/>
      <c r="AP43" s="5"/>
      <c r="AQ43" s="5"/>
      <c r="AR43" s="40"/>
      <c r="AS43" s="5"/>
      <c r="AT43" s="5"/>
      <c r="AU43" s="40"/>
      <c r="AV43" s="5"/>
      <c r="AW43" s="5"/>
      <c r="AX43" s="40"/>
      <c r="AY43" s="5"/>
      <c r="AZ43" s="5"/>
      <c r="BA43" s="40"/>
      <c r="BB43" s="5"/>
      <c r="BC43" s="5"/>
      <c r="BD43" s="40"/>
      <c r="BE43" s="5"/>
      <c r="BF43" s="5"/>
      <c r="BG43" s="40"/>
      <c r="BH43" s="5"/>
      <c r="BI43" s="5"/>
      <c r="BJ43" s="40"/>
      <c r="BK43" s="5"/>
      <c r="BL43" s="5"/>
      <c r="BM43" s="40"/>
      <c r="BN43" s="5"/>
      <c r="BO43" s="5"/>
      <c r="BP43" s="40"/>
      <c r="BQ43" s="5"/>
      <c r="BR43" s="5"/>
      <c r="BS43" s="40"/>
      <c r="BT43" s="5"/>
      <c r="BU43" s="5"/>
      <c r="BV43" s="40"/>
      <c r="BW43" s="5"/>
      <c r="BX43" s="5"/>
      <c r="BY43" s="40"/>
      <c r="BZ43" s="5"/>
      <c r="CA43" s="5"/>
      <c r="CB43" s="40"/>
      <c r="CC43" s="5"/>
      <c r="CD43" s="5"/>
      <c r="CE43" s="40"/>
      <c r="CF43" s="5"/>
      <c r="CG43" s="5"/>
      <c r="CH43" s="40"/>
      <c r="CI43" s="5"/>
      <c r="CJ43" s="5"/>
      <c r="CK43" s="40"/>
      <c r="CL43" s="5"/>
      <c r="CM43" s="5"/>
      <c r="CN43" s="40"/>
      <c r="CO43" s="5"/>
      <c r="CP43" s="5"/>
      <c r="CQ43" s="40"/>
      <c r="CR43" s="5"/>
      <c r="CS43" s="5"/>
      <c r="CT43" s="5"/>
      <c r="CU43" s="5"/>
      <c r="CV43" s="5"/>
      <c r="CW43" s="5"/>
      <c r="CX43" s="5"/>
      <c r="CY43" s="5"/>
      <c r="CZ43" s="5"/>
      <c r="DA43" s="5"/>
      <c r="DB43" s="5"/>
      <c r="DC43" s="5"/>
      <c r="DD43" s="5"/>
      <c r="DE43" s="5"/>
      <c r="DF43" s="5"/>
    </row>
    <row r="44">
      <c r="G44" s="5"/>
      <c r="J44" s="5"/>
      <c r="M44" s="5"/>
      <c r="P44" s="5"/>
      <c r="S44" s="5"/>
      <c r="V44" s="5"/>
      <c r="Y44" s="5"/>
      <c r="AB44" s="5"/>
      <c r="AE44" s="5"/>
      <c r="AH44" s="5"/>
      <c r="AK44" s="5"/>
      <c r="AL44" s="40"/>
      <c r="AM44" s="5"/>
      <c r="AN44" s="5"/>
      <c r="AO44" s="40"/>
      <c r="AP44" s="5"/>
      <c r="AQ44" s="5"/>
      <c r="AR44" s="40"/>
      <c r="AS44" s="5"/>
      <c r="AT44" s="5"/>
      <c r="AU44" s="40"/>
      <c r="AV44" s="5"/>
      <c r="AW44" s="5"/>
      <c r="AX44" s="40"/>
      <c r="AY44" s="5"/>
      <c r="AZ44" s="5"/>
      <c r="BA44" s="40"/>
      <c r="BB44" s="5"/>
      <c r="BC44" s="5"/>
      <c r="BD44" s="40"/>
      <c r="BE44" s="5"/>
      <c r="BF44" s="5"/>
      <c r="BG44" s="40"/>
      <c r="BH44" s="5"/>
      <c r="BI44" s="5"/>
      <c r="BJ44" s="40"/>
      <c r="BK44" s="5"/>
      <c r="BL44" s="5"/>
      <c r="BM44" s="40"/>
      <c r="BN44" s="5"/>
      <c r="BO44" s="5"/>
      <c r="BP44" s="40"/>
      <c r="BQ44" s="5"/>
      <c r="BR44" s="5"/>
      <c r="BS44" s="40"/>
      <c r="BT44" s="5"/>
      <c r="BU44" s="5"/>
      <c r="BV44" s="40"/>
      <c r="BW44" s="5"/>
      <c r="BX44" s="5"/>
      <c r="BY44" s="40"/>
      <c r="BZ44" s="5"/>
      <c r="CA44" s="5"/>
      <c r="CB44" s="40"/>
      <c r="CC44" s="5"/>
      <c r="CD44" s="5"/>
      <c r="CE44" s="40"/>
      <c r="CF44" s="5"/>
      <c r="CG44" s="5"/>
      <c r="CH44" s="40"/>
      <c r="CI44" s="5"/>
      <c r="CJ44" s="5"/>
      <c r="CK44" s="40"/>
      <c r="CL44" s="5"/>
      <c r="CM44" s="5"/>
      <c r="CN44" s="40"/>
      <c r="CO44" s="5"/>
      <c r="CP44" s="5"/>
      <c r="CQ44" s="40"/>
      <c r="CR44" s="5"/>
      <c r="CS44" s="5"/>
      <c r="CT44" s="5"/>
      <c r="CU44" s="5"/>
      <c r="CV44" s="5"/>
      <c r="CW44" s="5"/>
      <c r="CX44" s="5"/>
      <c r="CY44" s="5"/>
      <c r="CZ44" s="5"/>
      <c r="DA44" s="5"/>
      <c r="DB44" s="5"/>
      <c r="DC44" s="5"/>
      <c r="DD44" s="5"/>
      <c r="DE44" s="5"/>
      <c r="DF44" s="5"/>
    </row>
    <row r="45">
      <c r="A45" s="36"/>
      <c r="D45" s="19"/>
      <c r="G45" s="5"/>
      <c r="J45" s="5"/>
      <c r="M45" s="5"/>
      <c r="P45" s="5"/>
      <c r="S45" s="5"/>
      <c r="V45" s="5"/>
      <c r="Y45" s="5"/>
      <c r="AB45" s="5"/>
      <c r="AE45" s="5"/>
      <c r="AH45" s="5"/>
      <c r="AK45" s="5"/>
      <c r="AL45" s="40"/>
      <c r="AM45" s="5"/>
      <c r="AN45" s="5"/>
      <c r="AO45" s="40"/>
      <c r="AP45" s="5"/>
      <c r="AQ45" s="5"/>
      <c r="AR45" s="40"/>
      <c r="AS45" s="5"/>
      <c r="AT45" s="5"/>
      <c r="AU45" s="40"/>
      <c r="AV45" s="5"/>
      <c r="AW45" s="5"/>
      <c r="AX45" s="40"/>
      <c r="AY45" s="5"/>
      <c r="AZ45" s="5"/>
      <c r="BA45" s="40"/>
      <c r="BB45" s="5"/>
      <c r="BC45" s="5"/>
      <c r="BD45" s="40"/>
      <c r="BE45" s="5"/>
      <c r="BF45" s="5"/>
      <c r="BG45" s="40"/>
      <c r="BH45" s="5"/>
      <c r="BI45" s="5"/>
      <c r="BJ45" s="40"/>
      <c r="BK45" s="5"/>
      <c r="BL45" s="5"/>
      <c r="BM45" s="40"/>
      <c r="BN45" s="5"/>
      <c r="BO45" s="5"/>
      <c r="BP45" s="40"/>
      <c r="BQ45" s="5"/>
      <c r="BR45" s="5"/>
      <c r="BS45" s="40"/>
      <c r="BT45" s="5"/>
      <c r="BU45" s="5"/>
      <c r="BV45" s="40"/>
      <c r="BW45" s="5"/>
      <c r="BX45" s="5"/>
      <c r="BY45" s="40"/>
      <c r="BZ45" s="5"/>
      <c r="CA45" s="5"/>
      <c r="CB45" s="40"/>
      <c r="CC45" s="5"/>
      <c r="CD45" s="5"/>
      <c r="CE45" s="40"/>
      <c r="CF45" s="5"/>
      <c r="CG45" s="5"/>
      <c r="CH45" s="40"/>
      <c r="CI45" s="5"/>
      <c r="CJ45" s="5"/>
      <c r="CK45" s="40"/>
      <c r="CL45" s="5"/>
      <c r="CM45" s="5"/>
      <c r="CN45" s="40"/>
      <c r="CO45" s="5"/>
      <c r="CP45" s="5"/>
      <c r="CQ45" s="40"/>
      <c r="CR45" s="5"/>
      <c r="CS45" s="5"/>
      <c r="CT45" s="5"/>
      <c r="CU45" s="5"/>
      <c r="CV45" s="5"/>
      <c r="CW45" s="5"/>
      <c r="CX45" s="5"/>
      <c r="CY45" s="5"/>
      <c r="CZ45" s="5"/>
      <c r="DA45" s="5"/>
      <c r="DB45" s="5"/>
      <c r="DC45" s="5"/>
      <c r="DD45" s="5"/>
      <c r="DE45" s="5"/>
      <c r="DF45" s="5"/>
    </row>
    <row r="46">
      <c r="B46" s="36"/>
      <c r="C46" s="26"/>
      <c r="D46" s="19"/>
      <c r="G46" s="5"/>
      <c r="J46" s="5"/>
      <c r="M46" s="5"/>
      <c r="P46" s="5"/>
      <c r="S46" s="5"/>
      <c r="V46" s="5"/>
      <c r="Y46" s="5"/>
      <c r="AB46" s="5"/>
      <c r="AE46" s="5"/>
      <c r="AH46" s="5"/>
      <c r="AK46" s="5"/>
      <c r="AL46" s="40"/>
      <c r="AM46" s="5"/>
      <c r="AN46" s="5"/>
      <c r="AO46" s="40"/>
      <c r="AP46" s="5"/>
      <c r="AQ46" s="5"/>
      <c r="AR46" s="40"/>
      <c r="AS46" s="5"/>
      <c r="AT46" s="5"/>
      <c r="AU46" s="40"/>
      <c r="AV46" s="5"/>
      <c r="AW46" s="5"/>
      <c r="AX46" s="40"/>
      <c r="AY46" s="5"/>
      <c r="AZ46" s="5"/>
      <c r="BA46" s="40"/>
      <c r="BB46" s="5"/>
      <c r="BC46" s="5"/>
      <c r="BD46" s="40"/>
      <c r="BE46" s="5"/>
      <c r="BF46" s="5"/>
      <c r="BG46" s="40"/>
      <c r="BH46" s="5"/>
      <c r="BI46" s="5"/>
      <c r="BJ46" s="40"/>
      <c r="BK46" s="5"/>
      <c r="BL46" s="5"/>
      <c r="BM46" s="40"/>
      <c r="BN46" s="5"/>
      <c r="BO46" s="5"/>
      <c r="BP46" s="40"/>
      <c r="BQ46" s="5"/>
      <c r="BR46" s="5"/>
      <c r="BS46" s="40"/>
      <c r="BT46" s="5"/>
      <c r="BU46" s="5"/>
      <c r="BV46" s="40"/>
      <c r="BW46" s="5"/>
      <c r="BX46" s="5"/>
      <c r="BY46" s="40"/>
      <c r="BZ46" s="5"/>
      <c r="CA46" s="5"/>
      <c r="CB46" s="40"/>
      <c r="CC46" s="5"/>
      <c r="CD46" s="5"/>
      <c r="CE46" s="40"/>
      <c r="CF46" s="5"/>
      <c r="CG46" s="5"/>
      <c r="CH46" s="40"/>
      <c r="CI46" s="5"/>
      <c r="CJ46" s="5"/>
      <c r="CK46" s="40"/>
      <c r="CL46" s="5"/>
      <c r="CM46" s="5"/>
      <c r="CN46" s="40"/>
      <c r="CO46" s="5"/>
      <c r="CP46" s="5"/>
      <c r="CQ46" s="40"/>
      <c r="CR46" s="5"/>
      <c r="CS46" s="5"/>
      <c r="CT46" s="5"/>
      <c r="CU46" s="5"/>
      <c r="CV46" s="5"/>
      <c r="CW46" s="5"/>
      <c r="CX46" s="5"/>
      <c r="CY46" s="5"/>
      <c r="CZ46" s="5"/>
      <c r="DA46" s="5"/>
      <c r="DB46" s="5"/>
      <c r="DC46" s="5"/>
      <c r="DD46" s="5"/>
      <c r="DE46" s="5"/>
      <c r="DF46" s="5"/>
    </row>
    <row r="47">
      <c r="A47" s="37"/>
      <c r="B47" s="36"/>
      <c r="C47" s="36"/>
      <c r="D47" s="19"/>
      <c r="G47" s="5"/>
      <c r="J47" s="5"/>
      <c r="M47" s="5"/>
      <c r="P47" s="5"/>
      <c r="S47" s="5"/>
      <c r="V47" s="5"/>
      <c r="Y47" s="5"/>
      <c r="AB47" s="5"/>
      <c r="AE47" s="5"/>
      <c r="AH47" s="5"/>
      <c r="AK47" s="5"/>
      <c r="AL47" s="40"/>
      <c r="AM47" s="5"/>
      <c r="AN47" s="5"/>
      <c r="AO47" s="40"/>
      <c r="AP47" s="5"/>
      <c r="AQ47" s="5"/>
      <c r="AR47" s="40"/>
      <c r="AS47" s="5"/>
      <c r="AT47" s="5"/>
      <c r="AU47" s="40"/>
      <c r="AV47" s="5"/>
      <c r="AW47" s="5"/>
      <c r="AX47" s="40"/>
      <c r="AY47" s="5"/>
      <c r="AZ47" s="5"/>
      <c r="BA47" s="40"/>
      <c r="BB47" s="5"/>
      <c r="BC47" s="5"/>
      <c r="BD47" s="40"/>
      <c r="BE47" s="5"/>
      <c r="BF47" s="5"/>
      <c r="BG47" s="40"/>
      <c r="BH47" s="5"/>
      <c r="BI47" s="5"/>
      <c r="BJ47" s="40"/>
      <c r="BK47" s="5"/>
      <c r="BL47" s="5"/>
      <c r="BM47" s="40"/>
      <c r="BN47" s="5"/>
      <c r="BO47" s="5"/>
      <c r="BP47" s="40"/>
      <c r="BQ47" s="5"/>
      <c r="BR47" s="5"/>
      <c r="BS47" s="40"/>
      <c r="BT47" s="5"/>
      <c r="BU47" s="5"/>
      <c r="BV47" s="40"/>
      <c r="BW47" s="5"/>
      <c r="BX47" s="5"/>
      <c r="BY47" s="40"/>
      <c r="BZ47" s="5"/>
      <c r="CA47" s="5"/>
      <c r="CB47" s="40"/>
      <c r="CC47" s="5"/>
      <c r="CD47" s="5"/>
      <c r="CE47" s="40"/>
      <c r="CF47" s="5"/>
      <c r="CG47" s="5"/>
      <c r="CH47" s="40"/>
      <c r="CI47" s="5"/>
      <c r="CJ47" s="5"/>
      <c r="CK47" s="40"/>
      <c r="CL47" s="5"/>
      <c r="CM47" s="5"/>
      <c r="CN47" s="40"/>
      <c r="CO47" s="5"/>
      <c r="CP47" s="5"/>
      <c r="CQ47" s="40"/>
      <c r="CR47" s="5"/>
      <c r="CS47" s="5"/>
      <c r="CT47" s="5"/>
      <c r="CU47" s="5"/>
      <c r="CV47" s="5"/>
      <c r="CW47" s="5"/>
      <c r="CX47" s="5"/>
      <c r="CY47" s="5"/>
      <c r="CZ47" s="5"/>
      <c r="DA47" s="5"/>
      <c r="DB47" s="5"/>
      <c r="DC47" s="5"/>
      <c r="DD47" s="5"/>
      <c r="DE47" s="5"/>
      <c r="DF47" s="5"/>
    </row>
    <row r="48">
      <c r="A48" s="19"/>
      <c r="B48" s="26"/>
      <c r="C48" s="21"/>
      <c r="D48" s="19"/>
      <c r="G48" s="5"/>
      <c r="J48" s="5"/>
      <c r="M48" s="5"/>
      <c r="P48" s="5"/>
      <c r="S48" s="5"/>
      <c r="V48" s="5"/>
      <c r="Y48" s="5"/>
      <c r="AB48" s="5"/>
      <c r="AE48" s="5"/>
      <c r="AH48" s="5"/>
      <c r="AK48" s="5"/>
      <c r="AL48" s="40"/>
      <c r="AM48" s="5"/>
      <c r="AN48" s="5"/>
      <c r="AO48" s="40"/>
      <c r="AP48" s="5"/>
      <c r="AQ48" s="5"/>
      <c r="AR48" s="40"/>
      <c r="AS48" s="5"/>
      <c r="AT48" s="5"/>
      <c r="AU48" s="40"/>
      <c r="AV48" s="5"/>
      <c r="AW48" s="5"/>
      <c r="AX48" s="40"/>
      <c r="AY48" s="5"/>
      <c r="AZ48" s="5"/>
      <c r="BA48" s="40"/>
      <c r="BB48" s="5"/>
      <c r="BC48" s="5"/>
      <c r="BD48" s="40"/>
      <c r="BE48" s="5"/>
      <c r="BF48" s="5"/>
      <c r="BG48" s="40"/>
      <c r="BH48" s="5"/>
      <c r="BI48" s="5"/>
      <c r="BJ48" s="40"/>
      <c r="BK48" s="5"/>
      <c r="BL48" s="5"/>
      <c r="BM48" s="40"/>
      <c r="BN48" s="5"/>
      <c r="BO48" s="5"/>
      <c r="BP48" s="40"/>
      <c r="BQ48" s="5"/>
      <c r="BR48" s="5"/>
      <c r="BS48" s="40"/>
      <c r="BT48" s="5"/>
      <c r="BU48" s="5"/>
      <c r="BV48" s="40"/>
      <c r="BW48" s="5"/>
      <c r="BX48" s="5"/>
      <c r="BY48" s="40"/>
      <c r="BZ48" s="5"/>
      <c r="CA48" s="5"/>
      <c r="CB48" s="40"/>
      <c r="CC48" s="5"/>
      <c r="CD48" s="5"/>
      <c r="CE48" s="40"/>
      <c r="CF48" s="5"/>
      <c r="CG48" s="5"/>
      <c r="CH48" s="40"/>
      <c r="CI48" s="5"/>
      <c r="CJ48" s="5"/>
      <c r="CK48" s="40"/>
      <c r="CL48" s="5"/>
      <c r="CM48" s="5"/>
      <c r="CN48" s="40"/>
      <c r="CO48" s="5"/>
      <c r="CP48" s="5"/>
      <c r="CQ48" s="40"/>
      <c r="CR48" s="5"/>
      <c r="CS48" s="5"/>
      <c r="CT48" s="5"/>
      <c r="CU48" s="5"/>
      <c r="CV48" s="5"/>
      <c r="CW48" s="5"/>
      <c r="CX48" s="5"/>
      <c r="CY48" s="5"/>
      <c r="CZ48" s="5"/>
      <c r="DA48" s="5"/>
      <c r="DB48" s="5"/>
      <c r="DC48" s="5"/>
      <c r="DD48" s="5"/>
      <c r="DE48" s="5"/>
      <c r="DF48" s="5"/>
    </row>
    <row r="49">
      <c r="A49" s="19"/>
      <c r="B49" s="26"/>
      <c r="C49" s="21"/>
      <c r="D49" s="19"/>
      <c r="G49" s="5"/>
      <c r="J49" s="5"/>
      <c r="M49" s="5"/>
      <c r="P49" s="5"/>
      <c r="S49" s="5"/>
      <c r="V49" s="5"/>
      <c r="Y49" s="5"/>
      <c r="AB49" s="5"/>
      <c r="AE49" s="5"/>
      <c r="AH49" s="5"/>
      <c r="AK49" s="5"/>
      <c r="AL49" s="40"/>
      <c r="AM49" s="5"/>
      <c r="AN49" s="5"/>
      <c r="AO49" s="40"/>
      <c r="AP49" s="5"/>
      <c r="AQ49" s="5"/>
      <c r="AR49" s="40"/>
      <c r="AS49" s="5"/>
      <c r="AT49" s="5"/>
      <c r="AU49" s="40"/>
      <c r="AV49" s="5"/>
      <c r="AW49" s="5"/>
      <c r="AX49" s="40"/>
      <c r="AY49" s="5"/>
      <c r="AZ49" s="5"/>
      <c r="BA49" s="40"/>
      <c r="BB49" s="5"/>
      <c r="BC49" s="5"/>
      <c r="BD49" s="40"/>
      <c r="BE49" s="5"/>
      <c r="BF49" s="5"/>
      <c r="BG49" s="40"/>
      <c r="BH49" s="5"/>
      <c r="BI49" s="5"/>
      <c r="BJ49" s="40"/>
      <c r="BK49" s="5"/>
      <c r="BL49" s="5"/>
      <c r="BM49" s="40"/>
      <c r="BN49" s="5"/>
      <c r="BO49" s="5"/>
      <c r="BP49" s="40"/>
      <c r="BQ49" s="5"/>
      <c r="BR49" s="5"/>
      <c r="BS49" s="40"/>
      <c r="BT49" s="5"/>
      <c r="BU49" s="5"/>
      <c r="BV49" s="40"/>
      <c r="BW49" s="5"/>
      <c r="BX49" s="5"/>
      <c r="BY49" s="40"/>
      <c r="BZ49" s="5"/>
      <c r="CA49" s="5"/>
      <c r="CB49" s="40"/>
      <c r="CC49" s="5"/>
      <c r="CD49" s="5"/>
      <c r="CE49" s="40"/>
      <c r="CF49" s="5"/>
      <c r="CG49" s="5"/>
      <c r="CH49" s="40"/>
      <c r="CI49" s="5"/>
      <c r="CJ49" s="5"/>
      <c r="CK49" s="40"/>
      <c r="CL49" s="5"/>
      <c r="CM49" s="5"/>
      <c r="CN49" s="40"/>
      <c r="CO49" s="5"/>
      <c r="CP49" s="5"/>
      <c r="CQ49" s="40"/>
      <c r="CR49" s="5"/>
      <c r="CS49" s="5"/>
      <c r="CT49" s="5"/>
      <c r="CU49" s="5"/>
      <c r="CV49" s="5"/>
      <c r="CW49" s="5"/>
      <c r="CX49" s="5"/>
      <c r="CY49" s="5"/>
      <c r="CZ49" s="5"/>
      <c r="DA49" s="5"/>
      <c r="DB49" s="5"/>
      <c r="DC49" s="5"/>
      <c r="DD49" s="5"/>
      <c r="DE49" s="5"/>
      <c r="DF49" s="5"/>
    </row>
    <row r="50">
      <c r="A50" s="19"/>
      <c r="B50" s="26"/>
      <c r="C50" s="21"/>
      <c r="D50" s="19"/>
      <c r="G50" s="5"/>
      <c r="J50" s="5"/>
      <c r="M50" s="5"/>
      <c r="P50" s="5"/>
      <c r="S50" s="5"/>
      <c r="V50" s="5"/>
      <c r="Y50" s="5"/>
      <c r="AB50" s="5"/>
      <c r="AE50" s="5"/>
      <c r="AH50" s="5"/>
      <c r="AK50" s="5"/>
      <c r="AL50" s="40"/>
      <c r="AM50" s="5"/>
      <c r="AN50" s="5"/>
      <c r="AO50" s="40"/>
      <c r="AP50" s="5"/>
      <c r="AQ50" s="5"/>
      <c r="AR50" s="40"/>
      <c r="AS50" s="5"/>
      <c r="AT50" s="5"/>
      <c r="AU50" s="40"/>
      <c r="AV50" s="5"/>
      <c r="AW50" s="5"/>
      <c r="AX50" s="40"/>
      <c r="AY50" s="5"/>
      <c r="AZ50" s="5"/>
      <c r="BA50" s="40"/>
      <c r="BB50" s="5"/>
      <c r="BC50" s="5"/>
      <c r="BD50" s="40"/>
      <c r="BE50" s="5"/>
      <c r="BF50" s="5"/>
      <c r="BG50" s="40"/>
      <c r="BH50" s="5"/>
      <c r="BI50" s="5"/>
      <c r="BJ50" s="40"/>
      <c r="BK50" s="5"/>
      <c r="BL50" s="5"/>
      <c r="BM50" s="40"/>
      <c r="BN50" s="5"/>
      <c r="BO50" s="5"/>
      <c r="BP50" s="40"/>
      <c r="BQ50" s="5"/>
      <c r="BR50" s="5"/>
      <c r="BS50" s="40"/>
      <c r="BT50" s="5"/>
      <c r="BU50" s="5"/>
      <c r="BV50" s="40"/>
      <c r="BW50" s="5"/>
      <c r="BX50" s="5"/>
      <c r="BY50" s="40"/>
      <c r="BZ50" s="5"/>
      <c r="CA50" s="5"/>
      <c r="CB50" s="40"/>
      <c r="CC50" s="5"/>
      <c r="CD50" s="5"/>
      <c r="CE50" s="40"/>
      <c r="CF50" s="5"/>
      <c r="CG50" s="5"/>
      <c r="CH50" s="40"/>
      <c r="CI50" s="5"/>
      <c r="CJ50" s="5"/>
      <c r="CK50" s="40"/>
      <c r="CL50" s="5"/>
      <c r="CM50" s="5"/>
      <c r="CN50" s="40"/>
      <c r="CO50" s="5"/>
      <c r="CP50" s="5"/>
      <c r="CQ50" s="40"/>
      <c r="CR50" s="5"/>
      <c r="CS50" s="5"/>
      <c r="CT50" s="5"/>
      <c r="CU50" s="5"/>
      <c r="CV50" s="5"/>
      <c r="CW50" s="5"/>
      <c r="CX50" s="5"/>
      <c r="CY50" s="5"/>
      <c r="CZ50" s="5"/>
      <c r="DA50" s="5"/>
      <c r="DB50" s="5"/>
      <c r="DC50" s="5"/>
      <c r="DD50" s="5"/>
      <c r="DE50" s="5"/>
      <c r="DF50" s="5"/>
    </row>
    <row r="51">
      <c r="A51" s="19"/>
      <c r="B51" s="26"/>
      <c r="C51" s="21"/>
      <c r="D51" s="19"/>
      <c r="G51" s="5"/>
      <c r="J51" s="5"/>
      <c r="M51" s="5"/>
      <c r="P51" s="5"/>
      <c r="S51" s="5"/>
      <c r="V51" s="5"/>
      <c r="Y51" s="5"/>
      <c r="AB51" s="5"/>
      <c r="AE51" s="5"/>
      <c r="AH51" s="5"/>
      <c r="AK51" s="5"/>
      <c r="AL51" s="40"/>
      <c r="AM51" s="5"/>
      <c r="AN51" s="5"/>
      <c r="AO51" s="40"/>
      <c r="AP51" s="5"/>
      <c r="AQ51" s="5"/>
      <c r="AR51" s="40"/>
      <c r="AS51" s="5"/>
      <c r="AT51" s="5"/>
      <c r="AU51" s="40"/>
      <c r="AV51" s="5"/>
      <c r="AW51" s="5"/>
      <c r="AX51" s="40"/>
      <c r="AY51" s="5"/>
      <c r="AZ51" s="5"/>
      <c r="BA51" s="40"/>
      <c r="BB51" s="5"/>
      <c r="BC51" s="5"/>
      <c r="BD51" s="40"/>
      <c r="BE51" s="5"/>
      <c r="BF51" s="5"/>
      <c r="BG51" s="40"/>
      <c r="BH51" s="5"/>
      <c r="BI51" s="5"/>
      <c r="BJ51" s="40"/>
      <c r="BK51" s="5"/>
      <c r="BL51" s="5"/>
      <c r="BM51" s="40"/>
      <c r="BN51" s="5"/>
      <c r="BO51" s="5"/>
      <c r="BP51" s="40"/>
      <c r="BQ51" s="5"/>
      <c r="BR51" s="5"/>
      <c r="BS51" s="40"/>
      <c r="BT51" s="5"/>
      <c r="BU51" s="5"/>
      <c r="BV51" s="40"/>
      <c r="BW51" s="5"/>
      <c r="BX51" s="5"/>
      <c r="BY51" s="40"/>
      <c r="BZ51" s="5"/>
      <c r="CA51" s="5"/>
      <c r="CB51" s="40"/>
      <c r="CC51" s="5"/>
      <c r="CD51" s="5"/>
      <c r="CE51" s="40"/>
      <c r="CF51" s="5"/>
      <c r="CG51" s="5"/>
      <c r="CH51" s="40"/>
      <c r="CI51" s="5"/>
      <c r="CJ51" s="5"/>
      <c r="CK51" s="40"/>
      <c r="CL51" s="5"/>
      <c r="CM51" s="5"/>
      <c r="CN51" s="40"/>
      <c r="CO51" s="5"/>
      <c r="CP51" s="5"/>
      <c r="CQ51" s="40"/>
      <c r="CR51" s="5"/>
      <c r="CS51" s="5"/>
      <c r="CT51" s="5"/>
      <c r="CU51" s="5"/>
      <c r="CV51" s="5"/>
      <c r="CW51" s="5"/>
      <c r="CX51" s="5"/>
      <c r="CY51" s="5"/>
      <c r="CZ51" s="5"/>
      <c r="DA51" s="5"/>
      <c r="DB51" s="5"/>
      <c r="DC51" s="5"/>
      <c r="DD51" s="5"/>
      <c r="DE51" s="5"/>
      <c r="DF51" s="5"/>
    </row>
    <row r="52">
      <c r="A52" s="19"/>
      <c r="B52" s="26"/>
      <c r="C52" s="21"/>
      <c r="D52" s="19"/>
      <c r="G52" s="5"/>
      <c r="J52" s="5"/>
      <c r="M52" s="5"/>
      <c r="P52" s="5"/>
      <c r="S52" s="5"/>
      <c r="V52" s="5"/>
      <c r="Y52" s="5"/>
      <c r="AB52" s="5"/>
      <c r="AE52" s="5"/>
      <c r="AH52" s="5"/>
      <c r="AK52" s="5"/>
      <c r="AL52" s="40"/>
      <c r="AM52" s="5"/>
      <c r="AN52" s="5"/>
      <c r="AO52" s="40"/>
      <c r="AP52" s="5"/>
      <c r="AQ52" s="5"/>
      <c r="AR52" s="40"/>
      <c r="AS52" s="5"/>
      <c r="AT52" s="5"/>
      <c r="AU52" s="40"/>
      <c r="AV52" s="5"/>
      <c r="AW52" s="5"/>
      <c r="AX52" s="40"/>
      <c r="AY52" s="5"/>
      <c r="AZ52" s="5"/>
      <c r="BA52" s="40"/>
      <c r="BB52" s="5"/>
      <c r="BC52" s="5"/>
      <c r="BD52" s="40"/>
      <c r="BE52" s="5"/>
      <c r="BF52" s="5"/>
      <c r="BG52" s="40"/>
      <c r="BH52" s="5"/>
      <c r="BI52" s="5"/>
      <c r="BJ52" s="40"/>
      <c r="BK52" s="5"/>
      <c r="BL52" s="5"/>
      <c r="BM52" s="40"/>
      <c r="BN52" s="5"/>
      <c r="BO52" s="5"/>
      <c r="BP52" s="40"/>
      <c r="BQ52" s="5"/>
      <c r="BR52" s="5"/>
      <c r="BS52" s="40"/>
      <c r="BT52" s="5"/>
      <c r="BU52" s="5"/>
      <c r="BV52" s="40"/>
      <c r="BW52" s="5"/>
      <c r="BX52" s="5"/>
      <c r="BY52" s="40"/>
      <c r="BZ52" s="5"/>
      <c r="CA52" s="5"/>
      <c r="CB52" s="40"/>
      <c r="CC52" s="5"/>
      <c r="CD52" s="5"/>
      <c r="CE52" s="40"/>
      <c r="CF52" s="5"/>
      <c r="CG52" s="5"/>
      <c r="CH52" s="40"/>
      <c r="CI52" s="5"/>
      <c r="CJ52" s="5"/>
      <c r="CK52" s="40"/>
      <c r="CL52" s="5"/>
      <c r="CM52" s="5"/>
      <c r="CN52" s="40"/>
      <c r="CO52" s="5"/>
      <c r="CP52" s="5"/>
      <c r="CQ52" s="40"/>
      <c r="CR52" s="5"/>
      <c r="CS52" s="5"/>
      <c r="CT52" s="5"/>
      <c r="CU52" s="5"/>
      <c r="CV52" s="5"/>
      <c r="CW52" s="5"/>
      <c r="CX52" s="5"/>
      <c r="CY52" s="5"/>
      <c r="CZ52" s="5"/>
      <c r="DA52" s="5"/>
      <c r="DB52" s="5"/>
      <c r="DC52" s="5"/>
      <c r="DD52" s="5"/>
      <c r="DE52" s="5"/>
      <c r="DF52" s="5"/>
    </row>
    <row r="53">
      <c r="A53" s="19"/>
      <c r="B53" s="26"/>
      <c r="C53" s="21"/>
      <c r="D53" s="19"/>
      <c r="G53" s="5"/>
      <c r="J53" s="5"/>
      <c r="M53" s="5"/>
      <c r="P53" s="5"/>
      <c r="S53" s="5"/>
      <c r="V53" s="5"/>
      <c r="Y53" s="5"/>
      <c r="AB53" s="5"/>
      <c r="AE53" s="5"/>
      <c r="AH53" s="5"/>
      <c r="AK53" s="5"/>
      <c r="AL53" s="40"/>
      <c r="AM53" s="5"/>
      <c r="AN53" s="5"/>
      <c r="AO53" s="40"/>
      <c r="AP53" s="5"/>
      <c r="AQ53" s="5"/>
      <c r="AR53" s="40"/>
      <c r="AS53" s="5"/>
      <c r="AT53" s="5"/>
      <c r="AU53" s="40"/>
      <c r="AV53" s="5"/>
      <c r="AW53" s="5"/>
      <c r="AX53" s="40"/>
      <c r="AY53" s="5"/>
      <c r="AZ53" s="5"/>
      <c r="BA53" s="40"/>
      <c r="BB53" s="5"/>
      <c r="BC53" s="5"/>
      <c r="BD53" s="40"/>
      <c r="BE53" s="5"/>
      <c r="BF53" s="5"/>
      <c r="BG53" s="40"/>
      <c r="BH53" s="5"/>
      <c r="BI53" s="5"/>
      <c r="BJ53" s="40"/>
      <c r="BK53" s="5"/>
      <c r="BL53" s="5"/>
      <c r="BM53" s="40"/>
      <c r="BN53" s="5"/>
      <c r="BO53" s="5"/>
      <c r="BP53" s="40"/>
      <c r="BQ53" s="5"/>
      <c r="BR53" s="5"/>
      <c r="BS53" s="40"/>
      <c r="BT53" s="5"/>
      <c r="BU53" s="5"/>
      <c r="BV53" s="40"/>
      <c r="BW53" s="5"/>
      <c r="BX53" s="5"/>
      <c r="BY53" s="40"/>
      <c r="BZ53" s="5"/>
      <c r="CA53" s="5"/>
      <c r="CB53" s="40"/>
      <c r="CC53" s="5"/>
      <c r="CD53" s="5"/>
      <c r="CE53" s="40"/>
      <c r="CF53" s="5"/>
      <c r="CG53" s="5"/>
      <c r="CH53" s="40"/>
      <c r="CI53" s="5"/>
      <c r="CJ53" s="5"/>
      <c r="CK53" s="40"/>
      <c r="CL53" s="5"/>
      <c r="CM53" s="5"/>
      <c r="CN53" s="40"/>
      <c r="CO53" s="5"/>
      <c r="CP53" s="5"/>
      <c r="CQ53" s="40"/>
      <c r="CR53" s="5"/>
      <c r="CS53" s="5"/>
      <c r="CT53" s="5"/>
      <c r="CU53" s="5"/>
      <c r="CV53" s="5"/>
      <c r="CW53" s="5"/>
      <c r="CX53" s="5"/>
      <c r="CY53" s="5"/>
      <c r="CZ53" s="5"/>
      <c r="DA53" s="5"/>
      <c r="DB53" s="5"/>
      <c r="DC53" s="5"/>
      <c r="DD53" s="5"/>
      <c r="DE53" s="5"/>
      <c r="DF53" s="5"/>
    </row>
    <row r="54">
      <c r="A54" s="19"/>
      <c r="B54" s="26"/>
      <c r="C54" s="21"/>
      <c r="D54" s="19"/>
      <c r="G54" s="5"/>
      <c r="J54" s="5"/>
      <c r="M54" s="5"/>
      <c r="P54" s="5"/>
      <c r="S54" s="5"/>
      <c r="V54" s="5"/>
      <c r="Y54" s="5"/>
      <c r="AB54" s="5"/>
      <c r="AE54" s="5"/>
      <c r="AH54" s="5"/>
      <c r="AK54" s="5"/>
      <c r="AL54" s="40"/>
      <c r="AM54" s="5"/>
      <c r="AN54" s="5"/>
      <c r="AO54" s="40"/>
      <c r="AP54" s="5"/>
      <c r="AQ54" s="5"/>
      <c r="AR54" s="40"/>
      <c r="AS54" s="5"/>
      <c r="AT54" s="5"/>
      <c r="AU54" s="40"/>
      <c r="AV54" s="5"/>
      <c r="AW54" s="5"/>
      <c r="AX54" s="40"/>
      <c r="AY54" s="5"/>
      <c r="AZ54" s="5"/>
      <c r="BA54" s="40"/>
      <c r="BB54" s="5"/>
      <c r="BC54" s="5"/>
      <c r="BD54" s="40"/>
      <c r="BE54" s="5"/>
      <c r="BF54" s="5"/>
      <c r="BG54" s="40"/>
      <c r="BH54" s="5"/>
      <c r="BI54" s="5"/>
      <c r="BJ54" s="40"/>
      <c r="BK54" s="5"/>
      <c r="BL54" s="5"/>
      <c r="BM54" s="40"/>
      <c r="BN54" s="5"/>
      <c r="BO54" s="5"/>
      <c r="BP54" s="40"/>
      <c r="BQ54" s="5"/>
      <c r="BR54" s="5"/>
      <c r="BS54" s="40"/>
      <c r="BT54" s="5"/>
      <c r="BU54" s="5"/>
      <c r="BV54" s="40"/>
      <c r="BW54" s="5"/>
      <c r="BX54" s="5"/>
      <c r="BY54" s="40"/>
      <c r="BZ54" s="5"/>
      <c r="CA54" s="5"/>
      <c r="CB54" s="40"/>
      <c r="CC54" s="5"/>
      <c r="CD54" s="5"/>
      <c r="CE54" s="40"/>
      <c r="CF54" s="5"/>
      <c r="CG54" s="5"/>
      <c r="CH54" s="40"/>
      <c r="CI54" s="5"/>
      <c r="CJ54" s="5"/>
      <c r="CK54" s="40"/>
      <c r="CL54" s="5"/>
      <c r="CM54" s="5"/>
      <c r="CN54" s="40"/>
      <c r="CO54" s="5"/>
      <c r="CP54" s="5"/>
      <c r="CQ54" s="40"/>
      <c r="CR54" s="5"/>
      <c r="CS54" s="5"/>
      <c r="CT54" s="5"/>
      <c r="CU54" s="5"/>
      <c r="CV54" s="5"/>
      <c r="CW54" s="5"/>
      <c r="CX54" s="5"/>
      <c r="CY54" s="5"/>
      <c r="CZ54" s="5"/>
      <c r="DA54" s="5"/>
      <c r="DB54" s="5"/>
      <c r="DC54" s="5"/>
      <c r="DD54" s="5"/>
      <c r="DE54" s="5"/>
      <c r="DF54" s="5"/>
    </row>
    <row r="55">
      <c r="A55" s="19"/>
      <c r="B55" s="26"/>
      <c r="C55" s="21"/>
      <c r="D55" s="19"/>
      <c r="G55" s="5"/>
      <c r="J55" s="5"/>
      <c r="M55" s="5"/>
      <c r="P55" s="5"/>
      <c r="S55" s="5"/>
      <c r="V55" s="5"/>
      <c r="Y55" s="5"/>
      <c r="AB55" s="5"/>
      <c r="AE55" s="5"/>
      <c r="AH55" s="5"/>
      <c r="AK55" s="5"/>
      <c r="AL55" s="40"/>
      <c r="AM55" s="5"/>
      <c r="AN55" s="5"/>
      <c r="AO55" s="40"/>
      <c r="AP55" s="5"/>
      <c r="AQ55" s="5"/>
      <c r="AR55" s="40"/>
      <c r="AS55" s="5"/>
      <c r="AT55" s="5"/>
      <c r="AU55" s="40"/>
      <c r="AV55" s="5"/>
      <c r="AW55" s="5"/>
      <c r="AX55" s="40"/>
      <c r="AY55" s="5"/>
      <c r="AZ55" s="5"/>
      <c r="BA55" s="40"/>
      <c r="BB55" s="5"/>
      <c r="BC55" s="5"/>
      <c r="BD55" s="40"/>
      <c r="BE55" s="5"/>
      <c r="BF55" s="5"/>
      <c r="BG55" s="40"/>
      <c r="BH55" s="5"/>
      <c r="BI55" s="5"/>
      <c r="BJ55" s="40"/>
      <c r="BK55" s="5"/>
      <c r="BL55" s="5"/>
      <c r="BM55" s="40"/>
      <c r="BN55" s="5"/>
      <c r="BO55" s="5"/>
      <c r="BP55" s="40"/>
      <c r="BQ55" s="5"/>
      <c r="BR55" s="5"/>
      <c r="BS55" s="40"/>
      <c r="BT55" s="5"/>
      <c r="BU55" s="5"/>
      <c r="BV55" s="40"/>
      <c r="BW55" s="5"/>
      <c r="BX55" s="5"/>
      <c r="BY55" s="40"/>
      <c r="BZ55" s="5"/>
      <c r="CA55" s="5"/>
      <c r="CB55" s="40"/>
      <c r="CC55" s="5"/>
      <c r="CD55" s="5"/>
      <c r="CE55" s="40"/>
      <c r="CF55" s="5"/>
      <c r="CG55" s="5"/>
      <c r="CH55" s="40"/>
      <c r="CI55" s="5"/>
      <c r="CJ55" s="5"/>
      <c r="CK55" s="40"/>
      <c r="CL55" s="5"/>
      <c r="CM55" s="5"/>
      <c r="CN55" s="40"/>
      <c r="CO55" s="5"/>
      <c r="CP55" s="5"/>
      <c r="CQ55" s="40"/>
      <c r="CR55" s="5"/>
      <c r="CS55" s="5"/>
      <c r="CT55" s="5"/>
      <c r="CU55" s="5"/>
      <c r="CV55" s="5"/>
      <c r="CW55" s="5"/>
      <c r="CX55" s="5"/>
      <c r="CY55" s="5"/>
      <c r="CZ55" s="5"/>
      <c r="DA55" s="5"/>
      <c r="DB55" s="5"/>
      <c r="DC55" s="5"/>
      <c r="DD55" s="5"/>
      <c r="DE55" s="5"/>
      <c r="DF55" s="5"/>
    </row>
    <row r="56">
      <c r="A56" s="19"/>
      <c r="B56" s="26"/>
      <c r="C56" s="21"/>
      <c r="D56" s="19"/>
      <c r="G56" s="5"/>
      <c r="J56" s="5"/>
      <c r="M56" s="5"/>
      <c r="P56" s="5"/>
      <c r="S56" s="5"/>
      <c r="V56" s="5"/>
      <c r="Y56" s="5"/>
      <c r="AB56" s="5"/>
      <c r="AE56" s="5"/>
      <c r="AH56" s="5"/>
      <c r="AK56" s="5"/>
      <c r="AL56" s="40"/>
      <c r="AM56" s="5"/>
      <c r="AN56" s="5"/>
      <c r="AO56" s="40"/>
      <c r="AP56" s="5"/>
      <c r="AQ56" s="5"/>
      <c r="AR56" s="40"/>
      <c r="AS56" s="5"/>
      <c r="AT56" s="5"/>
      <c r="AU56" s="40"/>
      <c r="AV56" s="5"/>
      <c r="AW56" s="5"/>
      <c r="AX56" s="40"/>
      <c r="AY56" s="5"/>
      <c r="AZ56" s="5"/>
      <c r="BA56" s="40"/>
      <c r="BB56" s="5"/>
      <c r="BC56" s="5"/>
      <c r="BD56" s="40"/>
      <c r="BE56" s="5"/>
      <c r="BF56" s="5"/>
      <c r="BG56" s="40"/>
      <c r="BH56" s="5"/>
      <c r="BI56" s="5"/>
      <c r="BJ56" s="40"/>
      <c r="BK56" s="5"/>
      <c r="BL56" s="5"/>
      <c r="BM56" s="40"/>
      <c r="BN56" s="5"/>
      <c r="BO56" s="5"/>
      <c r="BP56" s="40"/>
      <c r="BQ56" s="5"/>
      <c r="BR56" s="5"/>
      <c r="BS56" s="40"/>
      <c r="BT56" s="5"/>
      <c r="BU56" s="5"/>
      <c r="BV56" s="40"/>
      <c r="BW56" s="5"/>
      <c r="BX56" s="5"/>
      <c r="BY56" s="40"/>
      <c r="BZ56" s="5"/>
      <c r="CA56" s="5"/>
      <c r="CB56" s="40"/>
      <c r="CC56" s="5"/>
      <c r="CD56" s="5"/>
      <c r="CE56" s="40"/>
      <c r="CF56" s="5"/>
      <c r="CG56" s="5"/>
      <c r="CH56" s="40"/>
      <c r="CI56" s="5"/>
      <c r="CJ56" s="5"/>
      <c r="CK56" s="40"/>
      <c r="CL56" s="5"/>
      <c r="CM56" s="5"/>
      <c r="CN56" s="40"/>
      <c r="CO56" s="5"/>
      <c r="CP56" s="5"/>
      <c r="CQ56" s="40"/>
      <c r="CR56" s="5"/>
      <c r="CS56" s="5"/>
      <c r="CT56" s="5"/>
      <c r="CU56" s="5"/>
      <c r="CV56" s="5"/>
      <c r="CW56" s="5"/>
      <c r="CX56" s="5"/>
      <c r="CY56" s="5"/>
      <c r="CZ56" s="5"/>
      <c r="DA56" s="5"/>
      <c r="DB56" s="5"/>
      <c r="DC56" s="5"/>
      <c r="DD56" s="5"/>
      <c r="DE56" s="5"/>
      <c r="DF56" s="5"/>
    </row>
    <row r="57">
      <c r="A57" s="19"/>
      <c r="B57" s="26"/>
      <c r="C57" s="21"/>
      <c r="D57" s="19"/>
      <c r="G57" s="5"/>
      <c r="J57" s="5"/>
      <c r="M57" s="5"/>
      <c r="P57" s="5"/>
      <c r="S57" s="5"/>
      <c r="V57" s="5"/>
      <c r="Y57" s="5"/>
      <c r="AB57" s="5"/>
      <c r="AE57" s="5"/>
      <c r="AH57" s="5"/>
      <c r="AK57" s="5"/>
      <c r="AL57" s="40"/>
      <c r="AM57" s="5"/>
      <c r="AN57" s="5"/>
      <c r="AO57" s="40"/>
      <c r="AP57" s="5"/>
      <c r="AQ57" s="5"/>
      <c r="AR57" s="40"/>
      <c r="AS57" s="5"/>
      <c r="AT57" s="5"/>
      <c r="AU57" s="40"/>
      <c r="AV57" s="5"/>
      <c r="AW57" s="5"/>
      <c r="AX57" s="40"/>
      <c r="AY57" s="5"/>
      <c r="AZ57" s="5"/>
      <c r="BA57" s="40"/>
      <c r="BB57" s="5"/>
      <c r="BC57" s="5"/>
      <c r="BD57" s="40"/>
      <c r="BE57" s="5"/>
      <c r="BF57" s="5"/>
      <c r="BG57" s="40"/>
      <c r="BH57" s="5"/>
      <c r="BI57" s="5"/>
      <c r="BJ57" s="40"/>
      <c r="BK57" s="5"/>
      <c r="BL57" s="5"/>
      <c r="BM57" s="40"/>
      <c r="BN57" s="5"/>
      <c r="BO57" s="5"/>
      <c r="BP57" s="40"/>
      <c r="BQ57" s="5"/>
      <c r="BR57" s="5"/>
      <c r="BS57" s="40"/>
      <c r="BT57" s="5"/>
      <c r="BU57" s="5"/>
      <c r="BV57" s="40"/>
      <c r="BW57" s="5"/>
      <c r="BX57" s="5"/>
      <c r="BY57" s="40"/>
      <c r="BZ57" s="5"/>
      <c r="CA57" s="5"/>
      <c r="CB57" s="40"/>
      <c r="CC57" s="5"/>
      <c r="CD57" s="5"/>
      <c r="CE57" s="40"/>
      <c r="CF57" s="5"/>
      <c r="CG57" s="5"/>
      <c r="CH57" s="40"/>
      <c r="CI57" s="5"/>
      <c r="CJ57" s="5"/>
      <c r="CK57" s="40"/>
      <c r="CL57" s="5"/>
      <c r="CM57" s="5"/>
      <c r="CN57" s="40"/>
      <c r="CO57" s="5"/>
      <c r="CP57" s="5"/>
      <c r="CQ57" s="40"/>
      <c r="CR57" s="5"/>
      <c r="CS57" s="5"/>
      <c r="CT57" s="5"/>
      <c r="CU57" s="5"/>
      <c r="CV57" s="5"/>
      <c r="CW57" s="5"/>
      <c r="CX57" s="5"/>
      <c r="CY57" s="5"/>
      <c r="CZ57" s="5"/>
      <c r="DA57" s="5"/>
      <c r="DB57" s="5"/>
      <c r="DC57" s="5"/>
      <c r="DD57" s="5"/>
      <c r="DE57" s="5"/>
      <c r="DF57" s="5"/>
    </row>
    <row r="58">
      <c r="A58" s="19"/>
      <c r="B58" s="26"/>
      <c r="C58" s="21"/>
      <c r="D58" s="19"/>
      <c r="G58" s="5"/>
      <c r="J58" s="5"/>
      <c r="M58" s="5"/>
      <c r="P58" s="5"/>
      <c r="S58" s="5"/>
      <c r="V58" s="5"/>
      <c r="Y58" s="5"/>
      <c r="AB58" s="5"/>
      <c r="AE58" s="5"/>
      <c r="AH58" s="5"/>
      <c r="AK58" s="5"/>
      <c r="AL58" s="40"/>
      <c r="AM58" s="5"/>
      <c r="AN58" s="5"/>
      <c r="AO58" s="40"/>
      <c r="AP58" s="5"/>
      <c r="AQ58" s="5"/>
      <c r="AR58" s="40"/>
      <c r="AS58" s="5"/>
      <c r="AT58" s="5"/>
      <c r="AU58" s="40"/>
      <c r="AV58" s="5"/>
      <c r="AW58" s="5"/>
      <c r="AX58" s="40"/>
      <c r="AY58" s="5"/>
      <c r="AZ58" s="5"/>
      <c r="BA58" s="40"/>
      <c r="BB58" s="5"/>
      <c r="BC58" s="5"/>
      <c r="BD58" s="40"/>
      <c r="BE58" s="5"/>
      <c r="BF58" s="5"/>
      <c r="BG58" s="40"/>
      <c r="BH58" s="5"/>
      <c r="BI58" s="5"/>
      <c r="BJ58" s="40"/>
      <c r="BK58" s="5"/>
      <c r="BL58" s="5"/>
      <c r="BM58" s="40"/>
      <c r="BN58" s="5"/>
      <c r="BO58" s="5"/>
      <c r="BP58" s="40"/>
      <c r="BQ58" s="5"/>
      <c r="BR58" s="5"/>
      <c r="BS58" s="40"/>
      <c r="BT58" s="5"/>
      <c r="BU58" s="5"/>
      <c r="BV58" s="40"/>
      <c r="BW58" s="5"/>
      <c r="BX58" s="5"/>
      <c r="BY58" s="40"/>
      <c r="BZ58" s="5"/>
      <c r="CA58" s="5"/>
      <c r="CB58" s="40"/>
      <c r="CC58" s="5"/>
      <c r="CD58" s="5"/>
      <c r="CE58" s="40"/>
      <c r="CF58" s="5"/>
      <c r="CG58" s="5"/>
      <c r="CH58" s="40"/>
      <c r="CI58" s="5"/>
      <c r="CJ58" s="5"/>
      <c r="CK58" s="40"/>
      <c r="CL58" s="5"/>
      <c r="CM58" s="5"/>
      <c r="CN58" s="40"/>
      <c r="CO58" s="5"/>
      <c r="CP58" s="5"/>
      <c r="CQ58" s="40"/>
      <c r="CR58" s="5"/>
      <c r="CS58" s="5"/>
      <c r="CT58" s="5"/>
      <c r="CU58" s="5"/>
      <c r="CV58" s="5"/>
      <c r="CW58" s="5"/>
      <c r="CX58" s="5"/>
      <c r="CY58" s="5"/>
      <c r="CZ58" s="5"/>
      <c r="DA58" s="5"/>
      <c r="DB58" s="5"/>
      <c r="DC58" s="5"/>
      <c r="DD58" s="5"/>
      <c r="DE58" s="5"/>
      <c r="DF58" s="5"/>
    </row>
    <row r="59">
      <c r="A59" s="19"/>
      <c r="B59" s="26"/>
      <c r="C59" s="21"/>
      <c r="D59" s="19"/>
      <c r="G59" s="5"/>
      <c r="J59" s="5"/>
      <c r="M59" s="5"/>
      <c r="P59" s="5"/>
      <c r="S59" s="5"/>
      <c r="V59" s="5"/>
      <c r="Y59" s="5"/>
      <c r="AB59" s="5"/>
      <c r="AE59" s="5"/>
      <c r="AH59" s="5"/>
      <c r="AK59" s="5"/>
      <c r="AL59" s="40"/>
      <c r="AM59" s="5"/>
      <c r="AN59" s="5"/>
      <c r="AO59" s="40"/>
      <c r="AP59" s="5"/>
      <c r="AQ59" s="5"/>
      <c r="AR59" s="40"/>
      <c r="AS59" s="5"/>
      <c r="AT59" s="5"/>
      <c r="AU59" s="40"/>
      <c r="AV59" s="5"/>
      <c r="AW59" s="5"/>
      <c r="AX59" s="40"/>
      <c r="AY59" s="5"/>
      <c r="AZ59" s="5"/>
      <c r="BA59" s="40"/>
      <c r="BB59" s="5"/>
      <c r="BC59" s="5"/>
      <c r="BD59" s="40"/>
      <c r="BE59" s="5"/>
      <c r="BF59" s="5"/>
      <c r="BG59" s="40"/>
      <c r="BH59" s="5"/>
      <c r="BI59" s="5"/>
      <c r="BJ59" s="40"/>
      <c r="BK59" s="5"/>
      <c r="BL59" s="5"/>
      <c r="BM59" s="40"/>
      <c r="BN59" s="5"/>
      <c r="BO59" s="5"/>
      <c r="BP59" s="40"/>
      <c r="BQ59" s="5"/>
      <c r="BR59" s="5"/>
      <c r="BS59" s="40"/>
      <c r="BT59" s="5"/>
      <c r="BU59" s="5"/>
      <c r="BV59" s="40"/>
      <c r="BW59" s="5"/>
      <c r="BX59" s="5"/>
      <c r="BY59" s="40"/>
      <c r="BZ59" s="5"/>
      <c r="CA59" s="5"/>
      <c r="CB59" s="40"/>
      <c r="CC59" s="5"/>
      <c r="CD59" s="5"/>
      <c r="CE59" s="40"/>
      <c r="CF59" s="5"/>
      <c r="CG59" s="5"/>
      <c r="CH59" s="40"/>
      <c r="CI59" s="5"/>
      <c r="CJ59" s="5"/>
      <c r="CK59" s="40"/>
      <c r="CL59" s="5"/>
      <c r="CM59" s="5"/>
      <c r="CN59" s="40"/>
      <c r="CO59" s="5"/>
      <c r="CP59" s="5"/>
      <c r="CQ59" s="40"/>
      <c r="CR59" s="5"/>
      <c r="CS59" s="5"/>
      <c r="CT59" s="5"/>
      <c r="CU59" s="5"/>
      <c r="CV59" s="5"/>
      <c r="CW59" s="5"/>
      <c r="CX59" s="5"/>
      <c r="CY59" s="5"/>
      <c r="CZ59" s="5"/>
      <c r="DA59" s="5"/>
      <c r="DB59" s="5"/>
      <c r="DC59" s="5"/>
      <c r="DD59" s="5"/>
      <c r="DE59" s="5"/>
      <c r="DF59" s="5"/>
    </row>
    <row r="60">
      <c r="A60" s="19"/>
      <c r="B60" s="26"/>
      <c r="C60" s="21"/>
      <c r="D60" s="19"/>
      <c r="G60" s="5"/>
      <c r="J60" s="5"/>
      <c r="M60" s="5"/>
      <c r="P60" s="5"/>
      <c r="S60" s="5"/>
      <c r="V60" s="5"/>
      <c r="Y60" s="5"/>
      <c r="AB60" s="5"/>
      <c r="AE60" s="5"/>
      <c r="AH60" s="5"/>
      <c r="AK60" s="5"/>
      <c r="AL60" s="40"/>
      <c r="AM60" s="5"/>
      <c r="AN60" s="5"/>
      <c r="AO60" s="40"/>
      <c r="AP60" s="5"/>
      <c r="AQ60" s="5"/>
      <c r="AR60" s="40"/>
      <c r="AS60" s="5"/>
      <c r="AT60" s="5"/>
      <c r="AU60" s="40"/>
      <c r="AV60" s="5"/>
      <c r="AW60" s="5"/>
      <c r="AX60" s="40"/>
      <c r="AY60" s="5"/>
      <c r="AZ60" s="5"/>
      <c r="BA60" s="40"/>
      <c r="BB60" s="5"/>
      <c r="BC60" s="5"/>
      <c r="BD60" s="40"/>
      <c r="BE60" s="5"/>
      <c r="BF60" s="5"/>
      <c r="BG60" s="40"/>
      <c r="BH60" s="5"/>
      <c r="BI60" s="5"/>
      <c r="BJ60" s="40"/>
      <c r="BK60" s="5"/>
      <c r="BL60" s="5"/>
      <c r="BM60" s="40"/>
      <c r="BN60" s="5"/>
      <c r="BO60" s="5"/>
      <c r="BP60" s="40"/>
      <c r="BQ60" s="5"/>
      <c r="BR60" s="5"/>
      <c r="BS60" s="40"/>
      <c r="BT60" s="5"/>
      <c r="BU60" s="5"/>
      <c r="BV60" s="40"/>
      <c r="BW60" s="5"/>
      <c r="BX60" s="5"/>
      <c r="BY60" s="40"/>
      <c r="BZ60" s="5"/>
      <c r="CA60" s="5"/>
      <c r="CB60" s="40"/>
      <c r="CC60" s="5"/>
      <c r="CD60" s="5"/>
      <c r="CE60" s="40"/>
      <c r="CF60" s="5"/>
      <c r="CG60" s="5"/>
      <c r="CH60" s="40"/>
      <c r="CI60" s="5"/>
      <c r="CJ60" s="5"/>
      <c r="CK60" s="40"/>
      <c r="CL60" s="5"/>
      <c r="CM60" s="5"/>
      <c r="CN60" s="40"/>
      <c r="CO60" s="5"/>
      <c r="CP60" s="5"/>
      <c r="CQ60" s="40"/>
      <c r="CR60" s="5"/>
      <c r="CS60" s="5"/>
      <c r="CT60" s="5"/>
      <c r="CU60" s="5"/>
      <c r="CV60" s="5"/>
      <c r="CW60" s="5"/>
      <c r="CX60" s="5"/>
      <c r="CY60" s="5"/>
      <c r="CZ60" s="5"/>
      <c r="DA60" s="5"/>
      <c r="DB60" s="5"/>
      <c r="DC60" s="5"/>
      <c r="DD60" s="5"/>
      <c r="DE60" s="5"/>
      <c r="DF60" s="5"/>
    </row>
    <row r="61">
      <c r="A61" s="19"/>
      <c r="B61" s="26"/>
      <c r="C61" s="21"/>
      <c r="D61" s="19"/>
      <c r="G61" s="5"/>
      <c r="J61" s="5"/>
      <c r="M61" s="5"/>
      <c r="P61" s="5"/>
      <c r="S61" s="5"/>
      <c r="V61" s="5"/>
      <c r="Y61" s="5"/>
      <c r="AB61" s="5"/>
      <c r="AE61" s="5"/>
      <c r="AH61" s="5"/>
      <c r="AK61" s="5"/>
      <c r="AL61" s="40"/>
      <c r="AM61" s="5"/>
      <c r="AN61" s="5"/>
      <c r="AO61" s="40"/>
      <c r="AP61" s="5"/>
      <c r="AQ61" s="5"/>
      <c r="AR61" s="40"/>
      <c r="AS61" s="5"/>
      <c r="AT61" s="5"/>
      <c r="AU61" s="40"/>
      <c r="AV61" s="5"/>
      <c r="AW61" s="5"/>
      <c r="AX61" s="40"/>
      <c r="AY61" s="5"/>
      <c r="AZ61" s="5"/>
      <c r="BA61" s="40"/>
      <c r="BB61" s="5"/>
      <c r="BC61" s="5"/>
      <c r="BD61" s="40"/>
      <c r="BE61" s="5"/>
      <c r="BF61" s="5"/>
      <c r="BG61" s="40"/>
      <c r="BH61" s="5"/>
      <c r="BI61" s="5"/>
      <c r="BJ61" s="40"/>
      <c r="BK61" s="5"/>
      <c r="BL61" s="5"/>
      <c r="BM61" s="40"/>
      <c r="BN61" s="5"/>
      <c r="BO61" s="5"/>
      <c r="BP61" s="40"/>
      <c r="BQ61" s="5"/>
      <c r="BR61" s="5"/>
      <c r="BS61" s="40"/>
      <c r="BT61" s="5"/>
      <c r="BU61" s="5"/>
      <c r="BV61" s="40"/>
      <c r="BW61" s="5"/>
      <c r="BX61" s="5"/>
      <c r="BY61" s="40"/>
      <c r="BZ61" s="5"/>
      <c r="CA61" s="5"/>
      <c r="CB61" s="40"/>
      <c r="CC61" s="5"/>
      <c r="CD61" s="5"/>
      <c r="CE61" s="40"/>
      <c r="CF61" s="5"/>
      <c r="CG61" s="5"/>
      <c r="CH61" s="40"/>
      <c r="CI61" s="5"/>
      <c r="CJ61" s="5"/>
      <c r="CK61" s="40"/>
      <c r="CL61" s="5"/>
      <c r="CM61" s="5"/>
      <c r="CN61" s="40"/>
      <c r="CO61" s="5"/>
      <c r="CP61" s="5"/>
      <c r="CQ61" s="40"/>
      <c r="CR61" s="5"/>
      <c r="CS61" s="5"/>
      <c r="CT61" s="5"/>
      <c r="CU61" s="5"/>
      <c r="CV61" s="5"/>
      <c r="CW61" s="5"/>
      <c r="CX61" s="5"/>
      <c r="CY61" s="5"/>
      <c r="CZ61" s="5"/>
      <c r="DA61" s="5"/>
      <c r="DB61" s="5"/>
      <c r="DC61" s="5"/>
      <c r="DD61" s="5"/>
      <c r="DE61" s="5"/>
      <c r="DF61" s="5"/>
    </row>
    <row r="62">
      <c r="A62" s="19"/>
      <c r="B62" s="26"/>
      <c r="C62" s="21"/>
      <c r="D62" s="19"/>
      <c r="AL62" s="40"/>
      <c r="AM62" s="5"/>
      <c r="AO62" s="40"/>
      <c r="AP62" s="5"/>
      <c r="AR62" s="40"/>
      <c r="AS62" s="5"/>
      <c r="AU62" s="40"/>
      <c r="AV62" s="5"/>
      <c r="AX62" s="40"/>
      <c r="AY62" s="5"/>
      <c r="BA62" s="40"/>
      <c r="BB62" s="5"/>
      <c r="BD62" s="40"/>
      <c r="BE62" s="5"/>
      <c r="BG62" s="40"/>
      <c r="BH62" s="5"/>
      <c r="BJ62" s="40"/>
      <c r="BK62" s="5"/>
      <c r="BM62" s="40"/>
      <c r="BN62" s="5"/>
      <c r="BP62" s="40"/>
      <c r="BQ62" s="5"/>
      <c r="BS62" s="40"/>
      <c r="BT62" s="5"/>
      <c r="BV62" s="40"/>
      <c r="BW62" s="5"/>
      <c r="BY62" s="40"/>
      <c r="BZ62" s="5"/>
      <c r="CB62" s="40"/>
      <c r="CC62" s="5"/>
      <c r="CE62" s="40"/>
      <c r="CF62" s="5"/>
      <c r="CH62" s="40"/>
      <c r="CI62" s="5"/>
      <c r="CK62" s="40"/>
      <c r="CL62" s="5"/>
      <c r="CN62" s="40"/>
      <c r="CO62" s="5"/>
      <c r="CQ62" s="40"/>
      <c r="CR62" s="5"/>
    </row>
    <row r="63">
      <c r="A63" s="19"/>
      <c r="B63" s="26"/>
      <c r="C63" s="21"/>
      <c r="D63" s="19"/>
      <c r="AL63" s="40"/>
      <c r="AM63" s="5"/>
      <c r="AO63" s="40"/>
      <c r="AP63" s="5"/>
      <c r="AR63" s="40"/>
      <c r="AS63" s="5"/>
      <c r="AU63" s="40"/>
      <c r="AV63" s="5"/>
      <c r="AX63" s="40"/>
      <c r="AY63" s="5"/>
      <c r="BA63" s="40"/>
      <c r="BB63" s="5"/>
      <c r="BD63" s="40"/>
      <c r="BE63" s="5"/>
      <c r="BG63" s="40"/>
      <c r="BH63" s="5"/>
      <c r="BJ63" s="40"/>
      <c r="BK63" s="5"/>
      <c r="BM63" s="40"/>
      <c r="BN63" s="5"/>
      <c r="BP63" s="40"/>
      <c r="BQ63" s="5"/>
      <c r="BS63" s="40"/>
      <c r="BT63" s="5"/>
      <c r="BV63" s="40"/>
      <c r="BW63" s="5"/>
      <c r="BY63" s="40"/>
      <c r="BZ63" s="5"/>
      <c r="CB63" s="40"/>
      <c r="CC63" s="5"/>
      <c r="CE63" s="40"/>
      <c r="CF63" s="5"/>
      <c r="CH63" s="40"/>
      <c r="CI63" s="5"/>
      <c r="CK63" s="40"/>
      <c r="CL63" s="5"/>
      <c r="CN63" s="40"/>
      <c r="CO63" s="5"/>
      <c r="CQ63" s="40"/>
      <c r="CR63" s="5"/>
    </row>
    <row r="64">
      <c r="A64" s="19"/>
      <c r="B64" s="26"/>
      <c r="C64" s="21"/>
      <c r="D64" s="19"/>
      <c r="AL64" s="40"/>
      <c r="AM64" s="5"/>
      <c r="AO64" s="40"/>
      <c r="AP64" s="5"/>
      <c r="AR64" s="40"/>
      <c r="AS64" s="5"/>
      <c r="AU64" s="40"/>
      <c r="AV64" s="5"/>
      <c r="AX64" s="40"/>
      <c r="AY64" s="5"/>
      <c r="BA64" s="40"/>
      <c r="BB64" s="5"/>
      <c r="BD64" s="40"/>
      <c r="BE64" s="5"/>
      <c r="BG64" s="40"/>
      <c r="BH64" s="5"/>
      <c r="BJ64" s="40"/>
      <c r="BK64" s="5"/>
      <c r="BM64" s="40"/>
      <c r="BN64" s="5"/>
      <c r="BP64" s="40"/>
      <c r="BQ64" s="5"/>
      <c r="BS64" s="40"/>
      <c r="BT64" s="5"/>
      <c r="BV64" s="40"/>
      <c r="BW64" s="5"/>
      <c r="BY64" s="40"/>
      <c r="BZ64" s="5"/>
      <c r="CB64" s="40"/>
      <c r="CC64" s="5"/>
      <c r="CE64" s="40"/>
      <c r="CF64" s="5"/>
      <c r="CH64" s="40"/>
      <c r="CI64" s="5"/>
      <c r="CK64" s="40"/>
      <c r="CL64" s="5"/>
      <c r="CN64" s="40"/>
      <c r="CO64" s="5"/>
      <c r="CQ64" s="40"/>
      <c r="CR64" s="5"/>
    </row>
    <row r="65">
      <c r="A65" s="19"/>
      <c r="B65" s="26"/>
      <c r="C65" s="21"/>
      <c r="D65" s="19"/>
      <c r="AL65" s="40"/>
      <c r="AM65" s="5"/>
      <c r="AO65" s="40"/>
      <c r="AP65" s="5"/>
      <c r="AR65" s="40"/>
      <c r="AS65" s="5"/>
      <c r="AU65" s="40"/>
      <c r="AV65" s="5"/>
      <c r="AX65" s="40"/>
      <c r="AY65" s="5"/>
      <c r="BA65" s="40"/>
      <c r="BB65" s="5"/>
      <c r="BD65" s="40"/>
      <c r="BE65" s="5"/>
      <c r="BG65" s="40"/>
      <c r="BH65" s="5"/>
      <c r="BJ65" s="40"/>
      <c r="BK65" s="5"/>
      <c r="BM65" s="40"/>
      <c r="BN65" s="5"/>
      <c r="BP65" s="40"/>
      <c r="BQ65" s="5"/>
      <c r="BS65" s="40"/>
      <c r="BT65" s="5"/>
      <c r="BV65" s="40"/>
      <c r="BW65" s="5"/>
      <c r="BY65" s="40"/>
      <c r="BZ65" s="5"/>
      <c r="CB65" s="40"/>
      <c r="CC65" s="5"/>
      <c r="CE65" s="40"/>
      <c r="CF65" s="5"/>
      <c r="CH65" s="40"/>
      <c r="CI65" s="5"/>
      <c r="CK65" s="40"/>
      <c r="CL65" s="5"/>
      <c r="CN65" s="40"/>
      <c r="CO65" s="5"/>
      <c r="CQ65" s="40"/>
      <c r="CR65" s="5"/>
    </row>
    <row r="66">
      <c r="A66" s="19"/>
      <c r="B66" s="26"/>
      <c r="C66" s="21"/>
      <c r="D66" s="19"/>
      <c r="AL66" s="40"/>
      <c r="AM66" s="5"/>
      <c r="AO66" s="40"/>
      <c r="AP66" s="5"/>
      <c r="AR66" s="40"/>
      <c r="AS66" s="5"/>
      <c r="AU66" s="40"/>
      <c r="AV66" s="5"/>
      <c r="AX66" s="40"/>
      <c r="AY66" s="5"/>
      <c r="BA66" s="40"/>
      <c r="BB66" s="5"/>
      <c r="BD66" s="40"/>
      <c r="BE66" s="5"/>
      <c r="BG66" s="40"/>
      <c r="BH66" s="5"/>
      <c r="BJ66" s="40"/>
      <c r="BK66" s="5"/>
      <c r="BM66" s="40"/>
      <c r="BN66" s="5"/>
      <c r="BP66" s="40"/>
      <c r="BQ66" s="5"/>
      <c r="BS66" s="40"/>
      <c r="BT66" s="5"/>
      <c r="BV66" s="40"/>
      <c r="BW66" s="5"/>
      <c r="BY66" s="40"/>
      <c r="BZ66" s="5"/>
      <c r="CB66" s="40"/>
      <c r="CC66" s="5"/>
      <c r="CE66" s="40"/>
      <c r="CF66" s="5"/>
      <c r="CH66" s="40"/>
      <c r="CI66" s="5"/>
      <c r="CK66" s="40"/>
      <c r="CL66" s="5"/>
      <c r="CN66" s="40"/>
      <c r="CO66" s="5"/>
      <c r="CQ66" s="40"/>
      <c r="CR66" s="5"/>
    </row>
    <row r="67">
      <c r="A67" s="19"/>
      <c r="B67" s="38"/>
      <c r="C67" s="19"/>
      <c r="D67" s="19"/>
      <c r="AL67" s="40"/>
      <c r="AM67" s="5"/>
      <c r="AO67" s="40"/>
      <c r="AP67" s="5"/>
      <c r="AR67" s="40"/>
      <c r="AS67" s="5"/>
      <c r="AU67" s="40"/>
      <c r="AV67" s="5"/>
      <c r="AX67" s="40"/>
      <c r="AY67" s="5"/>
      <c r="BA67" s="40"/>
      <c r="BB67" s="5"/>
      <c r="BD67" s="40"/>
      <c r="BE67" s="5"/>
      <c r="BG67" s="40"/>
      <c r="BH67" s="5"/>
      <c r="BJ67" s="40"/>
      <c r="BK67" s="5"/>
      <c r="BM67" s="40"/>
      <c r="BN67" s="5"/>
      <c r="BP67" s="40"/>
      <c r="BQ67" s="5"/>
      <c r="BS67" s="40"/>
      <c r="BT67" s="5"/>
      <c r="BV67" s="40"/>
      <c r="BW67" s="5"/>
      <c r="BY67" s="40"/>
      <c r="BZ67" s="5"/>
      <c r="CB67" s="40"/>
      <c r="CC67" s="5"/>
      <c r="CE67" s="40"/>
      <c r="CF67" s="5"/>
      <c r="CH67" s="40"/>
      <c r="CI67" s="5"/>
      <c r="CK67" s="40"/>
      <c r="CL67" s="5"/>
      <c r="CN67" s="40"/>
      <c r="CO67" s="5"/>
      <c r="CQ67" s="40"/>
      <c r="CR67" s="5"/>
    </row>
    <row r="68">
      <c r="AL68" s="40"/>
      <c r="AM68" s="5"/>
      <c r="AO68" s="40"/>
      <c r="AP68" s="5"/>
      <c r="AR68" s="40"/>
      <c r="AS68" s="5"/>
      <c r="AU68" s="40"/>
      <c r="AV68" s="5"/>
      <c r="AX68" s="40"/>
      <c r="AY68" s="5"/>
      <c r="BA68" s="40"/>
      <c r="BB68" s="5"/>
      <c r="BD68" s="40"/>
      <c r="BE68" s="5"/>
      <c r="BG68" s="40"/>
      <c r="BH68" s="5"/>
      <c r="BJ68" s="40"/>
      <c r="BK68" s="5"/>
      <c r="BM68" s="40"/>
      <c r="BN68" s="5"/>
      <c r="BP68" s="40"/>
      <c r="BQ68" s="5"/>
      <c r="BS68" s="40"/>
      <c r="BT68" s="5"/>
      <c r="BV68" s="40"/>
      <c r="BW68" s="5"/>
      <c r="BY68" s="40"/>
      <c r="BZ68" s="5"/>
      <c r="CB68" s="40"/>
      <c r="CC68" s="5"/>
      <c r="CE68" s="40"/>
      <c r="CF68" s="5"/>
      <c r="CH68" s="40"/>
      <c r="CI68" s="5"/>
      <c r="CK68" s="40"/>
      <c r="CL68" s="5"/>
      <c r="CN68" s="40"/>
      <c r="CO68" s="5"/>
      <c r="CQ68" s="40"/>
      <c r="CR68" s="5"/>
    </row>
    <row r="69">
      <c r="AL69" s="40"/>
      <c r="AM69" s="5"/>
      <c r="AO69" s="40"/>
      <c r="AP69" s="5"/>
      <c r="AR69" s="40"/>
      <c r="AS69" s="5"/>
      <c r="AU69" s="40"/>
      <c r="AV69" s="5"/>
      <c r="AX69" s="40"/>
      <c r="AY69" s="5"/>
      <c r="BA69" s="40"/>
      <c r="BB69" s="5"/>
      <c r="BD69" s="40"/>
      <c r="BE69" s="5"/>
      <c r="BG69" s="40"/>
      <c r="BH69" s="5"/>
      <c r="BJ69" s="40"/>
      <c r="BK69" s="5"/>
      <c r="BM69" s="40"/>
      <c r="BN69" s="5"/>
      <c r="BP69" s="40"/>
      <c r="BQ69" s="5"/>
      <c r="BS69" s="40"/>
      <c r="BT69" s="5"/>
      <c r="BV69" s="40"/>
      <c r="BW69" s="5"/>
      <c r="BY69" s="40"/>
      <c r="BZ69" s="5"/>
      <c r="CB69" s="40"/>
      <c r="CC69" s="5"/>
      <c r="CE69" s="40"/>
      <c r="CF69" s="5"/>
      <c r="CH69" s="40"/>
      <c r="CI69" s="5"/>
      <c r="CK69" s="40"/>
      <c r="CL69" s="5"/>
      <c r="CN69" s="40"/>
      <c r="CO69" s="5"/>
      <c r="CQ69" s="40"/>
      <c r="CR69" s="5"/>
    </row>
    <row r="70">
      <c r="AL70" s="40"/>
      <c r="AM70" s="5"/>
      <c r="AO70" s="40"/>
      <c r="AP70" s="5"/>
      <c r="AR70" s="40"/>
      <c r="AS70" s="5"/>
      <c r="AU70" s="40"/>
      <c r="AV70" s="5"/>
      <c r="AX70" s="40"/>
      <c r="AY70" s="5"/>
      <c r="BA70" s="40"/>
      <c r="BB70" s="5"/>
      <c r="BD70" s="40"/>
      <c r="BE70" s="5"/>
      <c r="BG70" s="40"/>
      <c r="BH70" s="5"/>
      <c r="BJ70" s="40"/>
      <c r="BK70" s="5"/>
      <c r="BM70" s="40"/>
      <c r="BN70" s="5"/>
      <c r="BP70" s="40"/>
      <c r="BQ70" s="5"/>
      <c r="BS70" s="40"/>
      <c r="BT70" s="5"/>
      <c r="BV70" s="40"/>
      <c r="BW70" s="5"/>
      <c r="BY70" s="40"/>
      <c r="BZ70" s="5"/>
      <c r="CB70" s="40"/>
      <c r="CC70" s="5"/>
      <c r="CE70" s="40"/>
      <c r="CF70" s="5"/>
      <c r="CH70" s="40"/>
      <c r="CI70" s="5"/>
      <c r="CK70" s="40"/>
      <c r="CL70" s="5"/>
      <c r="CN70" s="40"/>
      <c r="CO70" s="5"/>
      <c r="CQ70" s="40"/>
      <c r="CR70" s="5"/>
    </row>
    <row r="71">
      <c r="AL71" s="40"/>
      <c r="AM71" s="5"/>
      <c r="AO71" s="40"/>
      <c r="AP71" s="5"/>
      <c r="AR71" s="40"/>
      <c r="AS71" s="5"/>
      <c r="AU71" s="40"/>
      <c r="AV71" s="5"/>
      <c r="AX71" s="40"/>
      <c r="AY71" s="5"/>
      <c r="BA71" s="40"/>
      <c r="BB71" s="5"/>
      <c r="BD71" s="40"/>
      <c r="BE71" s="5"/>
      <c r="BG71" s="40"/>
      <c r="BH71" s="5"/>
      <c r="BJ71" s="40"/>
      <c r="BK71" s="5"/>
      <c r="BM71" s="40"/>
      <c r="BN71" s="5"/>
      <c r="BP71" s="40"/>
      <c r="BQ71" s="5"/>
      <c r="BS71" s="40"/>
      <c r="BT71" s="5"/>
      <c r="BV71" s="40"/>
      <c r="BW71" s="5"/>
      <c r="BY71" s="40"/>
      <c r="BZ71" s="5"/>
      <c r="CB71" s="40"/>
      <c r="CC71" s="5"/>
      <c r="CE71" s="40"/>
      <c r="CF71" s="5"/>
      <c r="CH71" s="40"/>
      <c r="CI71" s="5"/>
      <c r="CK71" s="40"/>
      <c r="CL71" s="5"/>
      <c r="CN71" s="40"/>
      <c r="CO71" s="5"/>
      <c r="CQ71" s="40"/>
      <c r="CR71" s="5"/>
    </row>
    <row r="72">
      <c r="AL72" s="40"/>
      <c r="AM72" s="5"/>
      <c r="AO72" s="40"/>
      <c r="AP72" s="5"/>
      <c r="AR72" s="40"/>
      <c r="AS72" s="5"/>
      <c r="AU72" s="40"/>
      <c r="AV72" s="5"/>
      <c r="AX72" s="40"/>
      <c r="AY72" s="5"/>
      <c r="BA72" s="40"/>
      <c r="BB72" s="5"/>
      <c r="BD72" s="40"/>
      <c r="BE72" s="5"/>
      <c r="BG72" s="40"/>
      <c r="BH72" s="5"/>
      <c r="BJ72" s="40"/>
      <c r="BK72" s="5"/>
      <c r="BM72" s="40"/>
      <c r="BN72" s="5"/>
      <c r="BP72" s="40"/>
      <c r="BQ72" s="5"/>
      <c r="BS72" s="40"/>
      <c r="BT72" s="5"/>
      <c r="BV72" s="40"/>
      <c r="BW72" s="5"/>
      <c r="BY72" s="40"/>
      <c r="BZ72" s="5"/>
      <c r="CB72" s="40"/>
      <c r="CC72" s="5"/>
      <c r="CE72" s="40"/>
      <c r="CF72" s="5"/>
      <c r="CH72" s="40"/>
      <c r="CI72" s="5"/>
      <c r="CK72" s="40"/>
      <c r="CL72" s="5"/>
      <c r="CN72" s="40"/>
      <c r="CO72" s="5"/>
      <c r="CQ72" s="40"/>
      <c r="CR72" s="5"/>
    </row>
    <row r="73">
      <c r="AL73" s="40"/>
      <c r="AM73" s="5"/>
      <c r="AO73" s="40"/>
      <c r="AP73" s="5"/>
      <c r="AR73" s="40"/>
      <c r="AS73" s="5"/>
      <c r="AU73" s="40"/>
      <c r="AV73" s="5"/>
      <c r="AX73" s="40"/>
      <c r="AY73" s="5"/>
      <c r="BA73" s="40"/>
      <c r="BB73" s="5"/>
      <c r="BD73" s="40"/>
      <c r="BE73" s="5"/>
      <c r="BG73" s="40"/>
      <c r="BH73" s="5"/>
      <c r="BJ73" s="40"/>
      <c r="BK73" s="5"/>
      <c r="BM73" s="40"/>
      <c r="BN73" s="5"/>
      <c r="BP73" s="40"/>
      <c r="BQ73" s="5"/>
      <c r="BS73" s="40"/>
      <c r="BT73" s="5"/>
      <c r="BV73" s="40"/>
      <c r="BW73" s="5"/>
      <c r="BY73" s="40"/>
      <c r="BZ73" s="5"/>
      <c r="CB73" s="40"/>
      <c r="CC73" s="5"/>
      <c r="CE73" s="40"/>
      <c r="CF73" s="5"/>
      <c r="CH73" s="40"/>
      <c r="CI73" s="5"/>
      <c r="CK73" s="40"/>
      <c r="CL73" s="5"/>
      <c r="CN73" s="40"/>
      <c r="CO73" s="5"/>
      <c r="CQ73" s="40"/>
      <c r="CR73" s="5"/>
    </row>
    <row r="74">
      <c r="AL74" s="40"/>
      <c r="AM74" s="5"/>
      <c r="AO74" s="40"/>
      <c r="AP74" s="5"/>
      <c r="AR74" s="40"/>
      <c r="AS74" s="5"/>
      <c r="AU74" s="40"/>
      <c r="AV74" s="5"/>
      <c r="AX74" s="40"/>
      <c r="AY74" s="5"/>
      <c r="BA74" s="40"/>
      <c r="BB74" s="5"/>
      <c r="BD74" s="40"/>
      <c r="BE74" s="5"/>
      <c r="BG74" s="40"/>
      <c r="BH74" s="5"/>
      <c r="BJ74" s="40"/>
      <c r="BK74" s="5"/>
      <c r="BM74" s="40"/>
      <c r="BN74" s="5"/>
      <c r="BP74" s="40"/>
      <c r="BQ74" s="5"/>
      <c r="BS74" s="40"/>
      <c r="BT74" s="5"/>
      <c r="BV74" s="40"/>
      <c r="BW74" s="5"/>
      <c r="BY74" s="40"/>
      <c r="BZ74" s="5"/>
      <c r="CB74" s="40"/>
      <c r="CC74" s="5"/>
      <c r="CE74" s="40"/>
      <c r="CF74" s="5"/>
      <c r="CH74" s="40"/>
      <c r="CI74" s="5"/>
      <c r="CK74" s="40"/>
      <c r="CL74" s="5"/>
      <c r="CN74" s="40"/>
      <c r="CO74" s="5"/>
      <c r="CQ74" s="40"/>
      <c r="CR74" s="5"/>
    </row>
    <row r="75">
      <c r="AL75" s="40"/>
      <c r="AM75" s="5"/>
      <c r="AO75" s="40"/>
      <c r="AP75" s="5"/>
      <c r="AR75" s="40"/>
      <c r="AS75" s="5"/>
      <c r="AU75" s="40"/>
      <c r="AV75" s="5"/>
      <c r="AX75" s="40"/>
      <c r="AY75" s="5"/>
      <c r="BA75" s="40"/>
      <c r="BB75" s="5"/>
      <c r="BD75" s="40"/>
      <c r="BE75" s="5"/>
      <c r="BG75" s="40"/>
      <c r="BH75" s="5"/>
      <c r="BJ75" s="40"/>
      <c r="BK75" s="5"/>
      <c r="BM75" s="40"/>
      <c r="BN75" s="5"/>
      <c r="BP75" s="40"/>
      <c r="BQ75" s="5"/>
      <c r="BS75" s="40"/>
      <c r="BT75" s="5"/>
      <c r="BV75" s="40"/>
      <c r="BW75" s="5"/>
      <c r="BY75" s="40"/>
      <c r="BZ75" s="5"/>
      <c r="CB75" s="40"/>
      <c r="CC75" s="5"/>
      <c r="CE75" s="40"/>
      <c r="CF75" s="5"/>
      <c r="CH75" s="40"/>
      <c r="CI75" s="5"/>
      <c r="CK75" s="40"/>
      <c r="CL75" s="5"/>
      <c r="CN75" s="40"/>
      <c r="CO75" s="5"/>
      <c r="CQ75" s="40"/>
      <c r="CR75" s="5"/>
    </row>
    <row r="76">
      <c r="AL76" s="40"/>
      <c r="AM76" s="5"/>
      <c r="AO76" s="40"/>
      <c r="AP76" s="5"/>
      <c r="AR76" s="40"/>
      <c r="AS76" s="5"/>
      <c r="AU76" s="40"/>
      <c r="AV76" s="5"/>
      <c r="AX76" s="40"/>
      <c r="AY76" s="5"/>
      <c r="BA76" s="40"/>
      <c r="BB76" s="5"/>
      <c r="BD76" s="40"/>
      <c r="BE76" s="5"/>
      <c r="BG76" s="40"/>
      <c r="BH76" s="5"/>
      <c r="BJ76" s="40"/>
      <c r="BK76" s="5"/>
      <c r="BM76" s="40"/>
      <c r="BN76" s="5"/>
      <c r="BP76" s="40"/>
      <c r="BQ76" s="5"/>
      <c r="BS76" s="40"/>
      <c r="BT76" s="5"/>
      <c r="BV76" s="40"/>
      <c r="BW76" s="5"/>
      <c r="BY76" s="40"/>
      <c r="BZ76" s="5"/>
      <c r="CB76" s="40"/>
      <c r="CC76" s="5"/>
      <c r="CE76" s="40"/>
      <c r="CF76" s="5"/>
      <c r="CH76" s="40"/>
      <c r="CI76" s="5"/>
      <c r="CK76" s="40"/>
      <c r="CL76" s="5"/>
      <c r="CN76" s="40"/>
      <c r="CO76" s="5"/>
      <c r="CQ76" s="40"/>
      <c r="CR76" s="5"/>
    </row>
    <row r="77">
      <c r="AL77" s="40"/>
      <c r="AM77" s="5"/>
      <c r="AO77" s="40"/>
      <c r="AP77" s="5"/>
      <c r="AR77" s="40"/>
      <c r="AS77" s="5"/>
      <c r="AU77" s="40"/>
      <c r="AV77" s="5"/>
      <c r="AX77" s="40"/>
      <c r="AY77" s="5"/>
      <c r="BA77" s="40"/>
      <c r="BB77" s="5"/>
      <c r="BD77" s="40"/>
      <c r="BE77" s="5"/>
      <c r="BG77" s="40"/>
      <c r="BH77" s="5"/>
      <c r="BJ77" s="40"/>
      <c r="BK77" s="5"/>
      <c r="BM77" s="40"/>
      <c r="BN77" s="5"/>
      <c r="BP77" s="40"/>
      <c r="BQ77" s="5"/>
      <c r="BS77" s="40"/>
      <c r="BT77" s="5"/>
      <c r="BV77" s="40"/>
      <c r="BW77" s="5"/>
      <c r="BY77" s="40"/>
      <c r="BZ77" s="5"/>
      <c r="CB77" s="40"/>
      <c r="CC77" s="5"/>
      <c r="CE77" s="40"/>
      <c r="CF77" s="5"/>
      <c r="CH77" s="40"/>
      <c r="CI77" s="5"/>
      <c r="CK77" s="40"/>
      <c r="CL77" s="5"/>
      <c r="CN77" s="40"/>
      <c r="CO77" s="5"/>
      <c r="CQ77" s="40"/>
      <c r="CR77" s="5"/>
    </row>
    <row r="78">
      <c r="AL78" s="40"/>
      <c r="AM78" s="5"/>
      <c r="AO78" s="40"/>
      <c r="AP78" s="5"/>
      <c r="AR78" s="40"/>
      <c r="AS78" s="5"/>
      <c r="AU78" s="40"/>
      <c r="AV78" s="5"/>
      <c r="AX78" s="40"/>
      <c r="AY78" s="5"/>
      <c r="BA78" s="40"/>
      <c r="BB78" s="5"/>
      <c r="BD78" s="40"/>
      <c r="BE78" s="5"/>
      <c r="BG78" s="40"/>
      <c r="BH78" s="5"/>
      <c r="BJ78" s="40"/>
      <c r="BK78" s="5"/>
      <c r="BM78" s="40"/>
      <c r="BN78" s="5"/>
      <c r="BP78" s="40"/>
      <c r="BQ78" s="5"/>
      <c r="BS78" s="40"/>
      <c r="BT78" s="5"/>
      <c r="BV78" s="40"/>
      <c r="BW78" s="5"/>
      <c r="BY78" s="40"/>
      <c r="BZ78" s="5"/>
      <c r="CB78" s="40"/>
      <c r="CC78" s="5"/>
      <c r="CE78" s="40"/>
      <c r="CF78" s="5"/>
      <c r="CH78" s="40"/>
      <c r="CI78" s="5"/>
      <c r="CK78" s="40"/>
      <c r="CL78" s="5"/>
      <c r="CN78" s="40"/>
      <c r="CO78" s="5"/>
      <c r="CQ78" s="40"/>
      <c r="CR78" s="5"/>
    </row>
    <row r="79">
      <c r="AL79" s="40"/>
      <c r="AM79" s="5"/>
      <c r="AO79" s="40"/>
      <c r="AP79" s="5"/>
      <c r="AR79" s="40"/>
      <c r="AS79" s="5"/>
      <c r="AU79" s="40"/>
      <c r="AV79" s="5"/>
      <c r="AX79" s="40"/>
      <c r="AY79" s="5"/>
      <c r="BA79" s="40"/>
      <c r="BB79" s="5"/>
      <c r="BD79" s="40"/>
      <c r="BE79" s="5"/>
      <c r="BG79" s="40"/>
      <c r="BH79" s="5"/>
      <c r="BJ79" s="40"/>
      <c r="BK79" s="5"/>
      <c r="BM79" s="40"/>
      <c r="BN79" s="5"/>
      <c r="BP79" s="40"/>
      <c r="BQ79" s="5"/>
      <c r="BS79" s="40"/>
      <c r="BT79" s="5"/>
      <c r="BV79" s="40"/>
      <c r="BW79" s="5"/>
      <c r="BY79" s="40"/>
      <c r="BZ79" s="5"/>
      <c r="CB79" s="40"/>
      <c r="CC79" s="5"/>
      <c r="CE79" s="40"/>
      <c r="CF79" s="5"/>
      <c r="CH79" s="40"/>
      <c r="CI79" s="5"/>
      <c r="CK79" s="40"/>
      <c r="CL79" s="5"/>
      <c r="CN79" s="40"/>
      <c r="CO79" s="5"/>
      <c r="CQ79" s="40"/>
      <c r="CR79" s="5"/>
    </row>
    <row r="80">
      <c r="AL80" s="40"/>
      <c r="AM80" s="5"/>
      <c r="AO80" s="40"/>
      <c r="AP80" s="5"/>
      <c r="AR80" s="40"/>
      <c r="AS80" s="5"/>
      <c r="AU80" s="40"/>
      <c r="AV80" s="5"/>
      <c r="AX80" s="40"/>
      <c r="AY80" s="5"/>
      <c r="BA80" s="40"/>
      <c r="BB80" s="5"/>
      <c r="BD80" s="40"/>
      <c r="BE80" s="5"/>
      <c r="BG80" s="40"/>
      <c r="BH80" s="5"/>
      <c r="BJ80" s="40"/>
      <c r="BK80" s="5"/>
      <c r="BM80" s="40"/>
      <c r="BN80" s="5"/>
      <c r="BP80" s="40"/>
      <c r="BQ80" s="5"/>
      <c r="BS80" s="40"/>
      <c r="BT80" s="5"/>
      <c r="BV80" s="40"/>
      <c r="BW80" s="5"/>
      <c r="BY80" s="40"/>
      <c r="BZ80" s="5"/>
      <c r="CB80" s="40"/>
      <c r="CC80" s="5"/>
      <c r="CE80" s="40"/>
      <c r="CF80" s="5"/>
      <c r="CH80" s="40"/>
      <c r="CI80" s="5"/>
      <c r="CK80" s="40"/>
      <c r="CL80" s="5"/>
      <c r="CN80" s="40"/>
      <c r="CO80" s="5"/>
      <c r="CQ80" s="40"/>
      <c r="CR80" s="5"/>
    </row>
    <row r="81">
      <c r="AL81" s="40"/>
      <c r="AM81" s="5"/>
      <c r="AO81" s="40"/>
      <c r="AP81" s="5"/>
      <c r="AR81" s="40"/>
      <c r="AS81" s="5"/>
      <c r="AU81" s="40"/>
      <c r="AV81" s="5"/>
      <c r="AX81" s="40"/>
      <c r="AY81" s="5"/>
      <c r="BA81" s="40"/>
      <c r="BB81" s="5"/>
      <c r="BD81" s="40"/>
      <c r="BE81" s="5"/>
      <c r="BG81" s="40"/>
      <c r="BH81" s="5"/>
      <c r="BJ81" s="40"/>
      <c r="BK81" s="5"/>
      <c r="BM81" s="40"/>
      <c r="BN81" s="5"/>
      <c r="BP81" s="40"/>
      <c r="BQ81" s="5"/>
      <c r="BS81" s="40"/>
      <c r="BT81" s="5"/>
      <c r="BV81" s="40"/>
      <c r="BW81" s="5"/>
      <c r="BY81" s="40"/>
      <c r="BZ81" s="5"/>
      <c r="CB81" s="40"/>
      <c r="CC81" s="5"/>
      <c r="CE81" s="40"/>
      <c r="CF81" s="5"/>
      <c r="CH81" s="40"/>
      <c r="CI81" s="5"/>
      <c r="CK81" s="40"/>
      <c r="CL81" s="5"/>
      <c r="CN81" s="40"/>
      <c r="CO81" s="5"/>
      <c r="CQ81" s="40"/>
      <c r="CR81" s="5"/>
    </row>
    <row r="82">
      <c r="AL82" s="40"/>
      <c r="AM82" s="5"/>
      <c r="AO82" s="40"/>
      <c r="AP82" s="5"/>
      <c r="AR82" s="40"/>
      <c r="AS82" s="5"/>
      <c r="AU82" s="40"/>
      <c r="AV82" s="5"/>
      <c r="AX82" s="40"/>
      <c r="AY82" s="5"/>
      <c r="BA82" s="40"/>
      <c r="BB82" s="5"/>
      <c r="BD82" s="40"/>
      <c r="BE82" s="5"/>
      <c r="BG82" s="40"/>
      <c r="BH82" s="5"/>
      <c r="BJ82" s="40"/>
      <c r="BK82" s="5"/>
      <c r="BM82" s="40"/>
      <c r="BN82" s="5"/>
      <c r="BP82" s="40"/>
      <c r="BQ82" s="5"/>
      <c r="BS82" s="40"/>
      <c r="BT82" s="5"/>
      <c r="BV82" s="40"/>
      <c r="BW82" s="5"/>
      <c r="BY82" s="40"/>
      <c r="BZ82" s="5"/>
      <c r="CB82" s="40"/>
      <c r="CC82" s="5"/>
      <c r="CE82" s="40"/>
      <c r="CF82" s="5"/>
      <c r="CH82" s="40"/>
      <c r="CI82" s="5"/>
      <c r="CK82" s="40"/>
      <c r="CL82" s="5"/>
      <c r="CN82" s="40"/>
      <c r="CO82" s="5"/>
      <c r="CQ82" s="40"/>
      <c r="CR82" s="5"/>
    </row>
    <row r="83">
      <c r="AL83" s="40"/>
      <c r="AM83" s="5"/>
      <c r="AO83" s="40"/>
      <c r="AP83" s="5"/>
      <c r="AR83" s="40"/>
      <c r="AS83" s="5"/>
      <c r="AU83" s="40"/>
      <c r="AV83" s="5"/>
      <c r="AX83" s="40"/>
      <c r="AY83" s="5"/>
      <c r="BA83" s="40"/>
      <c r="BB83" s="5"/>
      <c r="BD83" s="40"/>
      <c r="BE83" s="5"/>
      <c r="BG83" s="40"/>
      <c r="BH83" s="5"/>
      <c r="BJ83" s="40"/>
      <c r="BK83" s="5"/>
      <c r="BM83" s="40"/>
      <c r="BN83" s="5"/>
      <c r="BP83" s="40"/>
      <c r="BQ83" s="5"/>
      <c r="BS83" s="40"/>
      <c r="BT83" s="5"/>
      <c r="BV83" s="40"/>
      <c r="BW83" s="5"/>
      <c r="BY83" s="40"/>
      <c r="BZ83" s="5"/>
      <c r="CB83" s="40"/>
      <c r="CC83" s="5"/>
      <c r="CE83" s="40"/>
      <c r="CF83" s="5"/>
      <c r="CH83" s="40"/>
      <c r="CI83" s="5"/>
      <c r="CK83" s="40"/>
      <c r="CL83" s="5"/>
      <c r="CN83" s="40"/>
      <c r="CO83" s="5"/>
      <c r="CQ83" s="40"/>
      <c r="CR83" s="5"/>
    </row>
    <row r="84">
      <c r="AL84" s="40"/>
      <c r="AM84" s="5"/>
      <c r="AO84" s="40"/>
      <c r="AP84" s="5"/>
      <c r="AR84" s="40"/>
      <c r="AS84" s="5"/>
      <c r="AU84" s="40"/>
      <c r="AV84" s="5"/>
      <c r="AX84" s="40"/>
      <c r="AY84" s="5"/>
      <c r="BA84" s="40"/>
      <c r="BB84" s="5"/>
      <c r="BD84" s="40"/>
      <c r="BE84" s="5"/>
      <c r="BG84" s="40"/>
      <c r="BH84" s="5"/>
      <c r="BJ84" s="40"/>
      <c r="BK84" s="5"/>
      <c r="BM84" s="40"/>
      <c r="BN84" s="5"/>
      <c r="BP84" s="40"/>
      <c r="BQ84" s="5"/>
      <c r="BS84" s="40"/>
      <c r="BT84" s="5"/>
      <c r="BV84" s="40"/>
      <c r="BW84" s="5"/>
      <c r="BY84" s="40"/>
      <c r="BZ84" s="5"/>
      <c r="CB84" s="40"/>
      <c r="CC84" s="5"/>
      <c r="CE84" s="40"/>
      <c r="CF84" s="5"/>
      <c r="CH84" s="40"/>
      <c r="CI84" s="5"/>
      <c r="CK84" s="40"/>
      <c r="CL84" s="5"/>
      <c r="CN84" s="40"/>
      <c r="CO84" s="5"/>
      <c r="CQ84" s="40"/>
      <c r="CR84" s="5"/>
    </row>
    <row r="85">
      <c r="AL85" s="40"/>
      <c r="AM85" s="5"/>
      <c r="AO85" s="40"/>
      <c r="AP85" s="5"/>
      <c r="AR85" s="40"/>
      <c r="AS85" s="5"/>
      <c r="AU85" s="40"/>
      <c r="AV85" s="5"/>
      <c r="AX85" s="40"/>
      <c r="AY85" s="5"/>
      <c r="BA85" s="40"/>
      <c r="BB85" s="5"/>
      <c r="BD85" s="40"/>
      <c r="BE85" s="5"/>
      <c r="BG85" s="40"/>
      <c r="BH85" s="5"/>
      <c r="BJ85" s="40"/>
      <c r="BK85" s="5"/>
      <c r="BM85" s="40"/>
      <c r="BN85" s="5"/>
      <c r="BP85" s="40"/>
      <c r="BQ85" s="5"/>
      <c r="BS85" s="40"/>
      <c r="BT85" s="5"/>
      <c r="BV85" s="40"/>
      <c r="BW85" s="5"/>
      <c r="BY85" s="40"/>
      <c r="BZ85" s="5"/>
      <c r="CB85" s="40"/>
      <c r="CC85" s="5"/>
      <c r="CE85" s="40"/>
      <c r="CF85" s="5"/>
      <c r="CH85" s="40"/>
      <c r="CI85" s="5"/>
      <c r="CK85" s="40"/>
      <c r="CL85" s="5"/>
      <c r="CN85" s="40"/>
      <c r="CO85" s="5"/>
      <c r="CQ85" s="40"/>
      <c r="CR85" s="5"/>
    </row>
    <row r="86">
      <c r="AL86" s="40"/>
      <c r="AM86" s="5"/>
      <c r="AO86" s="40"/>
      <c r="AP86" s="5"/>
      <c r="AR86" s="40"/>
      <c r="AS86" s="5"/>
      <c r="AU86" s="40"/>
      <c r="AV86" s="5"/>
      <c r="AX86" s="40"/>
      <c r="AY86" s="5"/>
      <c r="BA86" s="40"/>
      <c r="BB86" s="5"/>
      <c r="BD86" s="40"/>
      <c r="BE86" s="5"/>
      <c r="BG86" s="40"/>
      <c r="BH86" s="5"/>
      <c r="BJ86" s="40"/>
      <c r="BK86" s="5"/>
      <c r="BM86" s="40"/>
      <c r="BN86" s="5"/>
      <c r="BP86" s="40"/>
      <c r="BQ86" s="5"/>
      <c r="BS86" s="40"/>
      <c r="BT86" s="5"/>
      <c r="BV86" s="40"/>
      <c r="BW86" s="5"/>
      <c r="BY86" s="40"/>
      <c r="BZ86" s="5"/>
      <c r="CB86" s="40"/>
      <c r="CC86" s="5"/>
      <c r="CE86" s="40"/>
      <c r="CF86" s="5"/>
      <c r="CH86" s="40"/>
      <c r="CI86" s="5"/>
      <c r="CK86" s="40"/>
      <c r="CL86" s="5"/>
      <c r="CN86" s="40"/>
      <c r="CO86" s="5"/>
      <c r="CQ86" s="40"/>
      <c r="CR86" s="5"/>
    </row>
    <row r="87">
      <c r="AL87" s="40"/>
      <c r="AM87" s="5"/>
      <c r="AO87" s="40"/>
      <c r="AP87" s="5"/>
      <c r="AR87" s="40"/>
      <c r="AS87" s="5"/>
      <c r="AU87" s="40"/>
      <c r="AV87" s="5"/>
      <c r="AX87" s="40"/>
      <c r="AY87" s="5"/>
      <c r="BA87" s="40"/>
      <c r="BB87" s="5"/>
      <c r="BD87" s="40"/>
      <c r="BE87" s="5"/>
      <c r="BG87" s="40"/>
      <c r="BH87" s="5"/>
      <c r="BJ87" s="40"/>
      <c r="BK87" s="5"/>
      <c r="BM87" s="40"/>
      <c r="BN87" s="5"/>
      <c r="BP87" s="40"/>
      <c r="BQ87" s="5"/>
      <c r="BS87" s="40"/>
      <c r="BT87" s="5"/>
      <c r="BV87" s="40"/>
      <c r="BW87" s="5"/>
      <c r="BY87" s="40"/>
      <c r="BZ87" s="5"/>
      <c r="CB87" s="40"/>
      <c r="CC87" s="5"/>
      <c r="CE87" s="40"/>
      <c r="CF87" s="5"/>
      <c r="CH87" s="40"/>
      <c r="CI87" s="5"/>
      <c r="CK87" s="40"/>
      <c r="CL87" s="5"/>
      <c r="CN87" s="40"/>
      <c r="CO87" s="5"/>
      <c r="CQ87" s="40"/>
      <c r="CR87" s="5"/>
    </row>
    <row r="88">
      <c r="AL88" s="40"/>
      <c r="AM88" s="5"/>
      <c r="AO88" s="40"/>
      <c r="AP88" s="5"/>
      <c r="AR88" s="40"/>
      <c r="AS88" s="5"/>
      <c r="AU88" s="40"/>
      <c r="AV88" s="5"/>
      <c r="AX88" s="40"/>
      <c r="AY88" s="5"/>
      <c r="BA88" s="40"/>
      <c r="BB88" s="5"/>
      <c r="BD88" s="40"/>
      <c r="BE88" s="5"/>
      <c r="BG88" s="40"/>
      <c r="BH88" s="5"/>
      <c r="BJ88" s="40"/>
      <c r="BK88" s="5"/>
      <c r="BM88" s="40"/>
      <c r="BN88" s="5"/>
      <c r="BP88" s="40"/>
      <c r="BQ88" s="5"/>
      <c r="BS88" s="40"/>
      <c r="BT88" s="5"/>
      <c r="BV88" s="40"/>
      <c r="BW88" s="5"/>
      <c r="BY88" s="40"/>
      <c r="BZ88" s="5"/>
      <c r="CB88" s="40"/>
      <c r="CC88" s="5"/>
      <c r="CE88" s="40"/>
      <c r="CF88" s="5"/>
      <c r="CH88" s="40"/>
      <c r="CI88" s="5"/>
      <c r="CK88" s="40"/>
      <c r="CL88" s="5"/>
      <c r="CN88" s="40"/>
      <c r="CO88" s="5"/>
      <c r="CQ88" s="40"/>
      <c r="CR88" s="5"/>
    </row>
    <row r="89">
      <c r="AL89" s="40"/>
      <c r="AM89" s="5"/>
      <c r="AO89" s="40"/>
      <c r="AP89" s="5"/>
      <c r="AR89" s="40"/>
      <c r="AS89" s="5"/>
      <c r="AU89" s="40"/>
      <c r="AV89" s="5"/>
      <c r="AX89" s="40"/>
      <c r="AY89" s="5"/>
      <c r="BA89" s="40"/>
      <c r="BB89" s="5"/>
      <c r="BD89" s="40"/>
      <c r="BE89" s="5"/>
      <c r="BG89" s="40"/>
      <c r="BH89" s="5"/>
      <c r="BJ89" s="40"/>
      <c r="BK89" s="5"/>
      <c r="BM89" s="40"/>
      <c r="BN89" s="5"/>
      <c r="BP89" s="40"/>
      <c r="BQ89" s="5"/>
      <c r="BS89" s="40"/>
      <c r="BT89" s="5"/>
      <c r="BV89" s="40"/>
      <c r="BW89" s="5"/>
      <c r="BY89" s="40"/>
      <c r="BZ89" s="5"/>
      <c r="CB89" s="40"/>
      <c r="CC89" s="5"/>
      <c r="CE89" s="40"/>
      <c r="CF89" s="5"/>
      <c r="CH89" s="40"/>
      <c r="CI89" s="5"/>
      <c r="CK89" s="40"/>
      <c r="CL89" s="5"/>
      <c r="CN89" s="40"/>
      <c r="CO89" s="5"/>
      <c r="CQ89" s="40"/>
      <c r="CR89" s="5"/>
    </row>
    <row r="90">
      <c r="AL90" s="40"/>
      <c r="AM90" s="5"/>
      <c r="AO90" s="40"/>
      <c r="AP90" s="5"/>
      <c r="AR90" s="40"/>
      <c r="AS90" s="5"/>
      <c r="AU90" s="40"/>
      <c r="AV90" s="5"/>
      <c r="AX90" s="40"/>
      <c r="AY90" s="5"/>
      <c r="BA90" s="40"/>
      <c r="BB90" s="5"/>
      <c r="BD90" s="40"/>
      <c r="BE90" s="5"/>
      <c r="BG90" s="40"/>
      <c r="BH90" s="5"/>
      <c r="BJ90" s="40"/>
      <c r="BK90" s="5"/>
      <c r="BM90" s="40"/>
      <c r="BN90" s="5"/>
      <c r="BP90" s="40"/>
      <c r="BQ90" s="5"/>
      <c r="BS90" s="40"/>
      <c r="BT90" s="5"/>
      <c r="BV90" s="40"/>
      <c r="BW90" s="5"/>
      <c r="BY90" s="40"/>
      <c r="BZ90" s="5"/>
      <c r="CB90" s="40"/>
      <c r="CC90" s="5"/>
      <c r="CE90" s="40"/>
      <c r="CF90" s="5"/>
      <c r="CH90" s="40"/>
      <c r="CI90" s="5"/>
      <c r="CK90" s="40"/>
      <c r="CL90" s="5"/>
      <c r="CN90" s="40"/>
      <c r="CO90" s="5"/>
      <c r="CQ90" s="40"/>
      <c r="CR90" s="5"/>
    </row>
    <row r="91">
      <c r="AL91" s="40"/>
      <c r="AM91" s="5"/>
      <c r="AO91" s="40"/>
      <c r="AP91" s="5"/>
      <c r="AR91" s="40"/>
      <c r="AS91" s="5"/>
      <c r="AU91" s="40"/>
      <c r="AV91" s="5"/>
      <c r="AX91" s="40"/>
      <c r="AY91" s="5"/>
      <c r="BA91" s="40"/>
      <c r="BB91" s="5"/>
      <c r="BD91" s="40"/>
      <c r="BE91" s="5"/>
      <c r="BG91" s="40"/>
      <c r="BH91" s="5"/>
      <c r="BJ91" s="40"/>
      <c r="BK91" s="5"/>
      <c r="BM91" s="40"/>
      <c r="BN91" s="5"/>
      <c r="BP91" s="40"/>
      <c r="BQ91" s="5"/>
      <c r="BS91" s="40"/>
      <c r="BT91" s="5"/>
      <c r="BV91" s="40"/>
      <c r="BW91" s="5"/>
      <c r="BY91" s="40"/>
      <c r="BZ91" s="5"/>
      <c r="CB91" s="40"/>
      <c r="CC91" s="5"/>
      <c r="CE91" s="40"/>
      <c r="CF91" s="5"/>
      <c r="CH91" s="40"/>
      <c r="CI91" s="5"/>
      <c r="CK91" s="40"/>
      <c r="CL91" s="5"/>
      <c r="CN91" s="40"/>
      <c r="CO91" s="5"/>
      <c r="CQ91" s="40"/>
      <c r="CR91" s="5"/>
    </row>
    <row r="92">
      <c r="AL92" s="40"/>
      <c r="AM92" s="5"/>
      <c r="AO92" s="40"/>
      <c r="AP92" s="5"/>
      <c r="AR92" s="40"/>
      <c r="AS92" s="5"/>
      <c r="AU92" s="40"/>
      <c r="AV92" s="5"/>
      <c r="AX92" s="40"/>
      <c r="AY92" s="5"/>
      <c r="BA92" s="40"/>
      <c r="BB92" s="5"/>
      <c r="BD92" s="40"/>
      <c r="BE92" s="5"/>
      <c r="BG92" s="40"/>
      <c r="BH92" s="5"/>
      <c r="BJ92" s="40"/>
      <c r="BK92" s="5"/>
      <c r="BM92" s="40"/>
      <c r="BN92" s="5"/>
      <c r="BP92" s="40"/>
      <c r="BQ92" s="5"/>
      <c r="BS92" s="40"/>
      <c r="BT92" s="5"/>
      <c r="BV92" s="40"/>
      <c r="BW92" s="5"/>
      <c r="BY92" s="40"/>
      <c r="BZ92" s="5"/>
      <c r="CB92" s="40"/>
      <c r="CC92" s="5"/>
      <c r="CE92" s="40"/>
      <c r="CF92" s="5"/>
      <c r="CH92" s="40"/>
      <c r="CI92" s="5"/>
      <c r="CK92" s="40"/>
      <c r="CL92" s="5"/>
      <c r="CN92" s="40"/>
      <c r="CO92" s="5"/>
      <c r="CQ92" s="40"/>
      <c r="CR92" s="5"/>
    </row>
    <row r="93">
      <c r="AL93" s="40"/>
      <c r="AM93" s="5"/>
      <c r="AO93" s="40"/>
      <c r="AP93" s="5"/>
      <c r="AR93" s="40"/>
      <c r="AS93" s="5"/>
      <c r="AU93" s="40"/>
      <c r="AV93" s="5"/>
      <c r="AX93" s="40"/>
      <c r="AY93" s="5"/>
      <c r="BA93" s="40"/>
      <c r="BB93" s="5"/>
      <c r="BD93" s="40"/>
      <c r="BE93" s="5"/>
      <c r="BG93" s="40"/>
      <c r="BH93" s="5"/>
      <c r="BJ93" s="40"/>
      <c r="BK93" s="5"/>
      <c r="BM93" s="40"/>
      <c r="BN93" s="5"/>
      <c r="BP93" s="40"/>
      <c r="BQ93" s="5"/>
      <c r="BS93" s="40"/>
      <c r="BT93" s="5"/>
      <c r="BV93" s="40"/>
      <c r="BW93" s="5"/>
      <c r="BY93" s="40"/>
      <c r="BZ93" s="5"/>
      <c r="CB93" s="40"/>
      <c r="CC93" s="5"/>
      <c r="CE93" s="40"/>
      <c r="CF93" s="5"/>
      <c r="CH93" s="40"/>
      <c r="CI93" s="5"/>
      <c r="CK93" s="40"/>
      <c r="CL93" s="5"/>
      <c r="CN93" s="40"/>
      <c r="CO93" s="5"/>
      <c r="CQ93" s="40"/>
      <c r="CR93" s="5"/>
    </row>
    <row r="94">
      <c r="AL94" s="40"/>
      <c r="AM94" s="5"/>
      <c r="AO94" s="40"/>
      <c r="AP94" s="5"/>
      <c r="AR94" s="40"/>
      <c r="AS94" s="5"/>
      <c r="AU94" s="40"/>
      <c r="AV94" s="5"/>
      <c r="AX94" s="40"/>
      <c r="AY94" s="5"/>
      <c r="BA94" s="40"/>
      <c r="BB94" s="5"/>
      <c r="BD94" s="40"/>
      <c r="BE94" s="5"/>
      <c r="BG94" s="40"/>
      <c r="BH94" s="5"/>
      <c r="BJ94" s="40"/>
      <c r="BK94" s="5"/>
      <c r="BM94" s="40"/>
      <c r="BN94" s="5"/>
      <c r="BP94" s="40"/>
      <c r="BQ94" s="5"/>
      <c r="BS94" s="40"/>
      <c r="BT94" s="5"/>
      <c r="BV94" s="40"/>
      <c r="BW94" s="5"/>
      <c r="BY94" s="40"/>
      <c r="BZ94" s="5"/>
      <c r="CB94" s="40"/>
      <c r="CC94" s="5"/>
      <c r="CE94" s="40"/>
      <c r="CF94" s="5"/>
      <c r="CH94" s="40"/>
      <c r="CI94" s="5"/>
      <c r="CK94" s="40"/>
      <c r="CL94" s="5"/>
      <c r="CN94" s="40"/>
      <c r="CO94" s="5"/>
      <c r="CQ94" s="40"/>
      <c r="CR94" s="5"/>
    </row>
    <row r="95">
      <c r="AL95" s="40"/>
      <c r="AM95" s="5"/>
      <c r="AO95" s="40"/>
      <c r="AP95" s="5"/>
      <c r="AR95" s="40"/>
      <c r="AS95" s="5"/>
      <c r="AU95" s="40"/>
      <c r="AV95" s="5"/>
      <c r="AX95" s="40"/>
      <c r="AY95" s="5"/>
      <c r="BA95" s="40"/>
      <c r="BB95" s="5"/>
      <c r="BD95" s="40"/>
      <c r="BE95" s="5"/>
      <c r="BG95" s="40"/>
      <c r="BH95" s="5"/>
      <c r="BJ95" s="40"/>
      <c r="BK95" s="5"/>
      <c r="BM95" s="40"/>
      <c r="BN95" s="5"/>
      <c r="BP95" s="40"/>
      <c r="BQ95" s="5"/>
      <c r="BS95" s="40"/>
      <c r="BT95" s="5"/>
      <c r="BV95" s="40"/>
      <c r="BW95" s="5"/>
      <c r="BY95" s="40"/>
      <c r="BZ95" s="5"/>
      <c r="CB95" s="40"/>
      <c r="CC95" s="5"/>
      <c r="CE95" s="40"/>
      <c r="CF95" s="5"/>
      <c r="CH95" s="40"/>
      <c r="CI95" s="5"/>
      <c r="CK95" s="40"/>
      <c r="CL95" s="5"/>
      <c r="CN95" s="40"/>
      <c r="CO95" s="5"/>
      <c r="CQ95" s="40"/>
      <c r="CR95" s="5"/>
    </row>
    <row r="96">
      <c r="AL96" s="40"/>
      <c r="AM96" s="5"/>
      <c r="AO96" s="40"/>
      <c r="AP96" s="5"/>
      <c r="AR96" s="40"/>
      <c r="AS96" s="5"/>
      <c r="AU96" s="40"/>
      <c r="AV96" s="5"/>
      <c r="AX96" s="40"/>
      <c r="AY96" s="5"/>
      <c r="BA96" s="40"/>
      <c r="BB96" s="5"/>
      <c r="BD96" s="40"/>
      <c r="BE96" s="5"/>
      <c r="BG96" s="40"/>
      <c r="BH96" s="5"/>
      <c r="BJ96" s="40"/>
      <c r="BK96" s="5"/>
      <c r="BM96" s="40"/>
      <c r="BN96" s="5"/>
      <c r="BP96" s="40"/>
      <c r="BQ96" s="5"/>
      <c r="BS96" s="40"/>
      <c r="BT96" s="5"/>
      <c r="BV96" s="40"/>
      <c r="BW96" s="5"/>
      <c r="BY96" s="40"/>
      <c r="BZ96" s="5"/>
      <c r="CB96" s="40"/>
      <c r="CC96" s="5"/>
      <c r="CE96" s="40"/>
      <c r="CF96" s="5"/>
      <c r="CH96" s="40"/>
      <c r="CI96" s="5"/>
      <c r="CK96" s="40"/>
      <c r="CL96" s="5"/>
      <c r="CN96" s="40"/>
      <c r="CO96" s="5"/>
      <c r="CQ96" s="40"/>
      <c r="CR96" s="5"/>
    </row>
    <row r="97">
      <c r="AL97" s="40"/>
      <c r="AM97" s="5"/>
      <c r="AO97" s="40"/>
      <c r="AP97" s="5"/>
      <c r="AR97" s="40"/>
      <c r="AS97" s="5"/>
      <c r="AU97" s="40"/>
      <c r="AV97" s="5"/>
      <c r="AX97" s="40"/>
      <c r="AY97" s="5"/>
      <c r="BA97" s="40"/>
      <c r="BB97" s="5"/>
      <c r="BD97" s="40"/>
      <c r="BE97" s="5"/>
      <c r="BG97" s="40"/>
      <c r="BH97" s="5"/>
      <c r="BJ97" s="40"/>
      <c r="BK97" s="5"/>
      <c r="BM97" s="40"/>
      <c r="BN97" s="5"/>
      <c r="BP97" s="40"/>
      <c r="BQ97" s="5"/>
      <c r="BS97" s="40"/>
      <c r="BT97" s="5"/>
      <c r="BV97" s="40"/>
      <c r="BW97" s="5"/>
      <c r="BY97" s="40"/>
      <c r="BZ97" s="5"/>
      <c r="CB97" s="40"/>
      <c r="CC97" s="5"/>
      <c r="CE97" s="40"/>
      <c r="CF97" s="5"/>
      <c r="CH97" s="40"/>
      <c r="CI97" s="5"/>
      <c r="CK97" s="40"/>
      <c r="CL97" s="5"/>
      <c r="CN97" s="40"/>
      <c r="CO97" s="5"/>
      <c r="CQ97" s="40"/>
      <c r="CR97" s="5"/>
    </row>
    <row r="98">
      <c r="AL98" s="40"/>
      <c r="AM98" s="5"/>
      <c r="AO98" s="40"/>
      <c r="AP98" s="5"/>
      <c r="AR98" s="40"/>
      <c r="AS98" s="5"/>
      <c r="AU98" s="40"/>
      <c r="AV98" s="5"/>
      <c r="AX98" s="40"/>
      <c r="AY98" s="5"/>
      <c r="BA98" s="40"/>
      <c r="BB98" s="5"/>
      <c r="BD98" s="40"/>
      <c r="BE98" s="5"/>
      <c r="BG98" s="40"/>
      <c r="BH98" s="5"/>
      <c r="BJ98" s="40"/>
      <c r="BK98" s="5"/>
      <c r="BM98" s="40"/>
      <c r="BN98" s="5"/>
      <c r="BP98" s="40"/>
      <c r="BQ98" s="5"/>
      <c r="BS98" s="40"/>
      <c r="BT98" s="5"/>
      <c r="BV98" s="40"/>
      <c r="BW98" s="5"/>
      <c r="BY98" s="40"/>
      <c r="BZ98" s="5"/>
      <c r="CB98" s="40"/>
      <c r="CC98" s="5"/>
      <c r="CE98" s="40"/>
      <c r="CF98" s="5"/>
      <c r="CH98" s="40"/>
      <c r="CI98" s="5"/>
      <c r="CK98" s="40"/>
      <c r="CL98" s="5"/>
      <c r="CN98" s="40"/>
      <c r="CO98" s="5"/>
      <c r="CQ98" s="40"/>
      <c r="CR98" s="5"/>
    </row>
    <row r="99">
      <c r="AL99" s="40"/>
      <c r="AM99" s="5"/>
      <c r="AO99" s="40"/>
      <c r="AP99" s="5"/>
      <c r="AR99" s="40"/>
      <c r="AS99" s="5"/>
      <c r="AU99" s="40"/>
      <c r="AV99" s="5"/>
      <c r="AX99" s="40"/>
      <c r="AY99" s="5"/>
      <c r="BA99" s="40"/>
      <c r="BB99" s="5"/>
      <c r="BD99" s="40"/>
      <c r="BE99" s="5"/>
      <c r="BG99" s="40"/>
      <c r="BH99" s="5"/>
      <c r="BJ99" s="40"/>
      <c r="BK99" s="5"/>
      <c r="BM99" s="40"/>
      <c r="BN99" s="5"/>
      <c r="BP99" s="40"/>
      <c r="BQ99" s="5"/>
      <c r="BS99" s="40"/>
      <c r="BT99" s="5"/>
      <c r="BV99" s="40"/>
      <c r="BW99" s="5"/>
      <c r="BY99" s="40"/>
      <c r="BZ99" s="5"/>
      <c r="CB99" s="40"/>
      <c r="CC99" s="5"/>
      <c r="CE99" s="40"/>
      <c r="CF99" s="5"/>
      <c r="CH99" s="40"/>
      <c r="CI99" s="5"/>
      <c r="CK99" s="40"/>
      <c r="CL99" s="5"/>
      <c r="CN99" s="40"/>
      <c r="CO99" s="5"/>
      <c r="CQ99" s="40"/>
      <c r="CR99" s="5"/>
    </row>
    <row r="100">
      <c r="AL100" s="40"/>
      <c r="AM100" s="5"/>
      <c r="AO100" s="40"/>
      <c r="AP100" s="5"/>
      <c r="AR100" s="40"/>
      <c r="AS100" s="5"/>
      <c r="AU100" s="40"/>
      <c r="AV100" s="5"/>
      <c r="AX100" s="40"/>
      <c r="AY100" s="5"/>
      <c r="BA100" s="40"/>
      <c r="BB100" s="5"/>
      <c r="BD100" s="40"/>
      <c r="BE100" s="5"/>
      <c r="BG100" s="40"/>
      <c r="BH100" s="5"/>
      <c r="BJ100" s="40"/>
      <c r="BK100" s="5"/>
      <c r="BM100" s="40"/>
      <c r="BN100" s="5"/>
      <c r="BP100" s="40"/>
      <c r="BQ100" s="5"/>
      <c r="BS100" s="40"/>
      <c r="BT100" s="5"/>
      <c r="BV100" s="40"/>
      <c r="BW100" s="5"/>
      <c r="BY100" s="40"/>
      <c r="BZ100" s="5"/>
      <c r="CB100" s="40"/>
      <c r="CC100" s="5"/>
      <c r="CE100" s="40"/>
      <c r="CF100" s="5"/>
      <c r="CH100" s="40"/>
      <c r="CI100" s="5"/>
      <c r="CK100" s="40"/>
      <c r="CL100" s="5"/>
      <c r="CN100" s="40"/>
      <c r="CO100" s="5"/>
      <c r="CQ100" s="40"/>
      <c r="CR100" s="5"/>
    </row>
    <row r="101">
      <c r="AL101" s="40"/>
      <c r="AM101" s="5"/>
      <c r="AO101" s="40"/>
      <c r="AP101" s="5"/>
      <c r="AR101" s="40"/>
      <c r="AS101" s="5"/>
      <c r="AU101" s="40"/>
      <c r="AV101" s="5"/>
      <c r="AX101" s="40"/>
      <c r="AY101" s="5"/>
      <c r="BA101" s="40"/>
      <c r="BB101" s="5"/>
      <c r="BD101" s="40"/>
      <c r="BE101" s="5"/>
      <c r="BG101" s="40"/>
      <c r="BH101" s="5"/>
      <c r="BJ101" s="40"/>
      <c r="BK101" s="5"/>
      <c r="BM101" s="40"/>
      <c r="BN101" s="5"/>
      <c r="BP101" s="40"/>
      <c r="BQ101" s="5"/>
      <c r="BS101" s="40"/>
      <c r="BT101" s="5"/>
      <c r="BV101" s="40"/>
      <c r="BW101" s="5"/>
      <c r="BY101" s="40"/>
      <c r="BZ101" s="5"/>
      <c r="CB101" s="40"/>
      <c r="CC101" s="5"/>
      <c r="CE101" s="40"/>
      <c r="CF101" s="5"/>
      <c r="CH101" s="40"/>
      <c r="CI101" s="5"/>
      <c r="CK101" s="40"/>
      <c r="CL101" s="5"/>
      <c r="CN101" s="40"/>
      <c r="CO101" s="5"/>
      <c r="CQ101" s="40"/>
      <c r="CR101" s="5"/>
    </row>
    <row r="102">
      <c r="AL102" s="40"/>
      <c r="AM102" s="5"/>
      <c r="AO102" s="40"/>
      <c r="AP102" s="5"/>
      <c r="AR102" s="40"/>
      <c r="AS102" s="5"/>
      <c r="AU102" s="40"/>
      <c r="AV102" s="5"/>
      <c r="AX102" s="40"/>
      <c r="AY102" s="5"/>
      <c r="BA102" s="40"/>
      <c r="BB102" s="5"/>
      <c r="BD102" s="40"/>
      <c r="BE102" s="5"/>
      <c r="BG102" s="40"/>
      <c r="BH102" s="5"/>
      <c r="BJ102" s="40"/>
      <c r="BK102" s="5"/>
      <c r="BM102" s="40"/>
      <c r="BN102" s="5"/>
      <c r="BP102" s="40"/>
      <c r="BQ102" s="5"/>
      <c r="BS102" s="40"/>
      <c r="BT102" s="5"/>
      <c r="BV102" s="40"/>
      <c r="BW102" s="5"/>
      <c r="BY102" s="40"/>
      <c r="BZ102" s="5"/>
      <c r="CB102" s="40"/>
      <c r="CC102" s="5"/>
      <c r="CE102" s="40"/>
      <c r="CF102" s="5"/>
      <c r="CH102" s="40"/>
      <c r="CI102" s="5"/>
      <c r="CK102" s="40"/>
      <c r="CL102" s="5"/>
      <c r="CN102" s="40"/>
      <c r="CO102" s="5"/>
      <c r="CQ102" s="40"/>
      <c r="CR102" s="5"/>
    </row>
    <row r="103">
      <c r="AL103" s="40"/>
      <c r="AM103" s="5"/>
      <c r="AO103" s="40"/>
      <c r="AP103" s="5"/>
      <c r="AR103" s="40"/>
      <c r="AS103" s="5"/>
      <c r="AU103" s="40"/>
      <c r="AV103" s="5"/>
      <c r="AX103" s="40"/>
      <c r="AY103" s="5"/>
      <c r="BA103" s="40"/>
      <c r="BB103" s="5"/>
      <c r="BD103" s="40"/>
      <c r="BE103" s="5"/>
      <c r="BG103" s="40"/>
      <c r="BH103" s="5"/>
      <c r="BJ103" s="40"/>
      <c r="BK103" s="5"/>
      <c r="BM103" s="40"/>
      <c r="BN103" s="5"/>
      <c r="BP103" s="40"/>
      <c r="BQ103" s="5"/>
      <c r="BS103" s="40"/>
      <c r="BT103" s="5"/>
      <c r="BV103" s="40"/>
      <c r="BW103" s="5"/>
      <c r="BY103" s="40"/>
      <c r="BZ103" s="5"/>
      <c r="CB103" s="40"/>
      <c r="CC103" s="5"/>
      <c r="CE103" s="40"/>
      <c r="CF103" s="5"/>
      <c r="CH103" s="40"/>
      <c r="CI103" s="5"/>
      <c r="CK103" s="40"/>
      <c r="CL103" s="5"/>
      <c r="CN103" s="40"/>
      <c r="CO103" s="5"/>
      <c r="CQ103" s="40"/>
      <c r="CR103" s="5"/>
    </row>
    <row r="104">
      <c r="AL104" s="40"/>
      <c r="AM104" s="5"/>
      <c r="AO104" s="40"/>
      <c r="AP104" s="5"/>
      <c r="AR104" s="40"/>
      <c r="AS104" s="5"/>
      <c r="AU104" s="40"/>
      <c r="AV104" s="5"/>
      <c r="AX104" s="40"/>
      <c r="AY104" s="5"/>
      <c r="BA104" s="40"/>
      <c r="BB104" s="5"/>
      <c r="BD104" s="40"/>
      <c r="BE104" s="5"/>
      <c r="BG104" s="40"/>
      <c r="BH104" s="5"/>
      <c r="BJ104" s="40"/>
      <c r="BK104" s="5"/>
      <c r="BM104" s="40"/>
      <c r="BN104" s="5"/>
      <c r="BP104" s="40"/>
      <c r="BQ104" s="5"/>
      <c r="BS104" s="40"/>
      <c r="BT104" s="5"/>
      <c r="BV104" s="40"/>
      <c r="BW104" s="5"/>
      <c r="BY104" s="40"/>
      <c r="BZ104" s="5"/>
      <c r="CB104" s="40"/>
      <c r="CC104" s="5"/>
      <c r="CE104" s="40"/>
      <c r="CF104" s="5"/>
      <c r="CH104" s="40"/>
      <c r="CI104" s="5"/>
      <c r="CK104" s="40"/>
      <c r="CL104" s="5"/>
      <c r="CN104" s="40"/>
      <c r="CO104" s="5"/>
      <c r="CQ104" s="40"/>
      <c r="CR104" s="5"/>
    </row>
    <row r="105">
      <c r="AL105" s="40"/>
      <c r="AM105" s="5"/>
      <c r="AO105" s="40"/>
      <c r="AP105" s="5"/>
      <c r="AR105" s="40"/>
      <c r="AS105" s="5"/>
      <c r="AU105" s="40"/>
      <c r="AV105" s="5"/>
      <c r="AX105" s="40"/>
      <c r="AY105" s="5"/>
      <c r="BA105" s="40"/>
      <c r="BB105" s="5"/>
      <c r="BD105" s="40"/>
      <c r="BE105" s="5"/>
      <c r="BG105" s="40"/>
      <c r="BH105" s="5"/>
      <c r="BJ105" s="40"/>
      <c r="BK105" s="5"/>
      <c r="BM105" s="40"/>
      <c r="BN105" s="5"/>
      <c r="BP105" s="40"/>
      <c r="BQ105" s="5"/>
      <c r="BS105" s="40"/>
      <c r="BT105" s="5"/>
      <c r="BV105" s="40"/>
      <c r="BW105" s="5"/>
      <c r="BY105" s="40"/>
      <c r="BZ105" s="5"/>
      <c r="CB105" s="40"/>
      <c r="CC105" s="5"/>
      <c r="CE105" s="40"/>
      <c r="CF105" s="5"/>
      <c r="CH105" s="40"/>
      <c r="CI105" s="5"/>
      <c r="CK105" s="40"/>
      <c r="CL105" s="5"/>
      <c r="CN105" s="40"/>
      <c r="CO105" s="5"/>
      <c r="CQ105" s="40"/>
      <c r="CR105" s="5"/>
    </row>
    <row r="106">
      <c r="AL106" s="40"/>
      <c r="AM106" s="5"/>
      <c r="AO106" s="40"/>
      <c r="AP106" s="5"/>
      <c r="AR106" s="40"/>
      <c r="AS106" s="5"/>
      <c r="AU106" s="40"/>
      <c r="AV106" s="5"/>
      <c r="AX106" s="40"/>
      <c r="AY106" s="5"/>
      <c r="BA106" s="40"/>
      <c r="BB106" s="5"/>
      <c r="BD106" s="40"/>
      <c r="BE106" s="5"/>
      <c r="BG106" s="40"/>
      <c r="BH106" s="5"/>
      <c r="BJ106" s="40"/>
      <c r="BK106" s="5"/>
      <c r="BM106" s="40"/>
      <c r="BN106" s="5"/>
      <c r="BP106" s="40"/>
      <c r="BQ106" s="5"/>
      <c r="BS106" s="40"/>
      <c r="BT106" s="5"/>
      <c r="BV106" s="40"/>
      <c r="BW106" s="5"/>
      <c r="BY106" s="40"/>
      <c r="BZ106" s="5"/>
      <c r="CB106" s="40"/>
      <c r="CC106" s="5"/>
      <c r="CE106" s="40"/>
      <c r="CF106" s="5"/>
      <c r="CH106" s="40"/>
      <c r="CI106" s="5"/>
      <c r="CK106" s="40"/>
      <c r="CL106" s="5"/>
      <c r="CN106" s="40"/>
      <c r="CO106" s="5"/>
      <c r="CQ106" s="40"/>
      <c r="CR106" s="5"/>
    </row>
    <row r="107">
      <c r="AL107" s="40"/>
      <c r="AM107" s="5"/>
      <c r="AO107" s="40"/>
      <c r="AP107" s="5"/>
      <c r="AR107" s="40"/>
      <c r="AS107" s="5"/>
      <c r="AU107" s="40"/>
      <c r="AV107" s="5"/>
      <c r="AX107" s="40"/>
      <c r="AY107" s="5"/>
      <c r="BA107" s="40"/>
      <c r="BB107" s="5"/>
      <c r="BD107" s="40"/>
      <c r="BE107" s="5"/>
      <c r="BG107" s="40"/>
      <c r="BH107" s="5"/>
      <c r="BJ107" s="40"/>
      <c r="BK107" s="5"/>
      <c r="BM107" s="40"/>
      <c r="BN107" s="5"/>
      <c r="BP107" s="40"/>
      <c r="BQ107" s="5"/>
      <c r="BS107" s="40"/>
      <c r="BT107" s="5"/>
      <c r="BV107" s="40"/>
      <c r="BW107" s="5"/>
      <c r="BY107" s="40"/>
      <c r="BZ107" s="5"/>
      <c r="CB107" s="40"/>
      <c r="CC107" s="5"/>
      <c r="CE107" s="40"/>
      <c r="CF107" s="5"/>
      <c r="CH107" s="40"/>
      <c r="CI107" s="5"/>
      <c r="CK107" s="40"/>
      <c r="CL107" s="5"/>
      <c r="CN107" s="40"/>
      <c r="CO107" s="5"/>
      <c r="CQ107" s="40"/>
      <c r="CR107" s="5"/>
    </row>
    <row r="108">
      <c r="AL108" s="40"/>
      <c r="AM108" s="5"/>
      <c r="AO108" s="40"/>
      <c r="AP108" s="5"/>
      <c r="AR108" s="40"/>
      <c r="AS108" s="5"/>
      <c r="AU108" s="40"/>
      <c r="AV108" s="5"/>
      <c r="AX108" s="40"/>
      <c r="AY108" s="5"/>
      <c r="BA108" s="40"/>
      <c r="BB108" s="5"/>
      <c r="BD108" s="40"/>
      <c r="BE108" s="5"/>
      <c r="BG108" s="40"/>
      <c r="BH108" s="5"/>
      <c r="BJ108" s="40"/>
      <c r="BK108" s="5"/>
      <c r="BM108" s="40"/>
      <c r="BN108" s="5"/>
      <c r="BP108" s="40"/>
      <c r="BQ108" s="5"/>
      <c r="BS108" s="40"/>
      <c r="BT108" s="5"/>
      <c r="BV108" s="40"/>
      <c r="BW108" s="5"/>
      <c r="BY108" s="40"/>
      <c r="BZ108" s="5"/>
      <c r="CB108" s="40"/>
      <c r="CC108" s="5"/>
      <c r="CE108" s="40"/>
      <c r="CF108" s="5"/>
      <c r="CH108" s="40"/>
      <c r="CI108" s="5"/>
      <c r="CK108" s="40"/>
      <c r="CL108" s="5"/>
      <c r="CN108" s="40"/>
      <c r="CO108" s="5"/>
      <c r="CQ108" s="40"/>
      <c r="CR108" s="5"/>
    </row>
    <row r="109">
      <c r="AL109" s="40"/>
      <c r="AM109" s="5"/>
      <c r="AO109" s="40"/>
      <c r="AP109" s="5"/>
      <c r="AR109" s="40"/>
      <c r="AS109" s="5"/>
      <c r="AU109" s="40"/>
      <c r="AV109" s="5"/>
      <c r="AX109" s="40"/>
      <c r="AY109" s="5"/>
      <c r="BA109" s="40"/>
      <c r="BB109" s="5"/>
      <c r="BD109" s="40"/>
      <c r="BE109" s="5"/>
      <c r="BG109" s="40"/>
      <c r="BH109" s="5"/>
      <c r="BJ109" s="40"/>
      <c r="BK109" s="5"/>
      <c r="BM109" s="40"/>
      <c r="BN109" s="5"/>
      <c r="BP109" s="40"/>
      <c r="BQ109" s="5"/>
      <c r="BS109" s="40"/>
      <c r="BT109" s="5"/>
      <c r="BV109" s="40"/>
      <c r="BW109" s="5"/>
      <c r="BY109" s="40"/>
      <c r="BZ109" s="5"/>
      <c r="CB109" s="40"/>
      <c r="CC109" s="5"/>
      <c r="CE109" s="40"/>
      <c r="CF109" s="5"/>
      <c r="CH109" s="40"/>
      <c r="CI109" s="5"/>
      <c r="CK109" s="40"/>
      <c r="CL109" s="5"/>
      <c r="CN109" s="40"/>
      <c r="CO109" s="5"/>
      <c r="CQ109" s="40"/>
      <c r="CR109" s="5"/>
    </row>
    <row r="110">
      <c r="AL110" s="40"/>
      <c r="AM110" s="5"/>
      <c r="AO110" s="40"/>
      <c r="AP110" s="5"/>
      <c r="AR110" s="40"/>
      <c r="AS110" s="5"/>
      <c r="AU110" s="40"/>
      <c r="AV110" s="5"/>
      <c r="AX110" s="40"/>
      <c r="AY110" s="5"/>
      <c r="BA110" s="40"/>
      <c r="BB110" s="5"/>
      <c r="BD110" s="40"/>
      <c r="BE110" s="5"/>
      <c r="BG110" s="40"/>
      <c r="BH110" s="5"/>
      <c r="BJ110" s="40"/>
      <c r="BK110" s="5"/>
      <c r="BM110" s="40"/>
      <c r="BN110" s="5"/>
      <c r="BP110" s="40"/>
      <c r="BQ110" s="5"/>
      <c r="BS110" s="40"/>
      <c r="BT110" s="5"/>
      <c r="BV110" s="40"/>
      <c r="BW110" s="5"/>
      <c r="BY110" s="40"/>
      <c r="BZ110" s="5"/>
      <c r="CB110" s="40"/>
      <c r="CC110" s="5"/>
      <c r="CE110" s="40"/>
      <c r="CF110" s="5"/>
      <c r="CH110" s="40"/>
      <c r="CI110" s="5"/>
      <c r="CK110" s="40"/>
      <c r="CL110" s="5"/>
      <c r="CN110" s="40"/>
      <c r="CO110" s="5"/>
      <c r="CQ110" s="40"/>
      <c r="CR110" s="5"/>
    </row>
    <row r="111">
      <c r="AL111" s="40"/>
      <c r="AM111" s="5"/>
      <c r="AO111" s="40"/>
      <c r="AP111" s="5"/>
      <c r="AR111" s="40"/>
      <c r="AS111" s="5"/>
      <c r="AU111" s="40"/>
      <c r="AV111" s="5"/>
      <c r="AX111" s="40"/>
      <c r="AY111" s="5"/>
      <c r="BA111" s="40"/>
      <c r="BB111" s="5"/>
      <c r="BD111" s="40"/>
      <c r="BE111" s="5"/>
      <c r="BG111" s="40"/>
      <c r="BH111" s="5"/>
      <c r="BJ111" s="40"/>
      <c r="BK111" s="5"/>
      <c r="BM111" s="40"/>
      <c r="BN111" s="5"/>
      <c r="BP111" s="40"/>
      <c r="BQ111" s="5"/>
      <c r="BS111" s="40"/>
      <c r="BT111" s="5"/>
      <c r="BV111" s="40"/>
      <c r="BW111" s="5"/>
      <c r="BY111" s="40"/>
      <c r="BZ111" s="5"/>
      <c r="CB111" s="40"/>
      <c r="CC111" s="5"/>
      <c r="CE111" s="40"/>
      <c r="CF111" s="5"/>
      <c r="CH111" s="40"/>
      <c r="CI111" s="5"/>
      <c r="CK111" s="40"/>
      <c r="CL111" s="5"/>
      <c r="CN111" s="40"/>
      <c r="CO111" s="5"/>
      <c r="CQ111" s="40"/>
      <c r="CR111" s="5"/>
    </row>
    <row r="112">
      <c r="AL112" s="40"/>
      <c r="AM112" s="5"/>
      <c r="AO112" s="40"/>
      <c r="AP112" s="5"/>
      <c r="AR112" s="40"/>
      <c r="AS112" s="5"/>
      <c r="AU112" s="40"/>
      <c r="AV112" s="5"/>
      <c r="AX112" s="40"/>
      <c r="AY112" s="5"/>
      <c r="BA112" s="40"/>
      <c r="BB112" s="5"/>
      <c r="BD112" s="40"/>
      <c r="BE112" s="5"/>
      <c r="BG112" s="40"/>
      <c r="BH112" s="5"/>
      <c r="BJ112" s="40"/>
      <c r="BK112" s="5"/>
      <c r="BM112" s="40"/>
      <c r="BN112" s="5"/>
      <c r="BP112" s="40"/>
      <c r="BQ112" s="5"/>
      <c r="BS112" s="40"/>
      <c r="BT112" s="5"/>
      <c r="BV112" s="40"/>
      <c r="BW112" s="5"/>
      <c r="BY112" s="40"/>
      <c r="BZ112" s="5"/>
      <c r="CB112" s="40"/>
      <c r="CC112" s="5"/>
      <c r="CE112" s="40"/>
      <c r="CF112" s="5"/>
      <c r="CH112" s="40"/>
      <c r="CI112" s="5"/>
      <c r="CK112" s="40"/>
      <c r="CL112" s="5"/>
      <c r="CN112" s="40"/>
      <c r="CO112" s="5"/>
      <c r="CQ112" s="40"/>
      <c r="CR112" s="5"/>
    </row>
    <row r="113">
      <c r="AL113" s="40"/>
      <c r="AM113" s="5"/>
      <c r="AO113" s="40"/>
      <c r="AP113" s="5"/>
      <c r="AR113" s="40"/>
      <c r="AS113" s="5"/>
      <c r="AU113" s="40"/>
      <c r="AV113" s="5"/>
      <c r="AX113" s="40"/>
      <c r="AY113" s="5"/>
      <c r="BA113" s="40"/>
      <c r="BB113" s="5"/>
      <c r="BD113" s="40"/>
      <c r="BE113" s="5"/>
      <c r="BG113" s="40"/>
      <c r="BH113" s="5"/>
      <c r="BJ113" s="40"/>
      <c r="BK113" s="5"/>
      <c r="BM113" s="40"/>
      <c r="BN113" s="5"/>
      <c r="BP113" s="40"/>
      <c r="BQ113" s="5"/>
      <c r="BS113" s="40"/>
      <c r="BT113" s="5"/>
      <c r="BV113" s="40"/>
      <c r="BW113" s="5"/>
      <c r="BY113" s="40"/>
      <c r="BZ113" s="5"/>
      <c r="CB113" s="40"/>
      <c r="CC113" s="5"/>
      <c r="CE113" s="40"/>
      <c r="CF113" s="5"/>
      <c r="CH113" s="40"/>
      <c r="CI113" s="5"/>
      <c r="CK113" s="40"/>
      <c r="CL113" s="5"/>
      <c r="CN113" s="40"/>
      <c r="CO113" s="5"/>
      <c r="CQ113" s="40"/>
      <c r="CR113" s="5"/>
    </row>
    <row r="114">
      <c r="AL114" s="40"/>
      <c r="AM114" s="5"/>
      <c r="AO114" s="40"/>
      <c r="AP114" s="5"/>
      <c r="AR114" s="40"/>
      <c r="AS114" s="5"/>
      <c r="AU114" s="40"/>
      <c r="AV114" s="5"/>
      <c r="AX114" s="40"/>
      <c r="AY114" s="5"/>
      <c r="BA114" s="40"/>
      <c r="BB114" s="5"/>
      <c r="BD114" s="40"/>
      <c r="BE114" s="5"/>
      <c r="BG114" s="40"/>
      <c r="BH114" s="5"/>
      <c r="BJ114" s="40"/>
      <c r="BK114" s="5"/>
      <c r="BM114" s="40"/>
      <c r="BN114" s="5"/>
      <c r="BP114" s="40"/>
      <c r="BQ114" s="5"/>
      <c r="BS114" s="40"/>
      <c r="BT114" s="5"/>
      <c r="BV114" s="40"/>
      <c r="BW114" s="5"/>
      <c r="BY114" s="40"/>
      <c r="BZ114" s="5"/>
      <c r="CB114" s="40"/>
      <c r="CC114" s="5"/>
      <c r="CE114" s="40"/>
      <c r="CF114" s="5"/>
      <c r="CH114" s="40"/>
      <c r="CI114" s="5"/>
      <c r="CK114" s="40"/>
      <c r="CL114" s="5"/>
      <c r="CN114" s="40"/>
      <c r="CO114" s="5"/>
      <c r="CQ114" s="40"/>
      <c r="CR114" s="5"/>
    </row>
    <row r="115">
      <c r="AL115" s="40"/>
      <c r="AM115" s="5"/>
      <c r="AO115" s="40"/>
      <c r="AP115" s="5"/>
      <c r="AR115" s="40"/>
      <c r="AS115" s="5"/>
      <c r="AU115" s="40"/>
      <c r="AV115" s="5"/>
      <c r="AX115" s="40"/>
      <c r="AY115" s="5"/>
      <c r="BA115" s="40"/>
      <c r="BB115" s="5"/>
      <c r="BD115" s="40"/>
      <c r="BE115" s="5"/>
      <c r="BG115" s="40"/>
      <c r="BH115" s="5"/>
      <c r="BJ115" s="40"/>
      <c r="BK115" s="5"/>
      <c r="BM115" s="40"/>
      <c r="BN115" s="5"/>
      <c r="BP115" s="40"/>
      <c r="BQ115" s="5"/>
      <c r="BS115" s="40"/>
      <c r="BT115" s="5"/>
      <c r="BV115" s="40"/>
      <c r="BW115" s="5"/>
      <c r="BY115" s="40"/>
      <c r="BZ115" s="5"/>
      <c r="CB115" s="40"/>
      <c r="CC115" s="5"/>
      <c r="CE115" s="40"/>
      <c r="CF115" s="5"/>
      <c r="CH115" s="40"/>
      <c r="CI115" s="5"/>
      <c r="CK115" s="40"/>
      <c r="CL115" s="5"/>
      <c r="CN115" s="40"/>
      <c r="CO115" s="5"/>
      <c r="CQ115" s="40"/>
      <c r="CR115" s="5"/>
    </row>
    <row r="116">
      <c r="AL116" s="40"/>
      <c r="AM116" s="5"/>
      <c r="AO116" s="40"/>
      <c r="AP116" s="5"/>
      <c r="AR116" s="40"/>
      <c r="AS116" s="5"/>
      <c r="AU116" s="40"/>
      <c r="AV116" s="5"/>
      <c r="AX116" s="40"/>
      <c r="AY116" s="5"/>
      <c r="BA116" s="40"/>
      <c r="BB116" s="5"/>
      <c r="BD116" s="40"/>
      <c r="BE116" s="5"/>
      <c r="BG116" s="40"/>
      <c r="BH116" s="5"/>
      <c r="BJ116" s="40"/>
      <c r="BK116" s="5"/>
      <c r="BM116" s="40"/>
      <c r="BN116" s="5"/>
      <c r="BP116" s="40"/>
      <c r="BQ116" s="5"/>
      <c r="BS116" s="40"/>
      <c r="BT116" s="5"/>
      <c r="BV116" s="40"/>
      <c r="BW116" s="5"/>
      <c r="BY116" s="40"/>
      <c r="BZ116" s="5"/>
      <c r="CB116" s="40"/>
      <c r="CC116" s="5"/>
      <c r="CE116" s="40"/>
      <c r="CF116" s="5"/>
      <c r="CH116" s="40"/>
      <c r="CI116" s="5"/>
      <c r="CK116" s="40"/>
      <c r="CL116" s="5"/>
      <c r="CN116" s="40"/>
      <c r="CO116" s="5"/>
      <c r="CQ116" s="40"/>
      <c r="CR116" s="5"/>
    </row>
    <row r="117">
      <c r="AL117" s="40"/>
      <c r="AM117" s="5"/>
      <c r="AO117" s="40"/>
      <c r="AP117" s="5"/>
      <c r="AR117" s="40"/>
      <c r="AS117" s="5"/>
      <c r="AU117" s="40"/>
      <c r="AV117" s="5"/>
      <c r="AX117" s="40"/>
      <c r="AY117" s="5"/>
      <c r="BA117" s="40"/>
      <c r="BB117" s="5"/>
      <c r="BD117" s="40"/>
      <c r="BE117" s="5"/>
      <c r="BG117" s="40"/>
      <c r="BH117" s="5"/>
      <c r="BJ117" s="40"/>
      <c r="BK117" s="5"/>
      <c r="BM117" s="40"/>
      <c r="BN117" s="5"/>
      <c r="BP117" s="40"/>
      <c r="BQ117" s="5"/>
      <c r="BS117" s="40"/>
      <c r="BT117" s="5"/>
      <c r="BV117" s="40"/>
      <c r="BW117" s="5"/>
      <c r="BY117" s="40"/>
      <c r="BZ117" s="5"/>
      <c r="CB117" s="40"/>
      <c r="CC117" s="5"/>
      <c r="CE117" s="40"/>
      <c r="CF117" s="5"/>
      <c r="CH117" s="40"/>
      <c r="CI117" s="5"/>
      <c r="CK117" s="40"/>
      <c r="CL117" s="5"/>
      <c r="CN117" s="40"/>
      <c r="CO117" s="5"/>
      <c r="CQ117" s="40"/>
      <c r="CR117" s="5"/>
    </row>
    <row r="118">
      <c r="AL118" s="40"/>
      <c r="AM118" s="5"/>
      <c r="AO118" s="40"/>
      <c r="AP118" s="5"/>
      <c r="AR118" s="40"/>
      <c r="AS118" s="5"/>
      <c r="AU118" s="40"/>
      <c r="AV118" s="5"/>
      <c r="AX118" s="40"/>
      <c r="AY118" s="5"/>
      <c r="BA118" s="40"/>
      <c r="BB118" s="5"/>
      <c r="BD118" s="40"/>
      <c r="BE118" s="5"/>
      <c r="BG118" s="40"/>
      <c r="BH118" s="5"/>
      <c r="BJ118" s="40"/>
      <c r="BK118" s="5"/>
      <c r="BM118" s="40"/>
      <c r="BN118" s="5"/>
      <c r="BP118" s="40"/>
      <c r="BQ118" s="5"/>
      <c r="BS118" s="40"/>
      <c r="BT118" s="5"/>
      <c r="BV118" s="40"/>
      <c r="BW118" s="5"/>
      <c r="BY118" s="40"/>
      <c r="BZ118" s="5"/>
      <c r="CB118" s="40"/>
      <c r="CC118" s="5"/>
      <c r="CE118" s="40"/>
      <c r="CF118" s="5"/>
      <c r="CH118" s="40"/>
      <c r="CI118" s="5"/>
      <c r="CK118" s="40"/>
      <c r="CL118" s="5"/>
      <c r="CN118" s="40"/>
      <c r="CO118" s="5"/>
      <c r="CQ118" s="40"/>
      <c r="CR118" s="5"/>
    </row>
    <row r="119">
      <c r="AL119" s="40"/>
      <c r="AM119" s="5"/>
      <c r="AO119" s="40"/>
      <c r="AP119" s="5"/>
      <c r="AR119" s="40"/>
      <c r="AS119" s="5"/>
      <c r="AU119" s="40"/>
      <c r="AV119" s="5"/>
      <c r="AX119" s="40"/>
      <c r="AY119" s="5"/>
      <c r="BA119" s="40"/>
      <c r="BB119" s="5"/>
      <c r="BD119" s="40"/>
      <c r="BE119" s="5"/>
      <c r="BG119" s="40"/>
      <c r="BH119" s="5"/>
      <c r="BJ119" s="40"/>
      <c r="BK119" s="5"/>
      <c r="BM119" s="40"/>
      <c r="BN119" s="5"/>
      <c r="BP119" s="40"/>
      <c r="BQ119" s="5"/>
      <c r="BS119" s="40"/>
      <c r="BT119" s="5"/>
      <c r="BV119" s="40"/>
      <c r="BW119" s="5"/>
      <c r="BY119" s="40"/>
      <c r="BZ119" s="5"/>
      <c r="CB119" s="40"/>
      <c r="CC119" s="5"/>
      <c r="CE119" s="40"/>
      <c r="CF119" s="5"/>
      <c r="CH119" s="40"/>
      <c r="CI119" s="5"/>
      <c r="CK119" s="40"/>
      <c r="CL119" s="5"/>
      <c r="CN119" s="40"/>
      <c r="CO119" s="5"/>
      <c r="CQ119" s="40"/>
      <c r="CR119" s="5"/>
    </row>
    <row r="120">
      <c r="AL120" s="40"/>
      <c r="AM120" s="5"/>
      <c r="AO120" s="40"/>
      <c r="AP120" s="5"/>
      <c r="AR120" s="40"/>
      <c r="AS120" s="5"/>
      <c r="AU120" s="40"/>
      <c r="AV120" s="5"/>
      <c r="AX120" s="40"/>
      <c r="AY120" s="5"/>
      <c r="BA120" s="40"/>
      <c r="BB120" s="5"/>
      <c r="BD120" s="40"/>
      <c r="BE120" s="5"/>
      <c r="BG120" s="40"/>
      <c r="BH120" s="5"/>
      <c r="BJ120" s="40"/>
      <c r="BK120" s="5"/>
      <c r="BM120" s="40"/>
      <c r="BN120" s="5"/>
      <c r="BP120" s="40"/>
      <c r="BQ120" s="5"/>
      <c r="BS120" s="40"/>
      <c r="BT120" s="5"/>
      <c r="BV120" s="40"/>
      <c r="BW120" s="5"/>
      <c r="BY120" s="40"/>
      <c r="BZ120" s="5"/>
      <c r="CB120" s="40"/>
      <c r="CC120" s="5"/>
      <c r="CE120" s="40"/>
      <c r="CF120" s="5"/>
      <c r="CH120" s="40"/>
      <c r="CI120" s="5"/>
      <c r="CK120" s="40"/>
      <c r="CL120" s="5"/>
      <c r="CN120" s="40"/>
      <c r="CO120" s="5"/>
      <c r="CQ120" s="40"/>
      <c r="CR120" s="5"/>
    </row>
    <row r="121">
      <c r="AL121" s="40"/>
      <c r="AM121" s="5"/>
      <c r="AO121" s="40"/>
      <c r="AP121" s="5"/>
      <c r="AR121" s="40"/>
      <c r="AS121" s="5"/>
      <c r="AU121" s="40"/>
      <c r="AV121" s="5"/>
      <c r="AX121" s="40"/>
      <c r="AY121" s="5"/>
      <c r="BA121" s="40"/>
      <c r="BB121" s="5"/>
      <c r="BD121" s="40"/>
      <c r="BE121" s="5"/>
      <c r="BG121" s="40"/>
      <c r="BH121" s="5"/>
      <c r="BJ121" s="40"/>
      <c r="BK121" s="5"/>
      <c r="BM121" s="40"/>
      <c r="BN121" s="5"/>
      <c r="BP121" s="40"/>
      <c r="BQ121" s="5"/>
      <c r="BS121" s="40"/>
      <c r="BT121" s="5"/>
      <c r="BV121" s="40"/>
      <c r="BW121" s="5"/>
      <c r="BY121" s="40"/>
      <c r="BZ121" s="5"/>
      <c r="CB121" s="40"/>
      <c r="CC121" s="5"/>
      <c r="CE121" s="40"/>
      <c r="CF121" s="5"/>
      <c r="CH121" s="40"/>
      <c r="CI121" s="5"/>
      <c r="CK121" s="40"/>
      <c r="CL121" s="5"/>
      <c r="CN121" s="40"/>
      <c r="CO121" s="5"/>
      <c r="CQ121" s="40"/>
      <c r="CR121" s="5"/>
    </row>
    <row r="122">
      <c r="AL122" s="40"/>
      <c r="AM122" s="5"/>
      <c r="AO122" s="40"/>
      <c r="AP122" s="5"/>
      <c r="AR122" s="40"/>
      <c r="AS122" s="5"/>
      <c r="AU122" s="40"/>
      <c r="AV122" s="5"/>
      <c r="AX122" s="40"/>
      <c r="AY122" s="5"/>
      <c r="BA122" s="40"/>
      <c r="BB122" s="5"/>
      <c r="BD122" s="40"/>
      <c r="BE122" s="5"/>
      <c r="BG122" s="40"/>
      <c r="BH122" s="5"/>
      <c r="BJ122" s="40"/>
      <c r="BK122" s="5"/>
      <c r="BM122" s="40"/>
      <c r="BN122" s="5"/>
      <c r="BP122" s="40"/>
      <c r="BQ122" s="5"/>
      <c r="BS122" s="40"/>
      <c r="BT122" s="5"/>
      <c r="BV122" s="40"/>
      <c r="BW122" s="5"/>
      <c r="BY122" s="40"/>
      <c r="BZ122" s="5"/>
      <c r="CB122" s="40"/>
      <c r="CC122" s="5"/>
      <c r="CE122" s="40"/>
      <c r="CF122" s="5"/>
      <c r="CH122" s="40"/>
      <c r="CI122" s="5"/>
      <c r="CK122" s="40"/>
      <c r="CL122" s="5"/>
      <c r="CN122" s="40"/>
      <c r="CO122" s="5"/>
      <c r="CQ122" s="40"/>
      <c r="CR122" s="5"/>
    </row>
    <row r="123">
      <c r="AL123" s="40"/>
      <c r="AM123" s="5"/>
      <c r="AO123" s="40"/>
      <c r="AP123" s="5"/>
      <c r="AR123" s="40"/>
      <c r="AS123" s="5"/>
      <c r="AU123" s="40"/>
      <c r="AV123" s="5"/>
      <c r="AX123" s="40"/>
      <c r="AY123" s="5"/>
      <c r="BA123" s="40"/>
      <c r="BB123" s="5"/>
      <c r="BD123" s="40"/>
      <c r="BE123" s="5"/>
      <c r="BG123" s="40"/>
      <c r="BH123" s="5"/>
      <c r="BJ123" s="40"/>
      <c r="BK123" s="5"/>
      <c r="BM123" s="40"/>
      <c r="BN123" s="5"/>
      <c r="BP123" s="40"/>
      <c r="BQ123" s="5"/>
      <c r="BS123" s="40"/>
      <c r="BT123" s="5"/>
      <c r="BV123" s="40"/>
      <c r="BW123" s="5"/>
      <c r="BY123" s="40"/>
      <c r="BZ123" s="5"/>
      <c r="CB123" s="40"/>
      <c r="CC123" s="5"/>
      <c r="CE123" s="40"/>
      <c r="CF123" s="5"/>
      <c r="CH123" s="40"/>
      <c r="CI123" s="5"/>
      <c r="CK123" s="40"/>
      <c r="CL123" s="5"/>
      <c r="CN123" s="40"/>
      <c r="CO123" s="5"/>
      <c r="CQ123" s="40"/>
      <c r="CR123" s="5"/>
    </row>
    <row r="124">
      <c r="AL124" s="40"/>
      <c r="AM124" s="5"/>
      <c r="AO124" s="40"/>
      <c r="AP124" s="5"/>
      <c r="AR124" s="40"/>
      <c r="AS124" s="5"/>
      <c r="AU124" s="40"/>
      <c r="AV124" s="5"/>
      <c r="AX124" s="40"/>
      <c r="AY124" s="5"/>
      <c r="BA124" s="40"/>
      <c r="BB124" s="5"/>
      <c r="BD124" s="40"/>
      <c r="BE124" s="5"/>
      <c r="BG124" s="40"/>
      <c r="BH124" s="5"/>
      <c r="BJ124" s="40"/>
      <c r="BK124" s="5"/>
      <c r="BM124" s="40"/>
      <c r="BN124" s="5"/>
      <c r="BP124" s="40"/>
      <c r="BQ124" s="5"/>
      <c r="BS124" s="40"/>
      <c r="BT124" s="5"/>
      <c r="BV124" s="40"/>
      <c r="BW124" s="5"/>
      <c r="BY124" s="40"/>
      <c r="BZ124" s="5"/>
      <c r="CB124" s="40"/>
      <c r="CC124" s="5"/>
      <c r="CE124" s="40"/>
      <c r="CF124" s="5"/>
      <c r="CH124" s="40"/>
      <c r="CI124" s="5"/>
      <c r="CK124" s="40"/>
      <c r="CL124" s="5"/>
      <c r="CN124" s="40"/>
      <c r="CO124" s="5"/>
      <c r="CQ124" s="40"/>
      <c r="CR124" s="5"/>
    </row>
    <row r="125">
      <c r="AL125" s="40"/>
      <c r="AM125" s="5"/>
      <c r="AO125" s="40"/>
      <c r="AP125" s="5"/>
      <c r="AR125" s="40"/>
      <c r="AS125" s="5"/>
      <c r="AU125" s="40"/>
      <c r="AV125" s="5"/>
      <c r="AX125" s="40"/>
      <c r="AY125" s="5"/>
      <c r="BA125" s="40"/>
      <c r="BB125" s="5"/>
      <c r="BD125" s="40"/>
      <c r="BE125" s="5"/>
      <c r="BG125" s="40"/>
      <c r="BH125" s="5"/>
      <c r="BJ125" s="40"/>
      <c r="BK125" s="5"/>
      <c r="BM125" s="40"/>
      <c r="BN125" s="5"/>
      <c r="BP125" s="40"/>
      <c r="BQ125" s="5"/>
      <c r="BS125" s="40"/>
      <c r="BT125" s="5"/>
      <c r="BV125" s="40"/>
      <c r="BW125" s="5"/>
      <c r="BY125" s="40"/>
      <c r="BZ125" s="5"/>
      <c r="CB125" s="40"/>
      <c r="CC125" s="5"/>
      <c r="CE125" s="40"/>
      <c r="CF125" s="5"/>
      <c r="CH125" s="40"/>
      <c r="CI125" s="5"/>
      <c r="CK125" s="40"/>
      <c r="CL125" s="5"/>
      <c r="CN125" s="40"/>
      <c r="CO125" s="5"/>
      <c r="CQ125" s="40"/>
      <c r="CR125" s="5"/>
    </row>
    <row r="126">
      <c r="AL126" s="40"/>
      <c r="AM126" s="5"/>
      <c r="AO126" s="40"/>
      <c r="AP126" s="5"/>
      <c r="AR126" s="40"/>
      <c r="AS126" s="5"/>
      <c r="AU126" s="40"/>
      <c r="AV126" s="5"/>
      <c r="AX126" s="40"/>
      <c r="AY126" s="5"/>
      <c r="BA126" s="40"/>
      <c r="BB126" s="5"/>
      <c r="BD126" s="40"/>
      <c r="BE126" s="5"/>
      <c r="BG126" s="40"/>
      <c r="BH126" s="5"/>
      <c r="BJ126" s="40"/>
      <c r="BK126" s="5"/>
      <c r="BM126" s="40"/>
      <c r="BN126" s="5"/>
      <c r="BP126" s="40"/>
      <c r="BQ126" s="5"/>
      <c r="BS126" s="40"/>
      <c r="BT126" s="5"/>
      <c r="BV126" s="40"/>
      <c r="BW126" s="5"/>
      <c r="BY126" s="40"/>
      <c r="BZ126" s="5"/>
      <c r="CB126" s="40"/>
      <c r="CC126" s="5"/>
      <c r="CE126" s="40"/>
      <c r="CF126" s="5"/>
      <c r="CH126" s="40"/>
      <c r="CI126" s="5"/>
      <c r="CK126" s="40"/>
      <c r="CL126" s="5"/>
      <c r="CN126" s="40"/>
      <c r="CO126" s="5"/>
      <c r="CQ126" s="40"/>
      <c r="CR126" s="5"/>
    </row>
    <row r="127">
      <c r="AL127" s="40"/>
      <c r="AM127" s="5"/>
      <c r="AO127" s="40"/>
      <c r="AP127" s="5"/>
      <c r="AR127" s="40"/>
      <c r="AS127" s="5"/>
      <c r="AU127" s="40"/>
      <c r="AV127" s="5"/>
      <c r="AX127" s="40"/>
      <c r="AY127" s="5"/>
      <c r="BA127" s="40"/>
      <c r="BB127" s="5"/>
      <c r="BD127" s="40"/>
      <c r="BE127" s="5"/>
      <c r="BG127" s="40"/>
      <c r="BH127" s="5"/>
      <c r="BJ127" s="40"/>
      <c r="BK127" s="5"/>
      <c r="BM127" s="40"/>
      <c r="BN127" s="5"/>
      <c r="BP127" s="40"/>
      <c r="BQ127" s="5"/>
      <c r="BS127" s="40"/>
      <c r="BT127" s="5"/>
      <c r="BV127" s="40"/>
      <c r="BW127" s="5"/>
      <c r="BY127" s="40"/>
      <c r="BZ127" s="5"/>
      <c r="CB127" s="40"/>
      <c r="CC127" s="5"/>
      <c r="CE127" s="40"/>
      <c r="CF127" s="5"/>
      <c r="CH127" s="40"/>
      <c r="CI127" s="5"/>
      <c r="CK127" s="40"/>
      <c r="CL127" s="5"/>
      <c r="CN127" s="40"/>
      <c r="CO127" s="5"/>
      <c r="CQ127" s="40"/>
      <c r="CR127" s="5"/>
    </row>
    <row r="128">
      <c r="AL128" s="40"/>
      <c r="AM128" s="5"/>
      <c r="AO128" s="40"/>
      <c r="AP128" s="5"/>
      <c r="AR128" s="40"/>
      <c r="AS128" s="5"/>
      <c r="AU128" s="40"/>
      <c r="AV128" s="5"/>
      <c r="AX128" s="40"/>
      <c r="AY128" s="5"/>
      <c r="BA128" s="40"/>
      <c r="BB128" s="5"/>
      <c r="BD128" s="40"/>
      <c r="BE128" s="5"/>
      <c r="BG128" s="40"/>
      <c r="BH128" s="5"/>
      <c r="BJ128" s="40"/>
      <c r="BK128" s="5"/>
      <c r="BM128" s="40"/>
      <c r="BN128" s="5"/>
      <c r="BP128" s="40"/>
      <c r="BQ128" s="5"/>
      <c r="BS128" s="40"/>
      <c r="BT128" s="5"/>
      <c r="BV128" s="40"/>
      <c r="BW128" s="5"/>
      <c r="BY128" s="40"/>
      <c r="BZ128" s="5"/>
      <c r="CB128" s="40"/>
      <c r="CC128" s="5"/>
      <c r="CE128" s="40"/>
      <c r="CF128" s="5"/>
      <c r="CH128" s="40"/>
      <c r="CI128" s="5"/>
      <c r="CK128" s="40"/>
      <c r="CL128" s="5"/>
      <c r="CN128" s="40"/>
      <c r="CO128" s="5"/>
      <c r="CQ128" s="40"/>
      <c r="CR128" s="5"/>
    </row>
    <row r="129">
      <c r="AL129" s="40"/>
      <c r="AM129" s="5"/>
      <c r="AO129" s="40"/>
      <c r="AP129" s="5"/>
      <c r="AR129" s="40"/>
      <c r="AS129" s="5"/>
      <c r="AU129" s="40"/>
      <c r="AV129" s="5"/>
      <c r="AX129" s="40"/>
      <c r="AY129" s="5"/>
      <c r="BA129" s="40"/>
      <c r="BB129" s="5"/>
      <c r="BD129" s="40"/>
      <c r="BE129" s="5"/>
      <c r="BG129" s="40"/>
      <c r="BH129" s="5"/>
      <c r="BJ129" s="40"/>
      <c r="BK129" s="5"/>
      <c r="BM129" s="40"/>
      <c r="BN129" s="5"/>
      <c r="BP129" s="40"/>
      <c r="BQ129" s="5"/>
      <c r="BS129" s="40"/>
      <c r="BT129" s="5"/>
      <c r="BV129" s="40"/>
      <c r="BW129" s="5"/>
      <c r="BY129" s="40"/>
      <c r="BZ129" s="5"/>
      <c r="CB129" s="40"/>
      <c r="CC129" s="5"/>
      <c r="CE129" s="40"/>
      <c r="CF129" s="5"/>
      <c r="CH129" s="40"/>
      <c r="CI129" s="5"/>
      <c r="CK129" s="40"/>
      <c r="CL129" s="5"/>
      <c r="CN129" s="40"/>
      <c r="CO129" s="5"/>
      <c r="CQ129" s="40"/>
      <c r="CR129" s="5"/>
    </row>
    <row r="130">
      <c r="AL130" s="40"/>
      <c r="AM130" s="5"/>
      <c r="AO130" s="40"/>
      <c r="AP130" s="5"/>
      <c r="AR130" s="40"/>
      <c r="AS130" s="5"/>
      <c r="AU130" s="40"/>
      <c r="AV130" s="5"/>
      <c r="AX130" s="40"/>
      <c r="AY130" s="5"/>
      <c r="BA130" s="40"/>
      <c r="BB130" s="5"/>
      <c r="BD130" s="40"/>
      <c r="BE130" s="5"/>
      <c r="BG130" s="40"/>
      <c r="BH130" s="5"/>
      <c r="BJ130" s="40"/>
      <c r="BK130" s="5"/>
      <c r="BM130" s="40"/>
      <c r="BN130" s="5"/>
      <c r="BP130" s="40"/>
      <c r="BQ130" s="5"/>
      <c r="BS130" s="40"/>
      <c r="BT130" s="5"/>
      <c r="BV130" s="40"/>
      <c r="BW130" s="5"/>
      <c r="BY130" s="40"/>
      <c r="BZ130" s="5"/>
      <c r="CB130" s="40"/>
      <c r="CC130" s="5"/>
      <c r="CE130" s="40"/>
      <c r="CF130" s="5"/>
      <c r="CH130" s="40"/>
      <c r="CI130" s="5"/>
      <c r="CK130" s="40"/>
      <c r="CL130" s="5"/>
      <c r="CN130" s="40"/>
      <c r="CO130" s="5"/>
      <c r="CQ130" s="40"/>
      <c r="CR130" s="5"/>
    </row>
    <row r="131">
      <c r="AL131" s="40"/>
      <c r="AM131" s="5"/>
      <c r="AO131" s="40"/>
      <c r="AP131" s="5"/>
      <c r="AR131" s="40"/>
      <c r="AS131" s="5"/>
      <c r="AU131" s="40"/>
      <c r="AV131" s="5"/>
      <c r="AX131" s="40"/>
      <c r="AY131" s="5"/>
      <c r="BA131" s="40"/>
      <c r="BB131" s="5"/>
      <c r="BD131" s="40"/>
      <c r="BE131" s="5"/>
      <c r="BG131" s="40"/>
      <c r="BH131" s="5"/>
      <c r="BJ131" s="40"/>
      <c r="BK131" s="5"/>
      <c r="BM131" s="40"/>
      <c r="BN131" s="5"/>
      <c r="BP131" s="40"/>
      <c r="BQ131" s="5"/>
      <c r="BS131" s="40"/>
      <c r="BT131" s="5"/>
      <c r="BV131" s="40"/>
      <c r="BW131" s="5"/>
      <c r="BY131" s="40"/>
      <c r="BZ131" s="5"/>
      <c r="CB131" s="40"/>
      <c r="CC131" s="5"/>
      <c r="CE131" s="40"/>
      <c r="CF131" s="5"/>
      <c r="CH131" s="40"/>
      <c r="CI131" s="5"/>
      <c r="CK131" s="40"/>
      <c r="CL131" s="5"/>
      <c r="CN131" s="40"/>
      <c r="CO131" s="5"/>
      <c r="CQ131" s="40"/>
      <c r="CR131" s="5"/>
    </row>
    <row r="132">
      <c r="AL132" s="40"/>
      <c r="AM132" s="5"/>
      <c r="AO132" s="40"/>
      <c r="AP132" s="5"/>
      <c r="AR132" s="40"/>
      <c r="AS132" s="5"/>
      <c r="AU132" s="40"/>
      <c r="AV132" s="5"/>
      <c r="AX132" s="40"/>
      <c r="AY132" s="5"/>
      <c r="BA132" s="40"/>
      <c r="BB132" s="5"/>
      <c r="BD132" s="40"/>
      <c r="BE132" s="5"/>
      <c r="BG132" s="40"/>
      <c r="BH132" s="5"/>
      <c r="BJ132" s="40"/>
      <c r="BK132" s="5"/>
      <c r="BM132" s="40"/>
      <c r="BN132" s="5"/>
      <c r="BP132" s="40"/>
      <c r="BQ132" s="5"/>
      <c r="BS132" s="40"/>
      <c r="BT132" s="5"/>
      <c r="BV132" s="40"/>
      <c r="BW132" s="5"/>
      <c r="BY132" s="40"/>
      <c r="BZ132" s="5"/>
      <c r="CB132" s="40"/>
      <c r="CC132" s="5"/>
      <c r="CE132" s="40"/>
      <c r="CF132" s="5"/>
      <c r="CH132" s="40"/>
      <c r="CI132" s="5"/>
      <c r="CK132" s="40"/>
      <c r="CL132" s="5"/>
      <c r="CN132" s="40"/>
      <c r="CO132" s="5"/>
      <c r="CQ132" s="40"/>
      <c r="CR132" s="5"/>
    </row>
    <row r="133">
      <c r="AL133" s="40"/>
      <c r="AM133" s="5"/>
      <c r="AO133" s="40"/>
      <c r="AP133" s="5"/>
      <c r="AR133" s="40"/>
      <c r="AS133" s="5"/>
      <c r="AU133" s="40"/>
      <c r="AV133" s="5"/>
      <c r="AX133" s="40"/>
      <c r="AY133" s="5"/>
      <c r="BA133" s="40"/>
      <c r="BB133" s="5"/>
      <c r="BD133" s="40"/>
      <c r="BE133" s="5"/>
      <c r="BG133" s="40"/>
      <c r="BH133" s="5"/>
      <c r="BJ133" s="40"/>
      <c r="BK133" s="5"/>
      <c r="BM133" s="40"/>
      <c r="BN133" s="5"/>
      <c r="BP133" s="40"/>
      <c r="BQ133" s="5"/>
      <c r="BS133" s="40"/>
      <c r="BT133" s="5"/>
      <c r="BV133" s="40"/>
      <c r="BW133" s="5"/>
      <c r="BY133" s="40"/>
      <c r="BZ133" s="5"/>
      <c r="CB133" s="40"/>
      <c r="CC133" s="5"/>
      <c r="CE133" s="40"/>
      <c r="CF133" s="5"/>
      <c r="CH133" s="40"/>
      <c r="CI133" s="5"/>
      <c r="CK133" s="40"/>
      <c r="CL133" s="5"/>
      <c r="CN133" s="40"/>
      <c r="CO133" s="5"/>
      <c r="CQ133" s="40"/>
      <c r="CR133" s="5"/>
    </row>
    <row r="134">
      <c r="AL134" s="40"/>
      <c r="AM134" s="5"/>
      <c r="AO134" s="40"/>
      <c r="AP134" s="5"/>
      <c r="AR134" s="40"/>
      <c r="AS134" s="5"/>
      <c r="AU134" s="40"/>
      <c r="AV134" s="5"/>
      <c r="AX134" s="40"/>
      <c r="AY134" s="5"/>
      <c r="BA134" s="40"/>
      <c r="BB134" s="5"/>
      <c r="BD134" s="40"/>
      <c r="BE134" s="5"/>
      <c r="BG134" s="40"/>
      <c r="BH134" s="5"/>
      <c r="BJ134" s="40"/>
      <c r="BK134" s="5"/>
      <c r="BM134" s="40"/>
      <c r="BN134" s="5"/>
      <c r="BP134" s="40"/>
      <c r="BQ134" s="5"/>
      <c r="BS134" s="40"/>
      <c r="BT134" s="5"/>
      <c r="BV134" s="40"/>
      <c r="BW134" s="5"/>
      <c r="BY134" s="40"/>
      <c r="BZ134" s="5"/>
      <c r="CB134" s="40"/>
      <c r="CC134" s="5"/>
      <c r="CE134" s="40"/>
      <c r="CF134" s="5"/>
      <c r="CH134" s="40"/>
      <c r="CI134" s="5"/>
      <c r="CK134" s="40"/>
      <c r="CL134" s="5"/>
      <c r="CN134" s="40"/>
      <c r="CO134" s="5"/>
      <c r="CQ134" s="40"/>
      <c r="CR134" s="5"/>
    </row>
    <row r="135">
      <c r="AL135" s="40"/>
      <c r="AM135" s="5"/>
      <c r="AO135" s="40"/>
      <c r="AP135" s="5"/>
      <c r="AR135" s="40"/>
      <c r="AS135" s="5"/>
      <c r="AU135" s="40"/>
      <c r="AV135" s="5"/>
      <c r="AX135" s="40"/>
      <c r="AY135" s="5"/>
      <c r="BA135" s="40"/>
      <c r="BB135" s="5"/>
      <c r="BD135" s="40"/>
      <c r="BE135" s="5"/>
      <c r="BG135" s="40"/>
      <c r="BH135" s="5"/>
      <c r="BJ135" s="40"/>
      <c r="BK135" s="5"/>
      <c r="BM135" s="40"/>
      <c r="BN135" s="5"/>
      <c r="BP135" s="40"/>
      <c r="BQ135" s="5"/>
      <c r="BS135" s="40"/>
      <c r="BT135" s="5"/>
      <c r="BV135" s="40"/>
      <c r="BW135" s="5"/>
      <c r="BY135" s="40"/>
      <c r="BZ135" s="5"/>
      <c r="CB135" s="40"/>
      <c r="CC135" s="5"/>
      <c r="CE135" s="40"/>
      <c r="CF135" s="5"/>
      <c r="CH135" s="40"/>
      <c r="CI135" s="5"/>
      <c r="CK135" s="40"/>
      <c r="CL135" s="5"/>
      <c r="CN135" s="40"/>
      <c r="CO135" s="5"/>
      <c r="CQ135" s="40"/>
      <c r="CR135" s="5"/>
    </row>
    <row r="136">
      <c r="AL136" s="40"/>
      <c r="AM136" s="5"/>
      <c r="AO136" s="40"/>
      <c r="AP136" s="5"/>
      <c r="AR136" s="40"/>
      <c r="AS136" s="5"/>
      <c r="AU136" s="40"/>
      <c r="AV136" s="5"/>
      <c r="AX136" s="40"/>
      <c r="AY136" s="5"/>
      <c r="BA136" s="40"/>
      <c r="BB136" s="5"/>
      <c r="BD136" s="40"/>
      <c r="BE136" s="5"/>
      <c r="BG136" s="40"/>
      <c r="BH136" s="5"/>
      <c r="BJ136" s="40"/>
      <c r="BK136" s="5"/>
      <c r="BM136" s="40"/>
      <c r="BN136" s="5"/>
      <c r="BP136" s="40"/>
      <c r="BQ136" s="5"/>
      <c r="BS136" s="40"/>
      <c r="BT136" s="5"/>
      <c r="BV136" s="40"/>
      <c r="BW136" s="5"/>
      <c r="BY136" s="40"/>
      <c r="BZ136" s="5"/>
      <c r="CB136" s="40"/>
      <c r="CC136" s="5"/>
      <c r="CE136" s="40"/>
      <c r="CF136" s="5"/>
      <c r="CH136" s="40"/>
      <c r="CI136" s="5"/>
      <c r="CK136" s="40"/>
      <c r="CL136" s="5"/>
      <c r="CN136" s="40"/>
      <c r="CO136" s="5"/>
      <c r="CQ136" s="40"/>
      <c r="CR136" s="5"/>
    </row>
    <row r="137">
      <c r="AL137" s="40"/>
      <c r="AM137" s="5"/>
      <c r="AO137" s="40"/>
      <c r="AP137" s="5"/>
      <c r="AR137" s="40"/>
      <c r="AS137" s="5"/>
      <c r="AU137" s="40"/>
      <c r="AV137" s="5"/>
      <c r="AX137" s="40"/>
      <c r="AY137" s="5"/>
      <c r="BA137" s="40"/>
      <c r="BB137" s="5"/>
      <c r="BD137" s="40"/>
      <c r="BE137" s="5"/>
      <c r="BG137" s="40"/>
      <c r="BH137" s="5"/>
      <c r="BJ137" s="40"/>
      <c r="BK137" s="5"/>
      <c r="BM137" s="40"/>
      <c r="BN137" s="5"/>
      <c r="BP137" s="40"/>
      <c r="BQ137" s="5"/>
      <c r="BS137" s="40"/>
      <c r="BT137" s="5"/>
      <c r="BV137" s="40"/>
      <c r="BW137" s="5"/>
      <c r="BY137" s="40"/>
      <c r="BZ137" s="5"/>
      <c r="CB137" s="40"/>
      <c r="CC137" s="5"/>
      <c r="CE137" s="40"/>
      <c r="CF137" s="5"/>
      <c r="CH137" s="40"/>
      <c r="CI137" s="5"/>
      <c r="CK137" s="40"/>
      <c r="CL137" s="5"/>
      <c r="CN137" s="40"/>
      <c r="CO137" s="5"/>
      <c r="CQ137" s="40"/>
      <c r="CR137" s="5"/>
    </row>
    <row r="138">
      <c r="AL138" s="40"/>
      <c r="AM138" s="5"/>
      <c r="AO138" s="40"/>
      <c r="AP138" s="5"/>
      <c r="AR138" s="40"/>
      <c r="AS138" s="5"/>
      <c r="AU138" s="40"/>
      <c r="AV138" s="5"/>
      <c r="AX138" s="40"/>
      <c r="AY138" s="5"/>
      <c r="BA138" s="40"/>
      <c r="BB138" s="5"/>
      <c r="BD138" s="40"/>
      <c r="BE138" s="5"/>
      <c r="BG138" s="40"/>
      <c r="BH138" s="5"/>
      <c r="BJ138" s="40"/>
      <c r="BK138" s="5"/>
      <c r="BM138" s="40"/>
      <c r="BN138" s="5"/>
      <c r="BP138" s="40"/>
      <c r="BQ138" s="5"/>
      <c r="BS138" s="40"/>
      <c r="BT138" s="5"/>
      <c r="BV138" s="40"/>
      <c r="BW138" s="5"/>
      <c r="BY138" s="40"/>
      <c r="BZ138" s="5"/>
      <c r="CB138" s="40"/>
      <c r="CC138" s="5"/>
      <c r="CE138" s="40"/>
      <c r="CF138" s="5"/>
      <c r="CH138" s="40"/>
      <c r="CI138" s="5"/>
      <c r="CK138" s="40"/>
      <c r="CL138" s="5"/>
      <c r="CN138" s="40"/>
      <c r="CO138" s="5"/>
      <c r="CQ138" s="40"/>
      <c r="CR138" s="5"/>
    </row>
    <row r="139">
      <c r="AL139" s="40"/>
      <c r="AM139" s="5"/>
      <c r="AO139" s="40"/>
      <c r="AP139" s="5"/>
      <c r="AR139" s="40"/>
      <c r="AS139" s="5"/>
      <c r="AU139" s="40"/>
      <c r="AV139" s="5"/>
      <c r="AX139" s="40"/>
      <c r="AY139" s="5"/>
      <c r="BA139" s="40"/>
      <c r="BB139" s="5"/>
      <c r="BD139" s="40"/>
      <c r="BE139" s="5"/>
      <c r="BG139" s="40"/>
      <c r="BH139" s="5"/>
      <c r="BJ139" s="40"/>
      <c r="BK139" s="5"/>
      <c r="BM139" s="40"/>
      <c r="BN139" s="5"/>
      <c r="BP139" s="40"/>
      <c r="BQ139" s="5"/>
      <c r="BS139" s="40"/>
      <c r="BT139" s="5"/>
      <c r="BV139" s="40"/>
      <c r="BW139" s="5"/>
      <c r="BY139" s="40"/>
      <c r="BZ139" s="5"/>
      <c r="CB139" s="40"/>
      <c r="CC139" s="5"/>
      <c r="CE139" s="40"/>
      <c r="CF139" s="5"/>
      <c r="CH139" s="40"/>
      <c r="CI139" s="5"/>
      <c r="CK139" s="40"/>
      <c r="CL139" s="5"/>
      <c r="CN139" s="40"/>
      <c r="CO139" s="5"/>
      <c r="CQ139" s="40"/>
      <c r="CR139" s="5"/>
    </row>
    <row r="140">
      <c r="AL140" s="40"/>
      <c r="AM140" s="5"/>
      <c r="AO140" s="40"/>
      <c r="AP140" s="5"/>
      <c r="AR140" s="40"/>
      <c r="AS140" s="5"/>
      <c r="AU140" s="40"/>
      <c r="AV140" s="5"/>
      <c r="AX140" s="40"/>
      <c r="AY140" s="5"/>
      <c r="BA140" s="40"/>
      <c r="BB140" s="5"/>
      <c r="BD140" s="40"/>
      <c r="BE140" s="5"/>
      <c r="BG140" s="40"/>
      <c r="BH140" s="5"/>
      <c r="BJ140" s="40"/>
      <c r="BK140" s="5"/>
      <c r="BM140" s="40"/>
      <c r="BN140" s="5"/>
      <c r="BP140" s="40"/>
      <c r="BQ140" s="5"/>
      <c r="BS140" s="40"/>
      <c r="BT140" s="5"/>
      <c r="BV140" s="40"/>
      <c r="BW140" s="5"/>
      <c r="BY140" s="40"/>
      <c r="BZ140" s="5"/>
      <c r="CB140" s="40"/>
      <c r="CC140" s="5"/>
      <c r="CE140" s="40"/>
      <c r="CF140" s="5"/>
      <c r="CH140" s="40"/>
      <c r="CI140" s="5"/>
      <c r="CK140" s="40"/>
      <c r="CL140" s="5"/>
      <c r="CN140" s="40"/>
      <c r="CO140" s="5"/>
      <c r="CQ140" s="40"/>
      <c r="CR140" s="5"/>
    </row>
    <row r="141">
      <c r="AL141" s="40"/>
      <c r="AM141" s="5"/>
      <c r="AO141" s="40"/>
      <c r="AP141" s="5"/>
      <c r="AR141" s="40"/>
      <c r="AS141" s="5"/>
      <c r="AU141" s="40"/>
      <c r="AV141" s="5"/>
      <c r="AX141" s="40"/>
      <c r="AY141" s="5"/>
      <c r="BA141" s="40"/>
      <c r="BB141" s="5"/>
      <c r="BD141" s="40"/>
      <c r="BE141" s="5"/>
      <c r="BG141" s="40"/>
      <c r="BH141" s="5"/>
      <c r="BJ141" s="40"/>
      <c r="BK141" s="5"/>
      <c r="BM141" s="40"/>
      <c r="BN141" s="5"/>
      <c r="BP141" s="40"/>
      <c r="BQ141" s="5"/>
      <c r="BS141" s="40"/>
      <c r="BT141" s="5"/>
      <c r="BV141" s="40"/>
      <c r="BW141" s="5"/>
      <c r="BY141" s="40"/>
      <c r="BZ141" s="5"/>
      <c r="CB141" s="40"/>
      <c r="CC141" s="5"/>
      <c r="CE141" s="40"/>
      <c r="CF141" s="5"/>
      <c r="CH141" s="40"/>
      <c r="CI141" s="5"/>
      <c r="CK141" s="40"/>
      <c r="CL141" s="5"/>
      <c r="CN141" s="40"/>
      <c r="CO141" s="5"/>
      <c r="CQ141" s="40"/>
      <c r="CR141" s="5"/>
    </row>
    <row r="142">
      <c r="AL142" s="40"/>
      <c r="AM142" s="5"/>
      <c r="AO142" s="40"/>
      <c r="AP142" s="5"/>
      <c r="AR142" s="40"/>
      <c r="AS142" s="5"/>
      <c r="AU142" s="40"/>
      <c r="AV142" s="5"/>
      <c r="AX142" s="40"/>
      <c r="AY142" s="5"/>
      <c r="BA142" s="40"/>
      <c r="BB142" s="5"/>
      <c r="BD142" s="40"/>
      <c r="BE142" s="5"/>
      <c r="BG142" s="40"/>
      <c r="BH142" s="5"/>
      <c r="BJ142" s="40"/>
      <c r="BK142" s="5"/>
      <c r="BM142" s="40"/>
      <c r="BN142" s="5"/>
      <c r="BP142" s="40"/>
      <c r="BQ142" s="5"/>
      <c r="BS142" s="40"/>
      <c r="BT142" s="5"/>
      <c r="BV142" s="40"/>
      <c r="BW142" s="5"/>
      <c r="BY142" s="40"/>
      <c r="BZ142" s="5"/>
      <c r="CB142" s="40"/>
      <c r="CC142" s="5"/>
      <c r="CE142" s="40"/>
      <c r="CF142" s="5"/>
      <c r="CH142" s="40"/>
      <c r="CI142" s="5"/>
      <c r="CK142" s="40"/>
      <c r="CL142" s="5"/>
      <c r="CN142" s="40"/>
      <c r="CO142" s="5"/>
      <c r="CQ142" s="40"/>
      <c r="CR142" s="5"/>
    </row>
    <row r="143">
      <c r="AL143" s="40"/>
      <c r="AM143" s="5"/>
      <c r="AO143" s="40"/>
      <c r="AP143" s="5"/>
      <c r="AR143" s="40"/>
      <c r="AS143" s="5"/>
      <c r="AU143" s="40"/>
      <c r="AV143" s="5"/>
      <c r="AX143" s="40"/>
      <c r="AY143" s="5"/>
      <c r="BA143" s="40"/>
      <c r="BB143" s="5"/>
      <c r="BD143" s="40"/>
      <c r="BE143" s="5"/>
      <c r="BG143" s="40"/>
      <c r="BH143" s="5"/>
      <c r="BJ143" s="40"/>
      <c r="BK143" s="5"/>
      <c r="BM143" s="40"/>
      <c r="BN143" s="5"/>
      <c r="BP143" s="40"/>
      <c r="BQ143" s="5"/>
      <c r="BS143" s="40"/>
      <c r="BT143" s="5"/>
      <c r="BV143" s="40"/>
      <c r="BW143" s="5"/>
      <c r="BY143" s="40"/>
      <c r="BZ143" s="5"/>
      <c r="CB143" s="40"/>
      <c r="CC143" s="5"/>
      <c r="CE143" s="40"/>
      <c r="CF143" s="5"/>
      <c r="CH143" s="40"/>
      <c r="CI143" s="5"/>
      <c r="CK143" s="40"/>
      <c r="CL143" s="5"/>
      <c r="CN143" s="40"/>
      <c r="CO143" s="5"/>
      <c r="CQ143" s="40"/>
      <c r="CR143" s="5"/>
    </row>
    <row r="144">
      <c r="AL144" s="40"/>
      <c r="AM144" s="5"/>
      <c r="AO144" s="40"/>
      <c r="AP144" s="5"/>
      <c r="AR144" s="40"/>
      <c r="AS144" s="5"/>
      <c r="AU144" s="40"/>
      <c r="AV144" s="5"/>
      <c r="AX144" s="40"/>
      <c r="AY144" s="5"/>
      <c r="BA144" s="40"/>
      <c r="BB144" s="5"/>
      <c r="BD144" s="40"/>
      <c r="BE144" s="5"/>
      <c r="BG144" s="40"/>
      <c r="BH144" s="5"/>
      <c r="BJ144" s="40"/>
      <c r="BK144" s="5"/>
      <c r="BM144" s="40"/>
      <c r="BN144" s="5"/>
      <c r="BP144" s="40"/>
      <c r="BQ144" s="5"/>
      <c r="BS144" s="40"/>
      <c r="BT144" s="5"/>
      <c r="BV144" s="40"/>
      <c r="BW144" s="5"/>
      <c r="BY144" s="40"/>
      <c r="BZ144" s="5"/>
      <c r="CB144" s="40"/>
      <c r="CC144" s="5"/>
      <c r="CE144" s="40"/>
      <c r="CF144" s="5"/>
      <c r="CH144" s="40"/>
      <c r="CI144" s="5"/>
      <c r="CK144" s="40"/>
      <c r="CL144" s="5"/>
      <c r="CN144" s="40"/>
      <c r="CO144" s="5"/>
      <c r="CQ144" s="40"/>
      <c r="CR144" s="5"/>
    </row>
    <row r="145">
      <c r="AL145" s="40"/>
      <c r="AM145" s="5"/>
      <c r="AO145" s="40"/>
      <c r="AP145" s="5"/>
      <c r="AR145" s="40"/>
      <c r="AS145" s="5"/>
      <c r="AU145" s="40"/>
      <c r="AV145" s="5"/>
      <c r="AX145" s="40"/>
      <c r="AY145" s="5"/>
      <c r="BA145" s="40"/>
      <c r="BB145" s="5"/>
      <c r="BD145" s="40"/>
      <c r="BE145" s="5"/>
      <c r="BG145" s="40"/>
      <c r="BH145" s="5"/>
      <c r="BJ145" s="40"/>
      <c r="BK145" s="5"/>
      <c r="BM145" s="40"/>
      <c r="BN145" s="5"/>
      <c r="BP145" s="40"/>
      <c r="BQ145" s="5"/>
      <c r="BS145" s="40"/>
      <c r="BT145" s="5"/>
      <c r="BV145" s="40"/>
      <c r="BW145" s="5"/>
      <c r="BY145" s="40"/>
      <c r="BZ145" s="5"/>
      <c r="CB145" s="40"/>
      <c r="CC145" s="5"/>
      <c r="CE145" s="40"/>
      <c r="CF145" s="5"/>
      <c r="CH145" s="40"/>
      <c r="CI145" s="5"/>
      <c r="CK145" s="40"/>
      <c r="CL145" s="5"/>
      <c r="CN145" s="40"/>
      <c r="CO145" s="5"/>
      <c r="CQ145" s="40"/>
      <c r="CR145" s="5"/>
    </row>
    <row r="146">
      <c r="AL146" s="40"/>
      <c r="AM146" s="5"/>
      <c r="AO146" s="40"/>
      <c r="AP146" s="5"/>
      <c r="AR146" s="40"/>
      <c r="AS146" s="5"/>
      <c r="AU146" s="40"/>
      <c r="AV146" s="5"/>
      <c r="AX146" s="40"/>
      <c r="AY146" s="5"/>
      <c r="BA146" s="40"/>
      <c r="BB146" s="5"/>
      <c r="BD146" s="40"/>
      <c r="BE146" s="5"/>
      <c r="BG146" s="40"/>
      <c r="BH146" s="5"/>
      <c r="BJ146" s="40"/>
      <c r="BK146" s="5"/>
      <c r="BM146" s="40"/>
      <c r="BN146" s="5"/>
      <c r="BP146" s="40"/>
      <c r="BQ146" s="5"/>
      <c r="BS146" s="40"/>
      <c r="BT146" s="5"/>
      <c r="BV146" s="40"/>
      <c r="BW146" s="5"/>
      <c r="BY146" s="40"/>
      <c r="BZ146" s="5"/>
      <c r="CB146" s="40"/>
      <c r="CC146" s="5"/>
      <c r="CE146" s="40"/>
      <c r="CF146" s="5"/>
      <c r="CH146" s="40"/>
      <c r="CI146" s="5"/>
      <c r="CK146" s="40"/>
      <c r="CL146" s="5"/>
      <c r="CN146" s="40"/>
      <c r="CO146" s="5"/>
      <c r="CQ146" s="40"/>
      <c r="CR146" s="5"/>
    </row>
    <row r="147">
      <c r="AL147" s="40"/>
      <c r="AM147" s="5"/>
      <c r="AO147" s="40"/>
      <c r="AP147" s="5"/>
      <c r="AR147" s="40"/>
      <c r="AS147" s="5"/>
      <c r="AU147" s="40"/>
      <c r="AV147" s="5"/>
      <c r="AX147" s="40"/>
      <c r="AY147" s="5"/>
      <c r="BA147" s="40"/>
      <c r="BB147" s="5"/>
      <c r="BD147" s="40"/>
      <c r="BE147" s="5"/>
      <c r="BG147" s="40"/>
      <c r="BH147" s="5"/>
      <c r="BJ147" s="40"/>
      <c r="BK147" s="5"/>
      <c r="BM147" s="40"/>
      <c r="BN147" s="5"/>
      <c r="BP147" s="40"/>
      <c r="BQ147" s="5"/>
      <c r="BS147" s="40"/>
      <c r="BT147" s="5"/>
      <c r="BV147" s="40"/>
      <c r="BW147" s="5"/>
      <c r="BY147" s="40"/>
      <c r="BZ147" s="5"/>
      <c r="CB147" s="40"/>
      <c r="CC147" s="5"/>
      <c r="CE147" s="40"/>
      <c r="CF147" s="5"/>
      <c r="CH147" s="40"/>
      <c r="CI147" s="5"/>
      <c r="CK147" s="40"/>
      <c r="CL147" s="5"/>
      <c r="CN147" s="40"/>
      <c r="CO147" s="5"/>
      <c r="CQ147" s="40"/>
      <c r="CR147" s="5"/>
    </row>
    <row r="148">
      <c r="AL148" s="40"/>
      <c r="AM148" s="5"/>
      <c r="AO148" s="40"/>
      <c r="AP148" s="5"/>
      <c r="AR148" s="40"/>
      <c r="AS148" s="5"/>
      <c r="AU148" s="40"/>
      <c r="AV148" s="5"/>
      <c r="AX148" s="40"/>
      <c r="AY148" s="5"/>
      <c r="BA148" s="40"/>
      <c r="BB148" s="5"/>
      <c r="BD148" s="40"/>
      <c r="BE148" s="5"/>
      <c r="BG148" s="40"/>
      <c r="BH148" s="5"/>
      <c r="BJ148" s="40"/>
      <c r="BK148" s="5"/>
      <c r="BM148" s="40"/>
      <c r="BN148" s="5"/>
      <c r="BP148" s="40"/>
      <c r="BQ148" s="5"/>
      <c r="BS148" s="40"/>
      <c r="BT148" s="5"/>
      <c r="BV148" s="40"/>
      <c r="BW148" s="5"/>
      <c r="BY148" s="40"/>
      <c r="BZ148" s="5"/>
      <c r="CB148" s="40"/>
      <c r="CC148" s="5"/>
      <c r="CE148" s="40"/>
      <c r="CF148" s="5"/>
      <c r="CH148" s="40"/>
      <c r="CI148" s="5"/>
      <c r="CK148" s="40"/>
      <c r="CL148" s="5"/>
      <c r="CN148" s="40"/>
      <c r="CO148" s="5"/>
      <c r="CQ148" s="40"/>
      <c r="CR148" s="5"/>
    </row>
    <row r="149">
      <c r="AL149" s="40"/>
      <c r="AM149" s="5"/>
      <c r="AO149" s="40"/>
      <c r="AP149" s="5"/>
      <c r="AR149" s="40"/>
      <c r="AS149" s="5"/>
      <c r="AU149" s="40"/>
      <c r="AV149" s="5"/>
      <c r="AX149" s="40"/>
      <c r="AY149" s="5"/>
      <c r="BA149" s="40"/>
      <c r="BB149" s="5"/>
      <c r="BD149" s="40"/>
      <c r="BE149" s="5"/>
      <c r="BG149" s="40"/>
      <c r="BH149" s="5"/>
      <c r="BJ149" s="40"/>
      <c r="BK149" s="5"/>
      <c r="BM149" s="40"/>
      <c r="BN149" s="5"/>
      <c r="BP149" s="40"/>
      <c r="BQ149" s="5"/>
      <c r="BS149" s="40"/>
      <c r="BT149" s="5"/>
      <c r="BV149" s="40"/>
      <c r="BW149" s="5"/>
      <c r="BY149" s="40"/>
      <c r="BZ149" s="5"/>
      <c r="CB149" s="40"/>
      <c r="CC149" s="5"/>
      <c r="CE149" s="40"/>
      <c r="CF149" s="5"/>
      <c r="CH149" s="40"/>
      <c r="CI149" s="5"/>
      <c r="CK149" s="40"/>
      <c r="CL149" s="5"/>
      <c r="CN149" s="40"/>
      <c r="CO149" s="5"/>
      <c r="CQ149" s="40"/>
      <c r="CR149" s="5"/>
    </row>
    <row r="150">
      <c r="AL150" s="40"/>
      <c r="AM150" s="5"/>
      <c r="AO150" s="40"/>
      <c r="AP150" s="5"/>
      <c r="AR150" s="40"/>
      <c r="AS150" s="5"/>
      <c r="AU150" s="40"/>
      <c r="AV150" s="5"/>
      <c r="AX150" s="40"/>
      <c r="AY150" s="5"/>
      <c r="BA150" s="40"/>
      <c r="BB150" s="5"/>
      <c r="BD150" s="40"/>
      <c r="BE150" s="5"/>
      <c r="BG150" s="40"/>
      <c r="BH150" s="5"/>
      <c r="BJ150" s="40"/>
      <c r="BK150" s="5"/>
      <c r="BM150" s="40"/>
      <c r="BN150" s="5"/>
      <c r="BP150" s="40"/>
      <c r="BQ150" s="5"/>
      <c r="BS150" s="40"/>
      <c r="BT150" s="5"/>
      <c r="BV150" s="40"/>
      <c r="BW150" s="5"/>
      <c r="BY150" s="40"/>
      <c r="BZ150" s="5"/>
      <c r="CB150" s="40"/>
      <c r="CC150" s="5"/>
      <c r="CE150" s="40"/>
      <c r="CF150" s="5"/>
      <c r="CH150" s="40"/>
      <c r="CI150" s="5"/>
      <c r="CK150" s="40"/>
      <c r="CL150" s="5"/>
      <c r="CN150" s="40"/>
      <c r="CO150" s="5"/>
      <c r="CQ150" s="40"/>
      <c r="CR150" s="5"/>
    </row>
    <row r="151">
      <c r="AL151" s="40"/>
      <c r="AM151" s="5"/>
      <c r="AO151" s="40"/>
      <c r="AP151" s="5"/>
      <c r="AR151" s="40"/>
      <c r="AS151" s="5"/>
      <c r="AU151" s="40"/>
      <c r="AV151" s="5"/>
      <c r="AX151" s="40"/>
      <c r="AY151" s="5"/>
      <c r="BA151" s="40"/>
      <c r="BB151" s="5"/>
      <c r="BD151" s="40"/>
      <c r="BE151" s="5"/>
      <c r="BG151" s="40"/>
      <c r="BH151" s="5"/>
      <c r="BJ151" s="40"/>
      <c r="BK151" s="5"/>
      <c r="BM151" s="40"/>
      <c r="BN151" s="5"/>
      <c r="BP151" s="40"/>
      <c r="BQ151" s="5"/>
      <c r="BS151" s="40"/>
      <c r="BT151" s="5"/>
      <c r="BV151" s="40"/>
      <c r="BW151" s="5"/>
      <c r="BY151" s="40"/>
      <c r="BZ151" s="5"/>
      <c r="CB151" s="40"/>
      <c r="CC151" s="5"/>
      <c r="CE151" s="40"/>
      <c r="CF151" s="5"/>
      <c r="CH151" s="40"/>
      <c r="CI151" s="5"/>
      <c r="CK151" s="40"/>
      <c r="CL151" s="5"/>
      <c r="CN151" s="40"/>
      <c r="CO151" s="5"/>
      <c r="CQ151" s="40"/>
      <c r="CR151" s="5"/>
    </row>
    <row r="152">
      <c r="AL152" s="40"/>
      <c r="AM152" s="5"/>
      <c r="AO152" s="40"/>
      <c r="AP152" s="5"/>
      <c r="AR152" s="40"/>
      <c r="AS152" s="5"/>
      <c r="AU152" s="40"/>
      <c r="AV152" s="5"/>
      <c r="AX152" s="40"/>
      <c r="AY152" s="5"/>
      <c r="BA152" s="40"/>
      <c r="BB152" s="5"/>
      <c r="BD152" s="40"/>
      <c r="BE152" s="5"/>
      <c r="BG152" s="40"/>
      <c r="BH152" s="5"/>
      <c r="BJ152" s="40"/>
      <c r="BK152" s="5"/>
      <c r="BM152" s="40"/>
      <c r="BN152" s="5"/>
      <c r="BP152" s="40"/>
      <c r="BQ152" s="5"/>
      <c r="BS152" s="40"/>
      <c r="BT152" s="5"/>
      <c r="BV152" s="40"/>
      <c r="BW152" s="5"/>
      <c r="BY152" s="40"/>
      <c r="BZ152" s="5"/>
      <c r="CB152" s="40"/>
      <c r="CC152" s="5"/>
      <c r="CE152" s="40"/>
      <c r="CF152" s="5"/>
      <c r="CH152" s="40"/>
      <c r="CI152" s="5"/>
      <c r="CK152" s="40"/>
      <c r="CL152" s="5"/>
      <c r="CN152" s="40"/>
      <c r="CO152" s="5"/>
      <c r="CQ152" s="40"/>
      <c r="CR152" s="5"/>
    </row>
    <row r="153">
      <c r="AL153" s="40"/>
      <c r="AM153" s="5"/>
      <c r="AO153" s="40"/>
      <c r="AP153" s="5"/>
      <c r="AR153" s="40"/>
      <c r="AS153" s="5"/>
      <c r="AU153" s="40"/>
      <c r="AV153" s="5"/>
      <c r="AX153" s="40"/>
      <c r="AY153" s="5"/>
      <c r="BA153" s="40"/>
      <c r="BB153" s="5"/>
      <c r="BD153" s="40"/>
      <c r="BE153" s="5"/>
      <c r="BG153" s="40"/>
      <c r="BH153" s="5"/>
      <c r="BJ153" s="40"/>
      <c r="BK153" s="5"/>
      <c r="BM153" s="40"/>
      <c r="BN153" s="5"/>
      <c r="BP153" s="40"/>
      <c r="BQ153" s="5"/>
      <c r="BS153" s="40"/>
      <c r="BT153" s="5"/>
      <c r="BV153" s="40"/>
      <c r="BW153" s="5"/>
      <c r="BY153" s="40"/>
      <c r="BZ153" s="5"/>
      <c r="CB153" s="40"/>
      <c r="CC153" s="5"/>
      <c r="CE153" s="40"/>
      <c r="CF153" s="5"/>
      <c r="CH153" s="40"/>
      <c r="CI153" s="5"/>
      <c r="CK153" s="40"/>
      <c r="CL153" s="5"/>
      <c r="CN153" s="40"/>
      <c r="CO153" s="5"/>
      <c r="CQ153" s="40"/>
      <c r="CR153" s="5"/>
    </row>
    <row r="154">
      <c r="AL154" s="40"/>
      <c r="AM154" s="5"/>
      <c r="AO154" s="40"/>
      <c r="AP154" s="5"/>
      <c r="AR154" s="40"/>
      <c r="AS154" s="5"/>
      <c r="AU154" s="40"/>
      <c r="AV154" s="5"/>
      <c r="AX154" s="40"/>
      <c r="AY154" s="5"/>
      <c r="BA154" s="40"/>
      <c r="BB154" s="5"/>
      <c r="BD154" s="40"/>
      <c r="BE154" s="5"/>
      <c r="BG154" s="40"/>
      <c r="BH154" s="5"/>
      <c r="BJ154" s="40"/>
      <c r="BK154" s="5"/>
      <c r="BM154" s="40"/>
      <c r="BN154" s="5"/>
      <c r="BP154" s="40"/>
      <c r="BQ154" s="5"/>
      <c r="BS154" s="40"/>
      <c r="BT154" s="5"/>
      <c r="BV154" s="40"/>
      <c r="BW154" s="5"/>
      <c r="BY154" s="40"/>
      <c r="BZ154" s="5"/>
      <c r="CB154" s="40"/>
      <c r="CC154" s="5"/>
      <c r="CE154" s="40"/>
      <c r="CF154" s="5"/>
      <c r="CH154" s="40"/>
      <c r="CI154" s="5"/>
      <c r="CK154" s="40"/>
      <c r="CL154" s="5"/>
      <c r="CN154" s="40"/>
      <c r="CO154" s="5"/>
      <c r="CQ154" s="40"/>
      <c r="CR154" s="5"/>
    </row>
    <row r="155">
      <c r="AL155" s="40"/>
      <c r="AM155" s="5"/>
      <c r="AO155" s="40"/>
      <c r="AP155" s="5"/>
      <c r="AR155" s="40"/>
      <c r="AS155" s="5"/>
      <c r="AU155" s="40"/>
      <c r="AV155" s="5"/>
      <c r="AX155" s="40"/>
      <c r="AY155" s="5"/>
      <c r="BA155" s="40"/>
      <c r="BB155" s="5"/>
      <c r="BD155" s="40"/>
      <c r="BE155" s="5"/>
      <c r="BG155" s="40"/>
      <c r="BH155" s="5"/>
      <c r="BJ155" s="40"/>
      <c r="BK155" s="5"/>
      <c r="BM155" s="40"/>
      <c r="BN155" s="5"/>
      <c r="BP155" s="40"/>
      <c r="BQ155" s="5"/>
      <c r="BS155" s="40"/>
      <c r="BT155" s="5"/>
      <c r="BV155" s="40"/>
      <c r="BW155" s="5"/>
      <c r="BY155" s="40"/>
      <c r="BZ155" s="5"/>
      <c r="CB155" s="40"/>
      <c r="CC155" s="5"/>
      <c r="CE155" s="40"/>
      <c r="CF155" s="5"/>
      <c r="CH155" s="40"/>
      <c r="CI155" s="5"/>
      <c r="CK155" s="40"/>
      <c r="CL155" s="5"/>
      <c r="CN155" s="40"/>
      <c r="CO155" s="5"/>
      <c r="CQ155" s="40"/>
      <c r="CR155" s="5"/>
    </row>
    <row r="156">
      <c r="AL156" s="40"/>
      <c r="AM156" s="5"/>
      <c r="AO156" s="40"/>
      <c r="AP156" s="5"/>
      <c r="AR156" s="40"/>
      <c r="AS156" s="5"/>
      <c r="AU156" s="40"/>
      <c r="AV156" s="5"/>
      <c r="AX156" s="40"/>
      <c r="AY156" s="5"/>
      <c r="BA156" s="40"/>
      <c r="BB156" s="5"/>
      <c r="BD156" s="40"/>
      <c r="BE156" s="5"/>
      <c r="BG156" s="40"/>
      <c r="BH156" s="5"/>
      <c r="BJ156" s="40"/>
      <c r="BK156" s="5"/>
      <c r="BM156" s="40"/>
      <c r="BN156" s="5"/>
      <c r="BP156" s="40"/>
      <c r="BQ156" s="5"/>
      <c r="BS156" s="40"/>
      <c r="BT156" s="5"/>
      <c r="BV156" s="40"/>
      <c r="BW156" s="5"/>
      <c r="BY156" s="40"/>
      <c r="BZ156" s="5"/>
      <c r="CB156" s="40"/>
      <c r="CC156" s="5"/>
      <c r="CE156" s="40"/>
      <c r="CF156" s="5"/>
      <c r="CH156" s="40"/>
      <c r="CI156" s="5"/>
      <c r="CK156" s="40"/>
      <c r="CL156" s="5"/>
      <c r="CN156" s="40"/>
      <c r="CO156" s="5"/>
      <c r="CQ156" s="40"/>
      <c r="CR156" s="5"/>
    </row>
    <row r="157">
      <c r="AL157" s="40"/>
      <c r="AM157" s="5"/>
      <c r="AO157" s="40"/>
      <c r="AP157" s="5"/>
      <c r="AR157" s="40"/>
      <c r="AS157" s="5"/>
      <c r="AU157" s="40"/>
      <c r="AV157" s="5"/>
      <c r="AX157" s="40"/>
      <c r="AY157" s="5"/>
      <c r="BA157" s="40"/>
      <c r="BB157" s="5"/>
      <c r="BD157" s="40"/>
      <c r="BE157" s="5"/>
      <c r="BG157" s="40"/>
      <c r="BH157" s="5"/>
      <c r="BJ157" s="40"/>
      <c r="BK157" s="5"/>
      <c r="BM157" s="40"/>
      <c r="BN157" s="5"/>
      <c r="BP157" s="40"/>
      <c r="BQ157" s="5"/>
      <c r="BS157" s="40"/>
      <c r="BT157" s="5"/>
      <c r="BV157" s="40"/>
      <c r="BW157" s="5"/>
      <c r="BY157" s="40"/>
      <c r="BZ157" s="5"/>
      <c r="CB157" s="40"/>
      <c r="CC157" s="5"/>
      <c r="CE157" s="40"/>
      <c r="CF157" s="5"/>
      <c r="CH157" s="40"/>
      <c r="CI157" s="5"/>
      <c r="CK157" s="40"/>
      <c r="CL157" s="5"/>
      <c r="CN157" s="40"/>
      <c r="CO157" s="5"/>
      <c r="CQ157" s="40"/>
      <c r="CR157" s="5"/>
    </row>
    <row r="158">
      <c r="AL158" s="40"/>
      <c r="AM158" s="5"/>
      <c r="AO158" s="40"/>
      <c r="AP158" s="5"/>
      <c r="AR158" s="40"/>
      <c r="AS158" s="5"/>
      <c r="AU158" s="40"/>
      <c r="AV158" s="5"/>
      <c r="AX158" s="40"/>
      <c r="AY158" s="5"/>
      <c r="BA158" s="40"/>
      <c r="BB158" s="5"/>
      <c r="BD158" s="40"/>
      <c r="BE158" s="5"/>
      <c r="BG158" s="40"/>
      <c r="BH158" s="5"/>
      <c r="BJ158" s="40"/>
      <c r="BK158" s="5"/>
      <c r="BM158" s="40"/>
      <c r="BN158" s="5"/>
      <c r="BP158" s="40"/>
      <c r="BQ158" s="5"/>
      <c r="BS158" s="40"/>
      <c r="BT158" s="5"/>
      <c r="BV158" s="40"/>
      <c r="BW158" s="5"/>
      <c r="BY158" s="40"/>
      <c r="BZ158" s="5"/>
      <c r="CB158" s="40"/>
      <c r="CC158" s="5"/>
      <c r="CE158" s="40"/>
      <c r="CF158" s="5"/>
      <c r="CH158" s="40"/>
      <c r="CI158" s="5"/>
      <c r="CK158" s="40"/>
      <c r="CL158" s="5"/>
      <c r="CN158" s="40"/>
      <c r="CO158" s="5"/>
      <c r="CQ158" s="40"/>
      <c r="CR158" s="5"/>
    </row>
    <row r="159">
      <c r="AL159" s="40"/>
      <c r="AM159" s="5"/>
      <c r="AO159" s="40"/>
      <c r="AP159" s="5"/>
      <c r="AR159" s="40"/>
      <c r="AS159" s="5"/>
      <c r="AU159" s="40"/>
      <c r="AV159" s="5"/>
      <c r="AX159" s="40"/>
      <c r="AY159" s="5"/>
      <c r="BA159" s="40"/>
      <c r="BB159" s="5"/>
      <c r="BD159" s="40"/>
      <c r="BE159" s="5"/>
      <c r="BG159" s="40"/>
      <c r="BH159" s="5"/>
      <c r="BJ159" s="40"/>
      <c r="BK159" s="5"/>
      <c r="BM159" s="40"/>
      <c r="BN159" s="5"/>
      <c r="BP159" s="40"/>
      <c r="BQ159" s="5"/>
      <c r="BS159" s="40"/>
      <c r="BT159" s="5"/>
      <c r="BV159" s="40"/>
      <c r="BW159" s="5"/>
      <c r="BY159" s="40"/>
      <c r="BZ159" s="5"/>
      <c r="CB159" s="40"/>
      <c r="CC159" s="5"/>
      <c r="CE159" s="40"/>
      <c r="CF159" s="5"/>
      <c r="CH159" s="40"/>
      <c r="CI159" s="5"/>
      <c r="CK159" s="40"/>
      <c r="CL159" s="5"/>
      <c r="CN159" s="40"/>
      <c r="CO159" s="5"/>
      <c r="CQ159" s="40"/>
      <c r="CR159" s="5"/>
    </row>
    <row r="160">
      <c r="AL160" s="40"/>
      <c r="AM160" s="5"/>
      <c r="AO160" s="40"/>
      <c r="AP160" s="5"/>
      <c r="AR160" s="40"/>
      <c r="AS160" s="5"/>
      <c r="AU160" s="40"/>
      <c r="AV160" s="5"/>
      <c r="AX160" s="40"/>
      <c r="AY160" s="5"/>
      <c r="BA160" s="40"/>
      <c r="BB160" s="5"/>
      <c r="BD160" s="40"/>
      <c r="BE160" s="5"/>
      <c r="BG160" s="40"/>
      <c r="BH160" s="5"/>
      <c r="BJ160" s="40"/>
      <c r="BK160" s="5"/>
      <c r="BM160" s="40"/>
      <c r="BN160" s="5"/>
      <c r="BP160" s="40"/>
      <c r="BQ160" s="5"/>
      <c r="BS160" s="40"/>
      <c r="BT160" s="5"/>
      <c r="BV160" s="40"/>
      <c r="BW160" s="5"/>
      <c r="BY160" s="40"/>
      <c r="BZ160" s="5"/>
      <c r="CB160" s="40"/>
      <c r="CC160" s="5"/>
      <c r="CE160" s="40"/>
      <c r="CF160" s="5"/>
      <c r="CH160" s="40"/>
      <c r="CI160" s="5"/>
      <c r="CK160" s="40"/>
      <c r="CL160" s="5"/>
      <c r="CN160" s="40"/>
      <c r="CO160" s="5"/>
      <c r="CQ160" s="40"/>
      <c r="CR160" s="5"/>
    </row>
    <row r="161">
      <c r="AL161" s="40"/>
      <c r="AM161" s="5"/>
      <c r="AO161" s="40"/>
      <c r="AP161" s="5"/>
      <c r="AR161" s="40"/>
      <c r="AS161" s="5"/>
      <c r="AU161" s="40"/>
      <c r="AV161" s="5"/>
      <c r="AX161" s="40"/>
      <c r="AY161" s="5"/>
      <c r="BA161" s="40"/>
      <c r="BB161" s="5"/>
      <c r="BD161" s="40"/>
      <c r="BE161" s="5"/>
      <c r="BG161" s="40"/>
      <c r="BH161" s="5"/>
      <c r="BJ161" s="40"/>
      <c r="BK161" s="5"/>
      <c r="BM161" s="40"/>
      <c r="BN161" s="5"/>
      <c r="BP161" s="40"/>
      <c r="BQ161" s="5"/>
      <c r="BS161" s="40"/>
      <c r="BT161" s="5"/>
      <c r="BV161" s="40"/>
      <c r="BW161" s="5"/>
      <c r="BY161" s="40"/>
      <c r="BZ161" s="5"/>
      <c r="CB161" s="40"/>
      <c r="CC161" s="5"/>
      <c r="CE161" s="40"/>
      <c r="CF161" s="5"/>
      <c r="CH161" s="40"/>
      <c r="CI161" s="5"/>
      <c r="CK161" s="40"/>
      <c r="CL161" s="5"/>
      <c r="CN161" s="40"/>
      <c r="CO161" s="5"/>
      <c r="CQ161" s="40"/>
      <c r="CR161" s="5"/>
    </row>
    <row r="162">
      <c r="AL162" s="40"/>
      <c r="AM162" s="5"/>
      <c r="AO162" s="40"/>
      <c r="AP162" s="5"/>
      <c r="AR162" s="40"/>
      <c r="AS162" s="5"/>
      <c r="AU162" s="40"/>
      <c r="AV162" s="5"/>
      <c r="AX162" s="40"/>
      <c r="AY162" s="5"/>
      <c r="BA162" s="40"/>
      <c r="BB162" s="5"/>
      <c r="BD162" s="40"/>
      <c r="BE162" s="5"/>
      <c r="BG162" s="40"/>
      <c r="BH162" s="5"/>
      <c r="BJ162" s="40"/>
      <c r="BK162" s="5"/>
      <c r="BM162" s="40"/>
      <c r="BN162" s="5"/>
      <c r="BP162" s="40"/>
      <c r="BQ162" s="5"/>
      <c r="BS162" s="40"/>
      <c r="BT162" s="5"/>
      <c r="BV162" s="40"/>
      <c r="BW162" s="5"/>
      <c r="BY162" s="40"/>
      <c r="BZ162" s="5"/>
      <c r="CB162" s="40"/>
      <c r="CC162" s="5"/>
      <c r="CE162" s="40"/>
      <c r="CF162" s="5"/>
      <c r="CH162" s="40"/>
      <c r="CI162" s="5"/>
      <c r="CK162" s="40"/>
      <c r="CL162" s="5"/>
      <c r="CN162" s="40"/>
      <c r="CO162" s="5"/>
      <c r="CQ162" s="40"/>
      <c r="CR162" s="5"/>
    </row>
    <row r="163">
      <c r="AL163" s="40"/>
      <c r="AM163" s="5"/>
      <c r="AO163" s="40"/>
      <c r="AP163" s="5"/>
      <c r="AR163" s="40"/>
      <c r="AS163" s="5"/>
      <c r="AU163" s="40"/>
      <c r="AV163" s="5"/>
      <c r="AX163" s="40"/>
      <c r="AY163" s="5"/>
      <c r="BA163" s="40"/>
      <c r="BB163" s="5"/>
      <c r="BD163" s="40"/>
      <c r="BE163" s="5"/>
      <c r="BG163" s="40"/>
      <c r="BH163" s="5"/>
      <c r="BJ163" s="40"/>
      <c r="BK163" s="5"/>
      <c r="BM163" s="40"/>
      <c r="BN163" s="5"/>
      <c r="BP163" s="40"/>
      <c r="BQ163" s="5"/>
      <c r="BS163" s="40"/>
      <c r="BT163" s="5"/>
      <c r="BV163" s="40"/>
      <c r="BW163" s="5"/>
      <c r="BY163" s="40"/>
      <c r="BZ163" s="5"/>
      <c r="CB163" s="40"/>
      <c r="CC163" s="5"/>
      <c r="CE163" s="40"/>
      <c r="CF163" s="5"/>
      <c r="CH163" s="40"/>
      <c r="CI163" s="5"/>
      <c r="CK163" s="40"/>
      <c r="CL163" s="5"/>
      <c r="CN163" s="40"/>
      <c r="CO163" s="5"/>
      <c r="CQ163" s="40"/>
      <c r="CR163" s="5"/>
    </row>
    <row r="164">
      <c r="AL164" s="40"/>
      <c r="AM164" s="5"/>
      <c r="AO164" s="40"/>
      <c r="AP164" s="5"/>
      <c r="AR164" s="40"/>
      <c r="AS164" s="5"/>
      <c r="AU164" s="40"/>
      <c r="AV164" s="5"/>
      <c r="AX164" s="40"/>
      <c r="AY164" s="5"/>
      <c r="BA164" s="40"/>
      <c r="BB164" s="5"/>
      <c r="BD164" s="40"/>
      <c r="BE164" s="5"/>
      <c r="BG164" s="40"/>
      <c r="BH164" s="5"/>
      <c r="BJ164" s="40"/>
      <c r="BK164" s="5"/>
      <c r="BM164" s="40"/>
      <c r="BN164" s="5"/>
      <c r="BP164" s="40"/>
      <c r="BQ164" s="5"/>
      <c r="BS164" s="40"/>
      <c r="BT164" s="5"/>
      <c r="BV164" s="40"/>
      <c r="BW164" s="5"/>
      <c r="BY164" s="40"/>
      <c r="BZ164" s="5"/>
      <c r="CB164" s="40"/>
      <c r="CC164" s="5"/>
      <c r="CE164" s="40"/>
      <c r="CF164" s="5"/>
      <c r="CH164" s="40"/>
      <c r="CI164" s="5"/>
      <c r="CK164" s="40"/>
      <c r="CL164" s="5"/>
      <c r="CN164" s="40"/>
      <c r="CO164" s="5"/>
      <c r="CQ164" s="40"/>
      <c r="CR164" s="5"/>
    </row>
    <row r="165">
      <c r="AL165" s="40"/>
      <c r="AM165" s="5"/>
      <c r="AO165" s="40"/>
      <c r="AP165" s="5"/>
      <c r="AR165" s="40"/>
      <c r="AS165" s="5"/>
      <c r="AU165" s="40"/>
      <c r="AV165" s="5"/>
      <c r="AX165" s="40"/>
      <c r="AY165" s="5"/>
      <c r="BA165" s="40"/>
      <c r="BB165" s="5"/>
      <c r="BD165" s="40"/>
      <c r="BE165" s="5"/>
      <c r="BG165" s="40"/>
      <c r="BH165" s="5"/>
      <c r="BJ165" s="40"/>
      <c r="BK165" s="5"/>
      <c r="BM165" s="40"/>
      <c r="BN165" s="5"/>
      <c r="BP165" s="40"/>
      <c r="BQ165" s="5"/>
      <c r="BS165" s="40"/>
      <c r="BT165" s="5"/>
      <c r="BV165" s="40"/>
      <c r="BW165" s="5"/>
      <c r="BY165" s="40"/>
      <c r="BZ165" s="5"/>
      <c r="CB165" s="40"/>
      <c r="CC165" s="5"/>
      <c r="CE165" s="40"/>
      <c r="CF165" s="5"/>
      <c r="CH165" s="40"/>
      <c r="CI165" s="5"/>
      <c r="CK165" s="40"/>
      <c r="CL165" s="5"/>
      <c r="CN165" s="40"/>
      <c r="CO165" s="5"/>
      <c r="CQ165" s="40"/>
      <c r="CR165" s="5"/>
    </row>
    <row r="166">
      <c r="AL166" s="40"/>
      <c r="AM166" s="5"/>
      <c r="AO166" s="40"/>
      <c r="AP166" s="5"/>
      <c r="AR166" s="40"/>
      <c r="AS166" s="5"/>
      <c r="AU166" s="40"/>
      <c r="AV166" s="5"/>
      <c r="AX166" s="40"/>
      <c r="AY166" s="5"/>
      <c r="BA166" s="40"/>
      <c r="BB166" s="5"/>
      <c r="BD166" s="40"/>
      <c r="BE166" s="5"/>
      <c r="BG166" s="40"/>
      <c r="BH166" s="5"/>
      <c r="BJ166" s="40"/>
      <c r="BK166" s="5"/>
      <c r="BM166" s="40"/>
      <c r="BN166" s="5"/>
      <c r="BP166" s="40"/>
      <c r="BQ166" s="5"/>
      <c r="BS166" s="40"/>
      <c r="BT166" s="5"/>
      <c r="BV166" s="40"/>
      <c r="BW166" s="5"/>
      <c r="BY166" s="40"/>
      <c r="BZ166" s="5"/>
      <c r="CB166" s="40"/>
      <c r="CC166" s="5"/>
      <c r="CE166" s="40"/>
      <c r="CF166" s="5"/>
      <c r="CH166" s="40"/>
      <c r="CI166" s="5"/>
      <c r="CK166" s="40"/>
      <c r="CL166" s="5"/>
      <c r="CN166" s="40"/>
      <c r="CO166" s="5"/>
      <c r="CQ166" s="40"/>
      <c r="CR166" s="5"/>
    </row>
    <row r="167">
      <c r="AL167" s="40"/>
      <c r="AM167" s="5"/>
      <c r="AO167" s="40"/>
      <c r="AP167" s="5"/>
      <c r="AR167" s="40"/>
      <c r="AS167" s="5"/>
      <c r="AU167" s="40"/>
      <c r="AV167" s="5"/>
      <c r="AX167" s="40"/>
      <c r="AY167" s="5"/>
      <c r="BA167" s="40"/>
      <c r="BB167" s="5"/>
      <c r="BD167" s="40"/>
      <c r="BE167" s="5"/>
      <c r="BG167" s="40"/>
      <c r="BH167" s="5"/>
      <c r="BJ167" s="40"/>
      <c r="BK167" s="5"/>
      <c r="BM167" s="40"/>
      <c r="BN167" s="5"/>
      <c r="BP167" s="40"/>
      <c r="BQ167" s="5"/>
      <c r="BS167" s="40"/>
      <c r="BT167" s="5"/>
      <c r="BV167" s="40"/>
      <c r="BW167" s="5"/>
      <c r="BY167" s="40"/>
      <c r="BZ167" s="5"/>
      <c r="CB167" s="40"/>
      <c r="CC167" s="5"/>
      <c r="CE167" s="40"/>
      <c r="CF167" s="5"/>
      <c r="CH167" s="40"/>
      <c r="CI167" s="5"/>
      <c r="CK167" s="40"/>
      <c r="CL167" s="5"/>
      <c r="CN167" s="40"/>
      <c r="CO167" s="5"/>
      <c r="CQ167" s="40"/>
      <c r="CR167" s="5"/>
    </row>
    <row r="168">
      <c r="AL168" s="40"/>
      <c r="AM168" s="5"/>
      <c r="AO168" s="40"/>
      <c r="AP168" s="5"/>
      <c r="AR168" s="40"/>
      <c r="AS168" s="5"/>
      <c r="AU168" s="40"/>
      <c r="AV168" s="5"/>
      <c r="AX168" s="40"/>
      <c r="AY168" s="5"/>
      <c r="BA168" s="40"/>
      <c r="BB168" s="5"/>
      <c r="BD168" s="40"/>
      <c r="BE168" s="5"/>
      <c r="BG168" s="40"/>
      <c r="BH168" s="5"/>
      <c r="BJ168" s="40"/>
      <c r="BK168" s="5"/>
      <c r="BM168" s="40"/>
      <c r="BN168" s="5"/>
      <c r="BP168" s="40"/>
      <c r="BQ168" s="5"/>
      <c r="BS168" s="40"/>
      <c r="BT168" s="5"/>
      <c r="BV168" s="40"/>
      <c r="BW168" s="5"/>
      <c r="BY168" s="40"/>
      <c r="BZ168" s="5"/>
      <c r="CB168" s="40"/>
      <c r="CC168" s="5"/>
      <c r="CE168" s="40"/>
      <c r="CF168" s="5"/>
      <c r="CH168" s="40"/>
      <c r="CI168" s="5"/>
      <c r="CK168" s="40"/>
      <c r="CL168" s="5"/>
      <c r="CN168" s="40"/>
      <c r="CO168" s="5"/>
      <c r="CQ168" s="40"/>
      <c r="CR168" s="5"/>
    </row>
    <row r="169">
      <c r="AL169" s="40"/>
      <c r="AM169" s="5"/>
      <c r="AO169" s="40"/>
      <c r="AP169" s="5"/>
      <c r="AR169" s="40"/>
      <c r="AS169" s="5"/>
      <c r="AU169" s="40"/>
      <c r="AV169" s="5"/>
      <c r="AX169" s="40"/>
      <c r="AY169" s="5"/>
      <c r="BA169" s="40"/>
      <c r="BB169" s="5"/>
      <c r="BD169" s="40"/>
      <c r="BE169" s="5"/>
      <c r="BG169" s="40"/>
      <c r="BH169" s="5"/>
      <c r="BJ169" s="40"/>
      <c r="BK169" s="5"/>
      <c r="BM169" s="40"/>
      <c r="BN169" s="5"/>
      <c r="BP169" s="40"/>
      <c r="BQ169" s="5"/>
      <c r="BS169" s="40"/>
      <c r="BT169" s="5"/>
      <c r="BV169" s="40"/>
      <c r="BW169" s="5"/>
      <c r="BY169" s="40"/>
      <c r="BZ169" s="5"/>
      <c r="CB169" s="40"/>
      <c r="CC169" s="5"/>
      <c r="CE169" s="40"/>
      <c r="CF169" s="5"/>
      <c r="CH169" s="40"/>
      <c r="CI169" s="5"/>
      <c r="CK169" s="40"/>
      <c r="CL169" s="5"/>
      <c r="CN169" s="40"/>
      <c r="CO169" s="5"/>
      <c r="CQ169" s="40"/>
      <c r="CR169" s="5"/>
    </row>
    <row r="170">
      <c r="AL170" s="40"/>
      <c r="AM170" s="5"/>
      <c r="AO170" s="40"/>
      <c r="AP170" s="5"/>
      <c r="AR170" s="40"/>
      <c r="AS170" s="5"/>
      <c r="AU170" s="40"/>
      <c r="AV170" s="5"/>
      <c r="AX170" s="40"/>
      <c r="AY170" s="5"/>
      <c r="BA170" s="40"/>
      <c r="BB170" s="5"/>
      <c r="BD170" s="40"/>
      <c r="BE170" s="5"/>
      <c r="BG170" s="40"/>
      <c r="BH170" s="5"/>
      <c r="BJ170" s="40"/>
      <c r="BK170" s="5"/>
      <c r="BM170" s="40"/>
      <c r="BN170" s="5"/>
      <c r="BP170" s="40"/>
      <c r="BQ170" s="5"/>
      <c r="BS170" s="40"/>
      <c r="BT170" s="5"/>
      <c r="BV170" s="40"/>
      <c r="BW170" s="5"/>
      <c r="BY170" s="40"/>
      <c r="BZ170" s="5"/>
      <c r="CB170" s="40"/>
      <c r="CC170" s="5"/>
      <c r="CE170" s="40"/>
      <c r="CF170" s="5"/>
      <c r="CH170" s="40"/>
      <c r="CI170" s="5"/>
      <c r="CK170" s="40"/>
      <c r="CL170" s="5"/>
      <c r="CN170" s="40"/>
      <c r="CO170" s="5"/>
      <c r="CQ170" s="40"/>
      <c r="CR170" s="5"/>
    </row>
    <row r="171">
      <c r="AL171" s="40"/>
      <c r="AM171" s="5"/>
      <c r="AO171" s="40"/>
      <c r="AP171" s="5"/>
      <c r="AR171" s="40"/>
      <c r="AS171" s="5"/>
      <c r="AU171" s="40"/>
      <c r="AV171" s="5"/>
      <c r="AX171" s="40"/>
      <c r="AY171" s="5"/>
      <c r="BA171" s="40"/>
      <c r="BB171" s="5"/>
      <c r="BD171" s="40"/>
      <c r="BE171" s="5"/>
      <c r="BG171" s="40"/>
      <c r="BH171" s="5"/>
      <c r="BJ171" s="40"/>
      <c r="BK171" s="5"/>
      <c r="BM171" s="40"/>
      <c r="BN171" s="5"/>
      <c r="BP171" s="40"/>
      <c r="BQ171" s="5"/>
      <c r="BS171" s="40"/>
      <c r="BT171" s="5"/>
      <c r="BV171" s="40"/>
      <c r="BW171" s="5"/>
      <c r="BY171" s="40"/>
      <c r="BZ171" s="5"/>
      <c r="CB171" s="40"/>
      <c r="CC171" s="5"/>
      <c r="CE171" s="40"/>
      <c r="CF171" s="5"/>
      <c r="CH171" s="40"/>
      <c r="CI171" s="5"/>
      <c r="CK171" s="40"/>
      <c r="CL171" s="5"/>
      <c r="CN171" s="40"/>
      <c r="CO171" s="5"/>
      <c r="CQ171" s="40"/>
      <c r="CR171" s="5"/>
    </row>
    <row r="172">
      <c r="AL172" s="40"/>
      <c r="AM172" s="5"/>
      <c r="AO172" s="40"/>
      <c r="AP172" s="5"/>
      <c r="AR172" s="40"/>
      <c r="AS172" s="5"/>
      <c r="AU172" s="40"/>
      <c r="AV172" s="5"/>
      <c r="AX172" s="40"/>
      <c r="AY172" s="5"/>
      <c r="BA172" s="40"/>
      <c r="BB172" s="5"/>
      <c r="BD172" s="40"/>
      <c r="BE172" s="5"/>
      <c r="BG172" s="40"/>
      <c r="BH172" s="5"/>
      <c r="BJ172" s="40"/>
      <c r="BK172" s="5"/>
      <c r="BM172" s="40"/>
      <c r="BN172" s="5"/>
      <c r="BP172" s="40"/>
      <c r="BQ172" s="5"/>
      <c r="BS172" s="40"/>
      <c r="BT172" s="5"/>
      <c r="BV172" s="40"/>
      <c r="BW172" s="5"/>
      <c r="BY172" s="40"/>
      <c r="BZ172" s="5"/>
      <c r="CB172" s="40"/>
      <c r="CC172" s="5"/>
      <c r="CE172" s="40"/>
      <c r="CF172" s="5"/>
      <c r="CH172" s="40"/>
      <c r="CI172" s="5"/>
      <c r="CK172" s="40"/>
      <c r="CL172" s="5"/>
      <c r="CN172" s="40"/>
      <c r="CO172" s="5"/>
      <c r="CQ172" s="40"/>
      <c r="CR172" s="5"/>
    </row>
    <row r="173">
      <c r="AL173" s="40"/>
      <c r="AM173" s="5"/>
      <c r="AO173" s="40"/>
      <c r="AP173" s="5"/>
      <c r="AR173" s="40"/>
      <c r="AS173" s="5"/>
      <c r="AU173" s="40"/>
      <c r="AV173" s="5"/>
      <c r="AX173" s="40"/>
      <c r="AY173" s="5"/>
      <c r="BA173" s="40"/>
      <c r="BB173" s="5"/>
      <c r="BD173" s="40"/>
      <c r="BE173" s="5"/>
      <c r="BG173" s="40"/>
      <c r="BH173" s="5"/>
      <c r="BJ173" s="40"/>
      <c r="BK173" s="5"/>
      <c r="BM173" s="40"/>
      <c r="BN173" s="5"/>
      <c r="BP173" s="40"/>
      <c r="BQ173" s="5"/>
      <c r="BS173" s="40"/>
      <c r="BT173" s="5"/>
      <c r="BV173" s="40"/>
      <c r="BW173" s="5"/>
      <c r="BY173" s="40"/>
      <c r="BZ173" s="5"/>
      <c r="CB173" s="40"/>
      <c r="CC173" s="5"/>
      <c r="CE173" s="40"/>
      <c r="CF173" s="5"/>
      <c r="CH173" s="40"/>
      <c r="CI173" s="5"/>
      <c r="CK173" s="40"/>
      <c r="CL173" s="5"/>
      <c r="CN173" s="40"/>
      <c r="CO173" s="5"/>
      <c r="CQ173" s="40"/>
      <c r="CR173" s="5"/>
    </row>
    <row r="174">
      <c r="AL174" s="40"/>
      <c r="AM174" s="5"/>
      <c r="AO174" s="40"/>
      <c r="AP174" s="5"/>
      <c r="AR174" s="40"/>
      <c r="AS174" s="5"/>
      <c r="AU174" s="40"/>
      <c r="AV174" s="5"/>
      <c r="AX174" s="40"/>
      <c r="AY174" s="5"/>
      <c r="BA174" s="40"/>
      <c r="BB174" s="5"/>
      <c r="BD174" s="40"/>
      <c r="BE174" s="5"/>
      <c r="BG174" s="40"/>
      <c r="BH174" s="5"/>
      <c r="BJ174" s="40"/>
      <c r="BK174" s="5"/>
      <c r="BM174" s="40"/>
      <c r="BN174" s="5"/>
      <c r="BP174" s="40"/>
      <c r="BQ174" s="5"/>
      <c r="BS174" s="40"/>
      <c r="BT174" s="5"/>
      <c r="BV174" s="40"/>
      <c r="BW174" s="5"/>
      <c r="BY174" s="40"/>
      <c r="BZ174" s="5"/>
      <c r="CB174" s="40"/>
      <c r="CC174" s="5"/>
      <c r="CE174" s="40"/>
      <c r="CF174" s="5"/>
      <c r="CH174" s="40"/>
      <c r="CI174" s="5"/>
      <c r="CK174" s="40"/>
      <c r="CL174" s="5"/>
      <c r="CN174" s="40"/>
      <c r="CO174" s="5"/>
      <c r="CQ174" s="40"/>
      <c r="CR174" s="5"/>
    </row>
    <row r="175">
      <c r="AL175" s="40"/>
      <c r="AM175" s="5"/>
      <c r="AO175" s="40"/>
      <c r="AP175" s="5"/>
      <c r="AR175" s="40"/>
      <c r="AS175" s="5"/>
      <c r="AU175" s="40"/>
      <c r="AV175" s="5"/>
      <c r="AX175" s="40"/>
      <c r="AY175" s="5"/>
      <c r="BA175" s="40"/>
      <c r="BB175" s="5"/>
      <c r="BD175" s="40"/>
      <c r="BE175" s="5"/>
      <c r="BG175" s="40"/>
      <c r="BH175" s="5"/>
      <c r="BJ175" s="40"/>
      <c r="BK175" s="5"/>
      <c r="BM175" s="40"/>
      <c r="BN175" s="5"/>
      <c r="BP175" s="40"/>
      <c r="BQ175" s="5"/>
      <c r="BS175" s="40"/>
      <c r="BT175" s="5"/>
      <c r="BV175" s="40"/>
      <c r="BW175" s="5"/>
      <c r="BY175" s="40"/>
      <c r="BZ175" s="5"/>
      <c r="CB175" s="40"/>
      <c r="CC175" s="5"/>
      <c r="CE175" s="40"/>
      <c r="CF175" s="5"/>
      <c r="CH175" s="40"/>
      <c r="CI175" s="5"/>
      <c r="CK175" s="40"/>
      <c r="CL175" s="5"/>
      <c r="CN175" s="40"/>
      <c r="CO175" s="5"/>
      <c r="CQ175" s="40"/>
      <c r="CR175" s="5"/>
    </row>
    <row r="176">
      <c r="AL176" s="40"/>
      <c r="AM176" s="5"/>
      <c r="AO176" s="40"/>
      <c r="AP176" s="5"/>
      <c r="AR176" s="40"/>
      <c r="AS176" s="5"/>
      <c r="AU176" s="40"/>
      <c r="AV176" s="5"/>
      <c r="AX176" s="40"/>
      <c r="AY176" s="5"/>
      <c r="BA176" s="40"/>
      <c r="BB176" s="5"/>
      <c r="BD176" s="40"/>
      <c r="BE176" s="5"/>
      <c r="BG176" s="40"/>
      <c r="BH176" s="5"/>
      <c r="BJ176" s="40"/>
      <c r="BK176" s="5"/>
      <c r="BM176" s="40"/>
      <c r="BN176" s="5"/>
      <c r="BP176" s="40"/>
      <c r="BQ176" s="5"/>
      <c r="BS176" s="40"/>
      <c r="BT176" s="5"/>
      <c r="BV176" s="40"/>
      <c r="BW176" s="5"/>
      <c r="BY176" s="40"/>
      <c r="BZ176" s="5"/>
      <c r="CB176" s="40"/>
      <c r="CC176" s="5"/>
      <c r="CE176" s="40"/>
      <c r="CF176" s="5"/>
      <c r="CH176" s="40"/>
      <c r="CI176" s="5"/>
      <c r="CK176" s="40"/>
      <c r="CL176" s="5"/>
      <c r="CN176" s="40"/>
      <c r="CO176" s="5"/>
      <c r="CQ176" s="40"/>
      <c r="CR176" s="5"/>
    </row>
    <row r="177">
      <c r="AL177" s="40"/>
      <c r="AM177" s="5"/>
      <c r="AO177" s="40"/>
      <c r="AP177" s="5"/>
      <c r="AR177" s="40"/>
      <c r="AS177" s="5"/>
      <c r="AU177" s="40"/>
      <c r="AV177" s="5"/>
      <c r="AX177" s="40"/>
      <c r="AY177" s="5"/>
      <c r="BA177" s="40"/>
      <c r="BB177" s="5"/>
      <c r="BD177" s="40"/>
      <c r="BE177" s="5"/>
      <c r="BG177" s="40"/>
      <c r="BH177" s="5"/>
      <c r="BJ177" s="40"/>
      <c r="BK177" s="5"/>
      <c r="BM177" s="40"/>
      <c r="BN177" s="5"/>
      <c r="BP177" s="40"/>
      <c r="BQ177" s="5"/>
      <c r="BS177" s="40"/>
      <c r="BT177" s="5"/>
      <c r="BV177" s="40"/>
      <c r="BW177" s="5"/>
      <c r="BY177" s="40"/>
      <c r="BZ177" s="5"/>
      <c r="CB177" s="40"/>
      <c r="CC177" s="5"/>
      <c r="CE177" s="40"/>
      <c r="CF177" s="5"/>
      <c r="CH177" s="40"/>
      <c r="CI177" s="5"/>
      <c r="CK177" s="40"/>
      <c r="CL177" s="5"/>
      <c r="CN177" s="40"/>
      <c r="CO177" s="5"/>
      <c r="CQ177" s="40"/>
      <c r="CR177" s="5"/>
    </row>
    <row r="178">
      <c r="AL178" s="40"/>
      <c r="AM178" s="5"/>
      <c r="AO178" s="40"/>
      <c r="AP178" s="5"/>
      <c r="AR178" s="40"/>
      <c r="AS178" s="5"/>
      <c r="AU178" s="40"/>
      <c r="AV178" s="5"/>
      <c r="AX178" s="40"/>
      <c r="AY178" s="5"/>
      <c r="BA178" s="40"/>
      <c r="BB178" s="5"/>
      <c r="BD178" s="40"/>
      <c r="BE178" s="5"/>
      <c r="BG178" s="40"/>
      <c r="BH178" s="5"/>
      <c r="BJ178" s="40"/>
      <c r="BK178" s="5"/>
      <c r="BM178" s="40"/>
      <c r="BN178" s="5"/>
      <c r="BP178" s="40"/>
      <c r="BQ178" s="5"/>
      <c r="BS178" s="40"/>
      <c r="BT178" s="5"/>
      <c r="BV178" s="40"/>
      <c r="BW178" s="5"/>
      <c r="BY178" s="40"/>
      <c r="BZ178" s="5"/>
      <c r="CB178" s="40"/>
      <c r="CC178" s="5"/>
      <c r="CE178" s="40"/>
      <c r="CF178" s="5"/>
      <c r="CH178" s="40"/>
      <c r="CI178" s="5"/>
      <c r="CK178" s="40"/>
      <c r="CL178" s="5"/>
      <c r="CN178" s="40"/>
      <c r="CO178" s="5"/>
      <c r="CQ178" s="40"/>
      <c r="CR178" s="5"/>
    </row>
    <row r="179">
      <c r="AL179" s="40"/>
      <c r="AM179" s="5"/>
      <c r="AO179" s="40"/>
      <c r="AP179" s="5"/>
      <c r="AR179" s="40"/>
      <c r="AS179" s="5"/>
      <c r="AU179" s="40"/>
      <c r="AV179" s="5"/>
      <c r="AX179" s="40"/>
      <c r="AY179" s="5"/>
      <c r="BA179" s="40"/>
      <c r="BB179" s="5"/>
      <c r="BD179" s="40"/>
      <c r="BE179" s="5"/>
      <c r="BG179" s="40"/>
      <c r="BH179" s="5"/>
      <c r="BJ179" s="40"/>
      <c r="BK179" s="5"/>
      <c r="BM179" s="40"/>
      <c r="BN179" s="5"/>
      <c r="BP179" s="40"/>
      <c r="BQ179" s="5"/>
      <c r="BS179" s="40"/>
      <c r="BT179" s="5"/>
      <c r="BV179" s="40"/>
      <c r="BW179" s="5"/>
      <c r="BY179" s="40"/>
      <c r="BZ179" s="5"/>
      <c r="CB179" s="40"/>
      <c r="CC179" s="5"/>
      <c r="CE179" s="40"/>
      <c r="CF179" s="5"/>
      <c r="CH179" s="40"/>
      <c r="CI179" s="5"/>
      <c r="CK179" s="40"/>
      <c r="CL179" s="5"/>
      <c r="CN179" s="40"/>
      <c r="CO179" s="5"/>
      <c r="CQ179" s="40"/>
      <c r="CR179" s="5"/>
    </row>
    <row r="180">
      <c r="AL180" s="40"/>
      <c r="AM180" s="5"/>
      <c r="AO180" s="40"/>
      <c r="AP180" s="5"/>
      <c r="AR180" s="40"/>
      <c r="AS180" s="5"/>
      <c r="AU180" s="40"/>
      <c r="AV180" s="5"/>
      <c r="AX180" s="40"/>
      <c r="AY180" s="5"/>
      <c r="BA180" s="40"/>
      <c r="BB180" s="5"/>
      <c r="BD180" s="40"/>
      <c r="BE180" s="5"/>
      <c r="BG180" s="40"/>
      <c r="BH180" s="5"/>
      <c r="BJ180" s="40"/>
      <c r="BK180" s="5"/>
      <c r="BM180" s="40"/>
      <c r="BN180" s="5"/>
      <c r="BP180" s="40"/>
      <c r="BQ180" s="5"/>
      <c r="BS180" s="40"/>
      <c r="BT180" s="5"/>
      <c r="BV180" s="40"/>
      <c r="BW180" s="5"/>
      <c r="BY180" s="40"/>
      <c r="BZ180" s="5"/>
      <c r="CB180" s="40"/>
      <c r="CC180" s="5"/>
      <c r="CE180" s="40"/>
      <c r="CF180" s="5"/>
      <c r="CH180" s="40"/>
      <c r="CI180" s="5"/>
      <c r="CK180" s="40"/>
      <c r="CL180" s="5"/>
      <c r="CN180" s="40"/>
      <c r="CO180" s="5"/>
      <c r="CQ180" s="40"/>
      <c r="CR180" s="5"/>
    </row>
    <row r="181">
      <c r="AL181" s="40"/>
      <c r="AM181" s="5"/>
      <c r="AO181" s="40"/>
      <c r="AP181" s="5"/>
      <c r="AR181" s="40"/>
      <c r="AS181" s="5"/>
      <c r="AU181" s="40"/>
      <c r="AV181" s="5"/>
      <c r="AX181" s="40"/>
      <c r="AY181" s="5"/>
      <c r="BA181" s="40"/>
      <c r="BB181" s="5"/>
      <c r="BD181" s="40"/>
      <c r="BE181" s="5"/>
      <c r="BG181" s="40"/>
      <c r="BH181" s="5"/>
      <c r="BJ181" s="40"/>
      <c r="BK181" s="5"/>
      <c r="BM181" s="40"/>
      <c r="BN181" s="5"/>
      <c r="BP181" s="40"/>
      <c r="BQ181" s="5"/>
      <c r="BS181" s="40"/>
      <c r="BT181" s="5"/>
      <c r="BV181" s="40"/>
      <c r="BW181" s="5"/>
      <c r="BY181" s="40"/>
      <c r="BZ181" s="5"/>
      <c r="CB181" s="40"/>
      <c r="CC181" s="5"/>
      <c r="CE181" s="40"/>
      <c r="CF181" s="5"/>
      <c r="CH181" s="40"/>
      <c r="CI181" s="5"/>
      <c r="CK181" s="40"/>
      <c r="CL181" s="5"/>
      <c r="CN181" s="40"/>
      <c r="CO181" s="5"/>
      <c r="CQ181" s="40"/>
      <c r="CR181" s="5"/>
    </row>
    <row r="182">
      <c r="AL182" s="40"/>
      <c r="AM182" s="5"/>
      <c r="AO182" s="40"/>
      <c r="AP182" s="5"/>
      <c r="AR182" s="40"/>
      <c r="AS182" s="5"/>
      <c r="AU182" s="40"/>
      <c r="AV182" s="5"/>
      <c r="AX182" s="40"/>
      <c r="AY182" s="5"/>
      <c r="BA182" s="40"/>
      <c r="BB182" s="5"/>
      <c r="BD182" s="40"/>
      <c r="BE182" s="5"/>
      <c r="BG182" s="40"/>
      <c r="BH182" s="5"/>
      <c r="BJ182" s="40"/>
      <c r="BK182" s="5"/>
      <c r="BM182" s="40"/>
      <c r="BN182" s="5"/>
      <c r="BP182" s="40"/>
      <c r="BQ182" s="5"/>
      <c r="BS182" s="40"/>
      <c r="BT182" s="5"/>
      <c r="BV182" s="40"/>
      <c r="BW182" s="5"/>
      <c r="BY182" s="40"/>
      <c r="BZ182" s="5"/>
      <c r="CB182" s="40"/>
      <c r="CC182" s="5"/>
      <c r="CE182" s="40"/>
      <c r="CF182" s="5"/>
      <c r="CH182" s="40"/>
      <c r="CI182" s="5"/>
      <c r="CK182" s="40"/>
      <c r="CL182" s="5"/>
      <c r="CN182" s="40"/>
      <c r="CO182" s="5"/>
      <c r="CQ182" s="40"/>
      <c r="CR182" s="5"/>
    </row>
    <row r="183">
      <c r="AL183" s="40"/>
      <c r="AM183" s="5"/>
      <c r="AO183" s="40"/>
      <c r="AP183" s="5"/>
      <c r="AR183" s="40"/>
      <c r="AS183" s="5"/>
      <c r="AU183" s="40"/>
      <c r="AV183" s="5"/>
      <c r="AX183" s="40"/>
      <c r="AY183" s="5"/>
      <c r="BA183" s="40"/>
      <c r="BB183" s="5"/>
      <c r="BD183" s="40"/>
      <c r="BE183" s="5"/>
      <c r="BG183" s="40"/>
      <c r="BH183" s="5"/>
      <c r="BJ183" s="40"/>
      <c r="BK183" s="5"/>
      <c r="BM183" s="40"/>
      <c r="BN183" s="5"/>
      <c r="BP183" s="40"/>
      <c r="BQ183" s="5"/>
      <c r="BS183" s="40"/>
      <c r="BT183" s="5"/>
      <c r="BV183" s="40"/>
      <c r="BW183" s="5"/>
      <c r="BY183" s="40"/>
      <c r="BZ183" s="5"/>
      <c r="CB183" s="40"/>
      <c r="CC183" s="5"/>
      <c r="CE183" s="40"/>
      <c r="CF183" s="5"/>
      <c r="CH183" s="40"/>
      <c r="CI183" s="5"/>
      <c r="CK183" s="40"/>
      <c r="CL183" s="5"/>
      <c r="CN183" s="40"/>
      <c r="CO183" s="5"/>
      <c r="CQ183" s="40"/>
      <c r="CR183" s="5"/>
    </row>
    <row r="184">
      <c r="AL184" s="40"/>
      <c r="AM184" s="5"/>
      <c r="AO184" s="40"/>
      <c r="AP184" s="5"/>
      <c r="AR184" s="40"/>
      <c r="AS184" s="5"/>
      <c r="AU184" s="40"/>
      <c r="AV184" s="5"/>
      <c r="AX184" s="40"/>
      <c r="AY184" s="5"/>
      <c r="BA184" s="40"/>
      <c r="BB184" s="5"/>
      <c r="BD184" s="40"/>
      <c r="BE184" s="5"/>
      <c r="BG184" s="40"/>
      <c r="BH184" s="5"/>
      <c r="BJ184" s="40"/>
      <c r="BK184" s="5"/>
      <c r="BM184" s="40"/>
      <c r="BN184" s="5"/>
      <c r="BP184" s="40"/>
      <c r="BQ184" s="5"/>
      <c r="BS184" s="40"/>
      <c r="BT184" s="5"/>
      <c r="BV184" s="40"/>
      <c r="BW184" s="5"/>
      <c r="BY184" s="40"/>
      <c r="BZ184" s="5"/>
      <c r="CB184" s="40"/>
      <c r="CC184" s="5"/>
      <c r="CE184" s="40"/>
      <c r="CF184" s="5"/>
      <c r="CH184" s="40"/>
      <c r="CI184" s="5"/>
      <c r="CK184" s="40"/>
      <c r="CL184" s="5"/>
      <c r="CN184" s="40"/>
      <c r="CO184" s="5"/>
      <c r="CQ184" s="40"/>
      <c r="CR184" s="5"/>
    </row>
    <row r="185">
      <c r="AL185" s="40"/>
      <c r="AM185" s="5"/>
      <c r="AO185" s="40"/>
      <c r="AP185" s="5"/>
      <c r="AR185" s="40"/>
      <c r="AS185" s="5"/>
      <c r="AU185" s="40"/>
      <c r="AV185" s="5"/>
      <c r="AX185" s="40"/>
      <c r="AY185" s="5"/>
      <c r="BA185" s="40"/>
      <c r="BB185" s="5"/>
      <c r="BD185" s="40"/>
      <c r="BE185" s="5"/>
      <c r="BG185" s="40"/>
      <c r="BH185" s="5"/>
      <c r="BJ185" s="40"/>
      <c r="BK185" s="5"/>
      <c r="BM185" s="40"/>
      <c r="BN185" s="5"/>
      <c r="BP185" s="40"/>
      <c r="BQ185" s="5"/>
      <c r="BS185" s="40"/>
      <c r="BT185" s="5"/>
      <c r="BV185" s="40"/>
      <c r="BW185" s="5"/>
      <c r="BY185" s="40"/>
      <c r="BZ185" s="5"/>
      <c r="CB185" s="40"/>
      <c r="CC185" s="5"/>
      <c r="CE185" s="40"/>
      <c r="CF185" s="5"/>
      <c r="CH185" s="40"/>
      <c r="CI185" s="5"/>
      <c r="CK185" s="40"/>
      <c r="CL185" s="5"/>
      <c r="CN185" s="40"/>
      <c r="CO185" s="5"/>
      <c r="CQ185" s="40"/>
      <c r="CR185" s="5"/>
    </row>
    <row r="186">
      <c r="AL186" s="40"/>
      <c r="AM186" s="5"/>
      <c r="AO186" s="40"/>
      <c r="AP186" s="5"/>
      <c r="AR186" s="40"/>
      <c r="AS186" s="5"/>
      <c r="AU186" s="40"/>
      <c r="AV186" s="5"/>
      <c r="AX186" s="40"/>
      <c r="AY186" s="5"/>
      <c r="BA186" s="40"/>
      <c r="BB186" s="5"/>
      <c r="BD186" s="40"/>
      <c r="BE186" s="5"/>
      <c r="BG186" s="40"/>
      <c r="BH186" s="5"/>
      <c r="BJ186" s="40"/>
      <c r="BK186" s="5"/>
      <c r="BM186" s="40"/>
      <c r="BN186" s="5"/>
      <c r="BP186" s="40"/>
      <c r="BQ186" s="5"/>
      <c r="BS186" s="40"/>
      <c r="BT186" s="5"/>
      <c r="BV186" s="40"/>
      <c r="BW186" s="5"/>
      <c r="BY186" s="40"/>
      <c r="BZ186" s="5"/>
      <c r="CB186" s="40"/>
      <c r="CC186" s="5"/>
      <c r="CE186" s="40"/>
      <c r="CF186" s="5"/>
      <c r="CH186" s="40"/>
      <c r="CI186" s="5"/>
      <c r="CK186" s="40"/>
      <c r="CL186" s="5"/>
      <c r="CN186" s="40"/>
      <c r="CO186" s="5"/>
      <c r="CQ186" s="40"/>
      <c r="CR186" s="5"/>
    </row>
    <row r="187">
      <c r="AL187" s="40"/>
      <c r="AM187" s="5"/>
      <c r="AO187" s="40"/>
      <c r="AP187" s="5"/>
      <c r="AR187" s="40"/>
      <c r="AS187" s="5"/>
      <c r="AU187" s="40"/>
      <c r="AV187" s="5"/>
      <c r="AX187" s="40"/>
      <c r="AY187" s="5"/>
      <c r="BA187" s="40"/>
      <c r="BB187" s="5"/>
      <c r="BD187" s="40"/>
      <c r="BE187" s="5"/>
      <c r="BG187" s="40"/>
      <c r="BH187" s="5"/>
      <c r="BJ187" s="40"/>
      <c r="BK187" s="5"/>
      <c r="BM187" s="40"/>
      <c r="BN187" s="5"/>
      <c r="BP187" s="40"/>
      <c r="BQ187" s="5"/>
      <c r="BS187" s="40"/>
      <c r="BT187" s="5"/>
      <c r="BV187" s="40"/>
      <c r="BW187" s="5"/>
      <c r="BY187" s="40"/>
      <c r="BZ187" s="5"/>
      <c r="CB187" s="40"/>
      <c r="CC187" s="5"/>
      <c r="CE187" s="40"/>
      <c r="CF187" s="5"/>
      <c r="CH187" s="40"/>
      <c r="CI187" s="5"/>
      <c r="CK187" s="40"/>
      <c r="CL187" s="5"/>
      <c r="CN187" s="40"/>
      <c r="CO187" s="5"/>
      <c r="CQ187" s="40"/>
      <c r="CR187" s="5"/>
    </row>
    <row r="188">
      <c r="AL188" s="40"/>
      <c r="AM188" s="5"/>
      <c r="AO188" s="40"/>
      <c r="AP188" s="5"/>
      <c r="AR188" s="40"/>
      <c r="AS188" s="5"/>
      <c r="AU188" s="40"/>
      <c r="AV188" s="5"/>
      <c r="AX188" s="40"/>
      <c r="AY188" s="5"/>
      <c r="BA188" s="40"/>
      <c r="BB188" s="5"/>
      <c r="BD188" s="40"/>
      <c r="BE188" s="5"/>
      <c r="BG188" s="40"/>
      <c r="BH188" s="5"/>
      <c r="BJ188" s="40"/>
      <c r="BK188" s="5"/>
      <c r="BM188" s="40"/>
      <c r="BN188" s="5"/>
      <c r="BP188" s="40"/>
      <c r="BQ188" s="5"/>
      <c r="BS188" s="40"/>
      <c r="BT188" s="5"/>
      <c r="BV188" s="40"/>
      <c r="BW188" s="5"/>
      <c r="BY188" s="40"/>
      <c r="BZ188" s="5"/>
      <c r="CB188" s="40"/>
      <c r="CC188" s="5"/>
      <c r="CE188" s="40"/>
      <c r="CF188" s="5"/>
      <c r="CH188" s="40"/>
      <c r="CI188" s="5"/>
      <c r="CK188" s="40"/>
      <c r="CL188" s="5"/>
      <c r="CN188" s="40"/>
      <c r="CO188" s="5"/>
      <c r="CQ188" s="40"/>
      <c r="CR188" s="5"/>
    </row>
    <row r="189">
      <c r="AL189" s="40"/>
      <c r="AM189" s="5"/>
      <c r="AO189" s="40"/>
      <c r="AP189" s="5"/>
      <c r="AR189" s="40"/>
      <c r="AS189" s="5"/>
      <c r="AU189" s="40"/>
      <c r="AV189" s="5"/>
      <c r="AX189" s="40"/>
      <c r="AY189" s="5"/>
      <c r="BA189" s="40"/>
      <c r="BB189" s="5"/>
      <c r="BD189" s="40"/>
      <c r="BE189" s="5"/>
      <c r="BG189" s="40"/>
      <c r="BH189" s="5"/>
      <c r="BJ189" s="40"/>
      <c r="BK189" s="5"/>
      <c r="BM189" s="40"/>
      <c r="BN189" s="5"/>
      <c r="BP189" s="40"/>
      <c r="BQ189" s="5"/>
      <c r="BS189" s="40"/>
      <c r="BT189" s="5"/>
      <c r="BV189" s="40"/>
      <c r="BW189" s="5"/>
      <c r="BY189" s="40"/>
      <c r="BZ189" s="5"/>
      <c r="CB189" s="40"/>
      <c r="CC189" s="5"/>
      <c r="CE189" s="40"/>
      <c r="CF189" s="5"/>
      <c r="CH189" s="40"/>
      <c r="CI189" s="5"/>
      <c r="CK189" s="40"/>
      <c r="CL189" s="5"/>
      <c r="CN189" s="40"/>
      <c r="CO189" s="5"/>
      <c r="CQ189" s="40"/>
      <c r="CR189" s="5"/>
    </row>
    <row r="190">
      <c r="AL190" s="40"/>
      <c r="AM190" s="5"/>
      <c r="AO190" s="40"/>
      <c r="AP190" s="5"/>
      <c r="AR190" s="40"/>
      <c r="AS190" s="5"/>
      <c r="AU190" s="40"/>
      <c r="AV190" s="5"/>
      <c r="AX190" s="40"/>
      <c r="AY190" s="5"/>
      <c r="BA190" s="40"/>
      <c r="BB190" s="5"/>
      <c r="BD190" s="40"/>
      <c r="BE190" s="5"/>
      <c r="BG190" s="40"/>
      <c r="BH190" s="5"/>
      <c r="BJ190" s="40"/>
      <c r="BK190" s="5"/>
      <c r="BM190" s="40"/>
      <c r="BN190" s="5"/>
      <c r="BP190" s="40"/>
      <c r="BQ190" s="5"/>
      <c r="BS190" s="40"/>
      <c r="BT190" s="5"/>
      <c r="BV190" s="40"/>
      <c r="BW190" s="5"/>
      <c r="BY190" s="40"/>
      <c r="BZ190" s="5"/>
      <c r="CB190" s="40"/>
      <c r="CC190" s="5"/>
      <c r="CE190" s="40"/>
      <c r="CF190" s="5"/>
      <c r="CH190" s="40"/>
      <c r="CI190" s="5"/>
      <c r="CK190" s="40"/>
      <c r="CL190" s="5"/>
      <c r="CN190" s="40"/>
      <c r="CO190" s="5"/>
      <c r="CQ190" s="40"/>
      <c r="CR190" s="5"/>
    </row>
    <row r="191">
      <c r="AL191" s="40"/>
      <c r="AM191" s="5"/>
      <c r="AO191" s="40"/>
      <c r="AP191" s="5"/>
      <c r="AR191" s="40"/>
      <c r="AS191" s="5"/>
      <c r="AU191" s="40"/>
      <c r="AV191" s="5"/>
      <c r="AX191" s="40"/>
      <c r="AY191" s="5"/>
      <c r="BA191" s="40"/>
      <c r="BB191" s="5"/>
      <c r="BD191" s="40"/>
      <c r="BE191" s="5"/>
      <c r="BG191" s="40"/>
      <c r="BH191" s="5"/>
      <c r="BJ191" s="40"/>
      <c r="BK191" s="5"/>
      <c r="BM191" s="40"/>
      <c r="BN191" s="5"/>
      <c r="BP191" s="40"/>
      <c r="BQ191" s="5"/>
      <c r="BS191" s="40"/>
      <c r="BT191" s="5"/>
      <c r="BV191" s="40"/>
      <c r="BW191" s="5"/>
      <c r="BY191" s="40"/>
      <c r="BZ191" s="5"/>
      <c r="CB191" s="40"/>
      <c r="CC191" s="5"/>
      <c r="CE191" s="40"/>
      <c r="CF191" s="5"/>
      <c r="CH191" s="40"/>
      <c r="CI191" s="5"/>
      <c r="CK191" s="40"/>
      <c r="CL191" s="5"/>
      <c r="CN191" s="40"/>
      <c r="CO191" s="5"/>
      <c r="CQ191" s="40"/>
      <c r="CR191" s="5"/>
    </row>
    <row r="192">
      <c r="AL192" s="40"/>
      <c r="AM192" s="5"/>
      <c r="AO192" s="40"/>
      <c r="AP192" s="5"/>
      <c r="AR192" s="40"/>
      <c r="AS192" s="5"/>
      <c r="AU192" s="40"/>
      <c r="AV192" s="5"/>
      <c r="AX192" s="40"/>
      <c r="AY192" s="5"/>
      <c r="BA192" s="40"/>
      <c r="BB192" s="5"/>
      <c r="BD192" s="40"/>
      <c r="BE192" s="5"/>
      <c r="BG192" s="40"/>
      <c r="BH192" s="5"/>
      <c r="BJ192" s="40"/>
      <c r="BK192" s="5"/>
      <c r="BM192" s="40"/>
      <c r="BN192" s="5"/>
      <c r="BP192" s="40"/>
      <c r="BQ192" s="5"/>
      <c r="BS192" s="40"/>
      <c r="BT192" s="5"/>
      <c r="BV192" s="40"/>
      <c r="BW192" s="5"/>
      <c r="BY192" s="40"/>
      <c r="BZ192" s="5"/>
      <c r="CB192" s="40"/>
      <c r="CC192" s="5"/>
      <c r="CE192" s="40"/>
      <c r="CF192" s="5"/>
      <c r="CH192" s="40"/>
      <c r="CI192" s="5"/>
      <c r="CK192" s="40"/>
      <c r="CL192" s="5"/>
      <c r="CN192" s="40"/>
      <c r="CO192" s="5"/>
      <c r="CQ192" s="40"/>
      <c r="CR192" s="5"/>
    </row>
    <row r="193">
      <c r="AL193" s="40"/>
      <c r="AM193" s="5"/>
      <c r="AO193" s="40"/>
      <c r="AP193" s="5"/>
      <c r="AR193" s="40"/>
      <c r="AS193" s="5"/>
      <c r="AU193" s="40"/>
      <c r="AV193" s="5"/>
      <c r="AX193" s="40"/>
      <c r="AY193" s="5"/>
      <c r="BA193" s="40"/>
      <c r="BB193" s="5"/>
      <c r="BD193" s="40"/>
      <c r="BE193" s="5"/>
      <c r="BG193" s="40"/>
      <c r="BH193" s="5"/>
      <c r="BJ193" s="40"/>
      <c r="BK193" s="5"/>
      <c r="BM193" s="40"/>
      <c r="BN193" s="5"/>
      <c r="BP193" s="40"/>
      <c r="BQ193" s="5"/>
      <c r="BS193" s="40"/>
      <c r="BT193" s="5"/>
      <c r="BV193" s="40"/>
      <c r="BW193" s="5"/>
      <c r="BY193" s="40"/>
      <c r="BZ193" s="5"/>
      <c r="CB193" s="40"/>
      <c r="CC193" s="5"/>
      <c r="CE193" s="40"/>
      <c r="CF193" s="5"/>
      <c r="CH193" s="40"/>
      <c r="CI193" s="5"/>
      <c r="CK193" s="40"/>
      <c r="CL193" s="5"/>
      <c r="CN193" s="40"/>
      <c r="CO193" s="5"/>
      <c r="CQ193" s="40"/>
      <c r="CR193" s="5"/>
    </row>
    <row r="194">
      <c r="AL194" s="40"/>
      <c r="AM194" s="5"/>
      <c r="AO194" s="40"/>
      <c r="AP194" s="5"/>
      <c r="AR194" s="40"/>
      <c r="AS194" s="5"/>
      <c r="AU194" s="40"/>
      <c r="AV194" s="5"/>
      <c r="AX194" s="40"/>
      <c r="AY194" s="5"/>
      <c r="BA194" s="40"/>
      <c r="BB194" s="5"/>
      <c r="BD194" s="40"/>
      <c r="BE194" s="5"/>
      <c r="BG194" s="40"/>
      <c r="BH194" s="5"/>
      <c r="BJ194" s="40"/>
      <c r="BK194" s="5"/>
      <c r="BM194" s="40"/>
      <c r="BN194" s="5"/>
      <c r="BP194" s="40"/>
      <c r="BQ194" s="5"/>
      <c r="BS194" s="40"/>
      <c r="BT194" s="5"/>
      <c r="BV194" s="40"/>
      <c r="BW194" s="5"/>
      <c r="BY194" s="40"/>
      <c r="BZ194" s="5"/>
      <c r="CB194" s="40"/>
      <c r="CC194" s="5"/>
      <c r="CE194" s="40"/>
      <c r="CF194" s="5"/>
      <c r="CH194" s="40"/>
      <c r="CI194" s="5"/>
      <c r="CK194" s="40"/>
      <c r="CL194" s="5"/>
      <c r="CN194" s="40"/>
      <c r="CO194" s="5"/>
      <c r="CQ194" s="40"/>
      <c r="CR194" s="5"/>
    </row>
    <row r="195">
      <c r="AL195" s="40"/>
      <c r="AM195" s="5"/>
      <c r="AO195" s="40"/>
      <c r="AP195" s="5"/>
      <c r="AR195" s="40"/>
      <c r="AS195" s="5"/>
      <c r="AU195" s="40"/>
      <c r="AV195" s="5"/>
      <c r="AX195" s="40"/>
      <c r="AY195" s="5"/>
      <c r="BA195" s="40"/>
      <c r="BB195" s="5"/>
      <c r="BD195" s="40"/>
      <c r="BE195" s="5"/>
      <c r="BG195" s="40"/>
      <c r="BH195" s="5"/>
      <c r="BJ195" s="40"/>
      <c r="BK195" s="5"/>
      <c r="BM195" s="40"/>
      <c r="BN195" s="5"/>
      <c r="BP195" s="40"/>
      <c r="BQ195" s="5"/>
      <c r="BS195" s="40"/>
      <c r="BT195" s="5"/>
      <c r="BV195" s="40"/>
      <c r="BW195" s="5"/>
      <c r="BY195" s="40"/>
      <c r="BZ195" s="5"/>
      <c r="CB195" s="40"/>
      <c r="CC195" s="5"/>
      <c r="CE195" s="40"/>
      <c r="CF195" s="5"/>
      <c r="CH195" s="40"/>
      <c r="CI195" s="5"/>
      <c r="CK195" s="40"/>
      <c r="CL195" s="5"/>
      <c r="CN195" s="40"/>
      <c r="CO195" s="5"/>
      <c r="CQ195" s="40"/>
      <c r="CR195" s="5"/>
    </row>
    <row r="196">
      <c r="AL196" s="40"/>
      <c r="AM196" s="5"/>
      <c r="AO196" s="40"/>
      <c r="AP196" s="5"/>
      <c r="AR196" s="40"/>
      <c r="AS196" s="5"/>
      <c r="AU196" s="40"/>
      <c r="AV196" s="5"/>
      <c r="AX196" s="40"/>
      <c r="AY196" s="5"/>
      <c r="BA196" s="40"/>
      <c r="BB196" s="5"/>
      <c r="BD196" s="40"/>
      <c r="BE196" s="5"/>
      <c r="BG196" s="40"/>
      <c r="BH196" s="5"/>
      <c r="BJ196" s="40"/>
      <c r="BK196" s="5"/>
      <c r="BM196" s="40"/>
      <c r="BN196" s="5"/>
      <c r="BP196" s="40"/>
      <c r="BQ196" s="5"/>
      <c r="BS196" s="40"/>
      <c r="BT196" s="5"/>
      <c r="BV196" s="40"/>
      <c r="BW196" s="5"/>
      <c r="BY196" s="40"/>
      <c r="BZ196" s="5"/>
      <c r="CB196" s="40"/>
      <c r="CC196" s="5"/>
      <c r="CE196" s="40"/>
      <c r="CF196" s="5"/>
      <c r="CH196" s="40"/>
      <c r="CI196" s="5"/>
      <c r="CK196" s="40"/>
      <c r="CL196" s="5"/>
      <c r="CN196" s="40"/>
      <c r="CO196" s="5"/>
      <c r="CQ196" s="40"/>
      <c r="CR196" s="5"/>
    </row>
    <row r="197">
      <c r="AL197" s="40"/>
      <c r="AM197" s="5"/>
      <c r="AO197" s="40"/>
      <c r="AP197" s="5"/>
      <c r="AR197" s="40"/>
      <c r="AS197" s="5"/>
      <c r="AU197" s="40"/>
      <c r="AV197" s="5"/>
      <c r="AX197" s="40"/>
      <c r="AY197" s="5"/>
      <c r="BA197" s="40"/>
      <c r="BB197" s="5"/>
      <c r="BD197" s="40"/>
      <c r="BE197" s="5"/>
      <c r="BG197" s="40"/>
      <c r="BH197" s="5"/>
      <c r="BJ197" s="40"/>
      <c r="BK197" s="5"/>
      <c r="BM197" s="40"/>
      <c r="BN197" s="5"/>
      <c r="BP197" s="40"/>
      <c r="BQ197" s="5"/>
      <c r="BS197" s="40"/>
      <c r="BT197" s="5"/>
      <c r="BV197" s="40"/>
      <c r="BW197" s="5"/>
      <c r="BY197" s="40"/>
      <c r="BZ197" s="5"/>
      <c r="CB197" s="40"/>
      <c r="CC197" s="5"/>
      <c r="CE197" s="40"/>
      <c r="CF197" s="5"/>
      <c r="CH197" s="40"/>
      <c r="CI197" s="5"/>
      <c r="CK197" s="40"/>
      <c r="CL197" s="5"/>
      <c r="CN197" s="40"/>
      <c r="CO197" s="5"/>
      <c r="CQ197" s="40"/>
      <c r="CR197" s="5"/>
    </row>
    <row r="198">
      <c r="AL198" s="40"/>
      <c r="AM198" s="5"/>
      <c r="AO198" s="40"/>
      <c r="AP198" s="5"/>
      <c r="AR198" s="40"/>
      <c r="AS198" s="5"/>
      <c r="AU198" s="40"/>
      <c r="AV198" s="5"/>
      <c r="AX198" s="40"/>
      <c r="AY198" s="5"/>
      <c r="BA198" s="40"/>
      <c r="BB198" s="5"/>
      <c r="BD198" s="40"/>
      <c r="BE198" s="5"/>
      <c r="BG198" s="40"/>
      <c r="BH198" s="5"/>
      <c r="BJ198" s="40"/>
      <c r="BK198" s="5"/>
      <c r="BM198" s="40"/>
      <c r="BN198" s="5"/>
      <c r="BP198" s="40"/>
      <c r="BQ198" s="5"/>
      <c r="BS198" s="40"/>
      <c r="BT198" s="5"/>
      <c r="BV198" s="40"/>
      <c r="BW198" s="5"/>
      <c r="BY198" s="40"/>
      <c r="BZ198" s="5"/>
      <c r="CB198" s="40"/>
      <c r="CC198" s="5"/>
      <c r="CE198" s="40"/>
      <c r="CF198" s="5"/>
      <c r="CH198" s="40"/>
      <c r="CI198" s="5"/>
      <c r="CK198" s="40"/>
      <c r="CL198" s="5"/>
      <c r="CN198" s="40"/>
      <c r="CO198" s="5"/>
      <c r="CQ198" s="40"/>
      <c r="CR198" s="5"/>
    </row>
    <row r="199">
      <c r="AL199" s="40"/>
      <c r="AM199" s="5"/>
      <c r="AO199" s="40"/>
      <c r="AP199" s="5"/>
      <c r="AR199" s="40"/>
      <c r="AS199" s="5"/>
      <c r="AU199" s="40"/>
      <c r="AV199" s="5"/>
      <c r="AX199" s="40"/>
      <c r="AY199" s="5"/>
      <c r="BA199" s="40"/>
      <c r="BB199" s="5"/>
      <c r="BD199" s="40"/>
      <c r="BE199" s="5"/>
      <c r="BG199" s="40"/>
      <c r="BH199" s="5"/>
      <c r="BJ199" s="40"/>
      <c r="BK199" s="5"/>
      <c r="BM199" s="40"/>
      <c r="BN199" s="5"/>
      <c r="BP199" s="40"/>
      <c r="BQ199" s="5"/>
      <c r="BS199" s="40"/>
      <c r="BT199" s="5"/>
      <c r="BV199" s="40"/>
      <c r="BW199" s="5"/>
      <c r="BY199" s="40"/>
      <c r="BZ199" s="5"/>
      <c r="CB199" s="40"/>
      <c r="CC199" s="5"/>
      <c r="CE199" s="40"/>
      <c r="CF199" s="5"/>
      <c r="CH199" s="40"/>
      <c r="CI199" s="5"/>
      <c r="CK199" s="40"/>
      <c r="CL199" s="5"/>
      <c r="CN199" s="40"/>
      <c r="CO199" s="5"/>
      <c r="CQ199" s="40"/>
      <c r="CR199" s="5"/>
    </row>
    <row r="200">
      <c r="AL200" s="40"/>
      <c r="AM200" s="5"/>
      <c r="AO200" s="40"/>
      <c r="AP200" s="5"/>
      <c r="AR200" s="40"/>
      <c r="AS200" s="5"/>
      <c r="AU200" s="40"/>
      <c r="AV200" s="5"/>
      <c r="AX200" s="40"/>
      <c r="AY200" s="5"/>
      <c r="BA200" s="40"/>
      <c r="BB200" s="5"/>
      <c r="BD200" s="40"/>
      <c r="BE200" s="5"/>
      <c r="BG200" s="40"/>
      <c r="BH200" s="5"/>
      <c r="BJ200" s="40"/>
      <c r="BK200" s="5"/>
      <c r="BM200" s="40"/>
      <c r="BN200" s="5"/>
      <c r="BP200" s="40"/>
      <c r="BQ200" s="5"/>
      <c r="BS200" s="40"/>
      <c r="BT200" s="5"/>
      <c r="BV200" s="40"/>
      <c r="BW200" s="5"/>
      <c r="BY200" s="40"/>
      <c r="BZ200" s="5"/>
      <c r="CB200" s="40"/>
      <c r="CC200" s="5"/>
      <c r="CE200" s="40"/>
      <c r="CF200" s="5"/>
      <c r="CH200" s="40"/>
      <c r="CI200" s="5"/>
      <c r="CK200" s="40"/>
      <c r="CL200" s="5"/>
      <c r="CN200" s="40"/>
      <c r="CO200" s="5"/>
      <c r="CQ200" s="40"/>
      <c r="CR200" s="5"/>
    </row>
    <row r="201">
      <c r="AL201" s="40"/>
      <c r="AM201" s="5"/>
      <c r="AO201" s="40"/>
      <c r="AP201" s="5"/>
      <c r="AR201" s="40"/>
      <c r="AS201" s="5"/>
      <c r="AU201" s="40"/>
      <c r="AV201" s="5"/>
      <c r="AX201" s="40"/>
      <c r="AY201" s="5"/>
      <c r="BA201" s="40"/>
      <c r="BB201" s="5"/>
      <c r="BD201" s="40"/>
      <c r="BE201" s="5"/>
      <c r="BG201" s="40"/>
      <c r="BH201" s="5"/>
      <c r="BJ201" s="40"/>
      <c r="BK201" s="5"/>
      <c r="BM201" s="40"/>
      <c r="BN201" s="5"/>
      <c r="BP201" s="40"/>
      <c r="BQ201" s="5"/>
      <c r="BS201" s="40"/>
      <c r="BT201" s="5"/>
      <c r="BV201" s="40"/>
      <c r="BW201" s="5"/>
      <c r="BY201" s="40"/>
      <c r="BZ201" s="5"/>
      <c r="CB201" s="40"/>
      <c r="CC201" s="5"/>
      <c r="CE201" s="40"/>
      <c r="CF201" s="5"/>
      <c r="CH201" s="40"/>
      <c r="CI201" s="5"/>
      <c r="CK201" s="40"/>
      <c r="CL201" s="5"/>
      <c r="CN201" s="40"/>
      <c r="CO201" s="5"/>
      <c r="CQ201" s="40"/>
      <c r="CR201" s="5"/>
    </row>
    <row r="202">
      <c r="AL202" s="40"/>
      <c r="AM202" s="5"/>
      <c r="AO202" s="40"/>
      <c r="AP202" s="5"/>
      <c r="AR202" s="40"/>
      <c r="AS202" s="5"/>
      <c r="AU202" s="40"/>
      <c r="AV202" s="5"/>
      <c r="AX202" s="40"/>
      <c r="AY202" s="5"/>
      <c r="BA202" s="40"/>
      <c r="BB202" s="5"/>
      <c r="BD202" s="40"/>
      <c r="BE202" s="5"/>
      <c r="BG202" s="40"/>
      <c r="BH202" s="5"/>
      <c r="BJ202" s="40"/>
      <c r="BK202" s="5"/>
      <c r="BM202" s="40"/>
      <c r="BN202" s="5"/>
      <c r="BP202" s="40"/>
      <c r="BQ202" s="5"/>
      <c r="BS202" s="40"/>
      <c r="BT202" s="5"/>
      <c r="BV202" s="40"/>
      <c r="BW202" s="5"/>
      <c r="BY202" s="40"/>
      <c r="BZ202" s="5"/>
      <c r="CB202" s="40"/>
      <c r="CC202" s="5"/>
      <c r="CE202" s="40"/>
      <c r="CF202" s="5"/>
      <c r="CH202" s="40"/>
      <c r="CI202" s="5"/>
      <c r="CK202" s="40"/>
      <c r="CL202" s="5"/>
      <c r="CN202" s="40"/>
      <c r="CO202" s="5"/>
      <c r="CQ202" s="40"/>
      <c r="CR202" s="5"/>
    </row>
    <row r="203">
      <c r="AL203" s="40"/>
      <c r="AM203" s="5"/>
      <c r="AO203" s="40"/>
      <c r="AP203" s="5"/>
      <c r="AR203" s="40"/>
      <c r="AS203" s="5"/>
      <c r="AU203" s="40"/>
      <c r="AV203" s="5"/>
      <c r="AX203" s="40"/>
      <c r="AY203" s="5"/>
      <c r="BA203" s="40"/>
      <c r="BB203" s="5"/>
      <c r="BD203" s="40"/>
      <c r="BE203" s="5"/>
      <c r="BG203" s="40"/>
      <c r="BH203" s="5"/>
      <c r="BJ203" s="40"/>
      <c r="BK203" s="5"/>
      <c r="BM203" s="40"/>
      <c r="BN203" s="5"/>
      <c r="BP203" s="40"/>
      <c r="BQ203" s="5"/>
      <c r="BS203" s="40"/>
      <c r="BT203" s="5"/>
      <c r="BV203" s="40"/>
      <c r="BW203" s="5"/>
      <c r="BY203" s="40"/>
      <c r="BZ203" s="5"/>
      <c r="CB203" s="40"/>
      <c r="CC203" s="5"/>
      <c r="CE203" s="40"/>
      <c r="CF203" s="5"/>
      <c r="CH203" s="40"/>
      <c r="CI203" s="5"/>
      <c r="CK203" s="40"/>
      <c r="CL203" s="5"/>
      <c r="CN203" s="40"/>
      <c r="CO203" s="5"/>
      <c r="CQ203" s="40"/>
      <c r="CR203" s="5"/>
    </row>
    <row r="204">
      <c r="AL204" s="40"/>
      <c r="AM204" s="5"/>
      <c r="AO204" s="40"/>
      <c r="AP204" s="5"/>
      <c r="AR204" s="40"/>
      <c r="AS204" s="5"/>
      <c r="AU204" s="40"/>
      <c r="AV204" s="5"/>
      <c r="AX204" s="40"/>
      <c r="AY204" s="5"/>
      <c r="BA204" s="40"/>
      <c r="BB204" s="5"/>
      <c r="BD204" s="40"/>
      <c r="BE204" s="5"/>
      <c r="BG204" s="40"/>
      <c r="BH204" s="5"/>
      <c r="BJ204" s="40"/>
      <c r="BK204" s="5"/>
      <c r="BM204" s="40"/>
      <c r="BN204" s="5"/>
      <c r="BP204" s="40"/>
      <c r="BQ204" s="5"/>
      <c r="BS204" s="40"/>
      <c r="BT204" s="5"/>
      <c r="BV204" s="40"/>
      <c r="BW204" s="5"/>
      <c r="BY204" s="40"/>
      <c r="BZ204" s="5"/>
      <c r="CB204" s="40"/>
      <c r="CC204" s="5"/>
      <c r="CE204" s="40"/>
      <c r="CF204" s="5"/>
      <c r="CH204" s="40"/>
      <c r="CI204" s="5"/>
      <c r="CK204" s="40"/>
      <c r="CL204" s="5"/>
      <c r="CN204" s="40"/>
      <c r="CO204" s="5"/>
      <c r="CQ204" s="40"/>
      <c r="CR204" s="5"/>
    </row>
    <row r="205">
      <c r="AL205" s="40"/>
      <c r="AM205" s="5"/>
      <c r="AO205" s="40"/>
      <c r="AP205" s="5"/>
      <c r="AR205" s="40"/>
      <c r="AS205" s="5"/>
      <c r="AU205" s="40"/>
      <c r="AV205" s="5"/>
      <c r="AX205" s="40"/>
      <c r="AY205" s="5"/>
      <c r="BA205" s="40"/>
      <c r="BB205" s="5"/>
      <c r="BD205" s="40"/>
      <c r="BE205" s="5"/>
      <c r="BG205" s="40"/>
      <c r="BH205" s="5"/>
      <c r="BJ205" s="40"/>
      <c r="BK205" s="5"/>
      <c r="BM205" s="40"/>
      <c r="BN205" s="5"/>
      <c r="BP205" s="40"/>
      <c r="BQ205" s="5"/>
      <c r="BS205" s="40"/>
      <c r="BT205" s="5"/>
      <c r="BV205" s="40"/>
      <c r="BW205" s="5"/>
      <c r="BY205" s="40"/>
      <c r="BZ205" s="5"/>
      <c r="CB205" s="40"/>
      <c r="CC205" s="5"/>
      <c r="CE205" s="40"/>
      <c r="CF205" s="5"/>
      <c r="CH205" s="40"/>
      <c r="CI205" s="5"/>
      <c r="CK205" s="40"/>
      <c r="CL205" s="5"/>
      <c r="CN205" s="40"/>
      <c r="CO205" s="5"/>
      <c r="CQ205" s="40"/>
      <c r="CR205" s="5"/>
    </row>
    <row r="206">
      <c r="AL206" s="40"/>
      <c r="AM206" s="5"/>
      <c r="AO206" s="40"/>
      <c r="AP206" s="5"/>
      <c r="AR206" s="40"/>
      <c r="AS206" s="5"/>
      <c r="AU206" s="40"/>
      <c r="AV206" s="5"/>
      <c r="AX206" s="40"/>
      <c r="AY206" s="5"/>
      <c r="BA206" s="40"/>
      <c r="BB206" s="5"/>
      <c r="BD206" s="40"/>
      <c r="BE206" s="5"/>
      <c r="BG206" s="40"/>
      <c r="BH206" s="5"/>
      <c r="BJ206" s="40"/>
      <c r="BK206" s="5"/>
      <c r="BM206" s="40"/>
      <c r="BN206" s="5"/>
      <c r="BP206" s="40"/>
      <c r="BQ206" s="5"/>
      <c r="BS206" s="40"/>
      <c r="BT206" s="5"/>
      <c r="BV206" s="40"/>
      <c r="BW206" s="5"/>
      <c r="BY206" s="40"/>
      <c r="BZ206" s="5"/>
      <c r="CB206" s="40"/>
      <c r="CC206" s="5"/>
      <c r="CE206" s="40"/>
      <c r="CF206" s="5"/>
      <c r="CH206" s="40"/>
      <c r="CI206" s="5"/>
      <c r="CK206" s="40"/>
      <c r="CL206" s="5"/>
      <c r="CN206" s="40"/>
      <c r="CO206" s="5"/>
      <c r="CQ206" s="40"/>
      <c r="CR206" s="5"/>
    </row>
    <row r="207">
      <c r="AL207" s="40"/>
      <c r="AM207" s="5"/>
      <c r="AO207" s="40"/>
      <c r="AP207" s="5"/>
      <c r="AR207" s="40"/>
      <c r="AS207" s="5"/>
      <c r="AU207" s="40"/>
      <c r="AV207" s="5"/>
      <c r="AX207" s="40"/>
      <c r="AY207" s="5"/>
      <c r="BA207" s="40"/>
      <c r="BB207" s="5"/>
      <c r="BD207" s="40"/>
      <c r="BE207" s="5"/>
      <c r="BG207" s="40"/>
      <c r="BH207" s="5"/>
      <c r="BJ207" s="40"/>
      <c r="BK207" s="5"/>
      <c r="BM207" s="40"/>
      <c r="BN207" s="5"/>
      <c r="BP207" s="40"/>
      <c r="BQ207" s="5"/>
      <c r="BS207" s="40"/>
      <c r="BT207" s="5"/>
      <c r="BV207" s="40"/>
      <c r="BW207" s="5"/>
      <c r="BY207" s="40"/>
      <c r="BZ207" s="5"/>
      <c r="CB207" s="40"/>
      <c r="CC207" s="5"/>
      <c r="CE207" s="40"/>
      <c r="CF207" s="5"/>
      <c r="CH207" s="40"/>
      <c r="CI207" s="5"/>
      <c r="CK207" s="40"/>
      <c r="CL207" s="5"/>
      <c r="CN207" s="40"/>
      <c r="CO207" s="5"/>
      <c r="CQ207" s="40"/>
      <c r="CR207" s="5"/>
    </row>
    <row r="208">
      <c r="AL208" s="40"/>
      <c r="AM208" s="5"/>
      <c r="AO208" s="40"/>
      <c r="AP208" s="5"/>
      <c r="AR208" s="40"/>
      <c r="AS208" s="5"/>
      <c r="AU208" s="40"/>
      <c r="AV208" s="5"/>
      <c r="AX208" s="40"/>
      <c r="AY208" s="5"/>
      <c r="BA208" s="40"/>
      <c r="BB208" s="5"/>
      <c r="BD208" s="40"/>
      <c r="BE208" s="5"/>
      <c r="BG208" s="40"/>
      <c r="BH208" s="5"/>
      <c r="BJ208" s="40"/>
      <c r="BK208" s="5"/>
      <c r="BM208" s="40"/>
      <c r="BN208" s="5"/>
      <c r="BP208" s="40"/>
      <c r="BQ208" s="5"/>
      <c r="BS208" s="40"/>
      <c r="BT208" s="5"/>
      <c r="BV208" s="40"/>
      <c r="BW208" s="5"/>
      <c r="BY208" s="40"/>
      <c r="BZ208" s="5"/>
      <c r="CB208" s="40"/>
      <c r="CC208" s="5"/>
      <c r="CE208" s="40"/>
      <c r="CF208" s="5"/>
      <c r="CH208" s="40"/>
      <c r="CI208" s="5"/>
      <c r="CK208" s="40"/>
      <c r="CL208" s="5"/>
      <c r="CN208" s="40"/>
      <c r="CO208" s="5"/>
      <c r="CQ208" s="40"/>
      <c r="CR208" s="5"/>
    </row>
    <row r="209">
      <c r="AL209" s="40"/>
      <c r="AM209" s="5"/>
      <c r="AO209" s="40"/>
      <c r="AP209" s="5"/>
      <c r="AR209" s="40"/>
      <c r="AS209" s="5"/>
      <c r="AU209" s="40"/>
      <c r="AV209" s="5"/>
      <c r="AX209" s="40"/>
      <c r="AY209" s="5"/>
      <c r="BA209" s="40"/>
      <c r="BB209" s="5"/>
      <c r="BD209" s="40"/>
      <c r="BE209" s="5"/>
      <c r="BG209" s="40"/>
      <c r="BH209" s="5"/>
      <c r="BJ209" s="40"/>
      <c r="BK209" s="5"/>
      <c r="BM209" s="40"/>
      <c r="BN209" s="5"/>
      <c r="BP209" s="40"/>
      <c r="BQ209" s="5"/>
      <c r="BS209" s="40"/>
      <c r="BT209" s="5"/>
      <c r="BV209" s="40"/>
      <c r="BW209" s="5"/>
      <c r="BY209" s="40"/>
      <c r="BZ209" s="5"/>
      <c r="CB209" s="40"/>
      <c r="CC209" s="5"/>
      <c r="CE209" s="40"/>
      <c r="CF209" s="5"/>
      <c r="CH209" s="40"/>
      <c r="CI209" s="5"/>
      <c r="CK209" s="40"/>
      <c r="CL209" s="5"/>
      <c r="CN209" s="40"/>
      <c r="CO209" s="5"/>
      <c r="CQ209" s="40"/>
      <c r="CR209" s="5"/>
    </row>
    <row r="210">
      <c r="AL210" s="40"/>
      <c r="AM210" s="5"/>
      <c r="AO210" s="40"/>
      <c r="AP210" s="5"/>
      <c r="AR210" s="40"/>
      <c r="AS210" s="5"/>
      <c r="AU210" s="40"/>
      <c r="AV210" s="5"/>
      <c r="AX210" s="40"/>
      <c r="AY210" s="5"/>
      <c r="BA210" s="40"/>
      <c r="BB210" s="5"/>
      <c r="BD210" s="40"/>
      <c r="BE210" s="5"/>
      <c r="BG210" s="40"/>
      <c r="BH210" s="5"/>
      <c r="BJ210" s="40"/>
      <c r="BK210" s="5"/>
      <c r="BM210" s="40"/>
      <c r="BN210" s="5"/>
      <c r="BP210" s="40"/>
      <c r="BQ210" s="5"/>
      <c r="BS210" s="40"/>
      <c r="BT210" s="5"/>
      <c r="BV210" s="40"/>
      <c r="BW210" s="5"/>
      <c r="BY210" s="40"/>
      <c r="BZ210" s="5"/>
      <c r="CB210" s="40"/>
      <c r="CC210" s="5"/>
      <c r="CE210" s="40"/>
      <c r="CF210" s="5"/>
      <c r="CH210" s="40"/>
      <c r="CI210" s="5"/>
      <c r="CK210" s="40"/>
      <c r="CL210" s="5"/>
      <c r="CN210" s="40"/>
      <c r="CO210" s="5"/>
      <c r="CQ210" s="40"/>
      <c r="CR210" s="5"/>
    </row>
    <row r="211">
      <c r="AL211" s="40"/>
      <c r="AM211" s="5"/>
      <c r="AO211" s="40"/>
      <c r="AP211" s="5"/>
      <c r="AR211" s="40"/>
      <c r="AS211" s="5"/>
      <c r="AU211" s="40"/>
      <c r="AV211" s="5"/>
      <c r="AX211" s="40"/>
      <c r="AY211" s="5"/>
      <c r="BA211" s="40"/>
      <c r="BB211" s="5"/>
      <c r="BD211" s="40"/>
      <c r="BE211" s="5"/>
      <c r="BG211" s="40"/>
      <c r="BH211" s="5"/>
      <c r="BJ211" s="40"/>
      <c r="BK211" s="5"/>
      <c r="BM211" s="40"/>
      <c r="BN211" s="5"/>
      <c r="BP211" s="40"/>
      <c r="BQ211" s="5"/>
      <c r="BS211" s="40"/>
      <c r="BT211" s="5"/>
      <c r="BV211" s="40"/>
      <c r="BW211" s="5"/>
      <c r="BY211" s="40"/>
      <c r="BZ211" s="5"/>
      <c r="CB211" s="40"/>
      <c r="CC211" s="5"/>
      <c r="CE211" s="40"/>
      <c r="CF211" s="5"/>
      <c r="CH211" s="40"/>
      <c r="CI211" s="5"/>
      <c r="CK211" s="40"/>
      <c r="CL211" s="5"/>
      <c r="CN211" s="40"/>
      <c r="CO211" s="5"/>
      <c r="CQ211" s="40"/>
      <c r="CR211" s="5"/>
    </row>
    <row r="212">
      <c r="AL212" s="40"/>
      <c r="AM212" s="5"/>
      <c r="AO212" s="40"/>
      <c r="AP212" s="5"/>
      <c r="AR212" s="40"/>
      <c r="AS212" s="5"/>
      <c r="AU212" s="40"/>
      <c r="AV212" s="5"/>
      <c r="AX212" s="40"/>
      <c r="AY212" s="5"/>
      <c r="BA212" s="40"/>
      <c r="BB212" s="5"/>
      <c r="BD212" s="40"/>
      <c r="BE212" s="5"/>
      <c r="BG212" s="40"/>
      <c r="BH212" s="5"/>
      <c r="BJ212" s="40"/>
      <c r="BK212" s="5"/>
      <c r="BM212" s="40"/>
      <c r="BN212" s="5"/>
      <c r="BP212" s="40"/>
      <c r="BQ212" s="5"/>
      <c r="BS212" s="40"/>
      <c r="BT212" s="5"/>
      <c r="BV212" s="40"/>
      <c r="BW212" s="5"/>
      <c r="BY212" s="40"/>
      <c r="BZ212" s="5"/>
      <c r="CB212" s="40"/>
      <c r="CC212" s="5"/>
      <c r="CE212" s="40"/>
      <c r="CF212" s="5"/>
      <c r="CH212" s="40"/>
      <c r="CI212" s="5"/>
      <c r="CK212" s="40"/>
      <c r="CL212" s="5"/>
      <c r="CN212" s="40"/>
      <c r="CO212" s="5"/>
      <c r="CQ212" s="40"/>
      <c r="CR212" s="5"/>
    </row>
    <row r="213">
      <c r="AL213" s="40"/>
      <c r="AM213" s="5"/>
      <c r="AO213" s="40"/>
      <c r="AP213" s="5"/>
      <c r="AR213" s="40"/>
      <c r="AS213" s="5"/>
      <c r="AU213" s="40"/>
      <c r="AV213" s="5"/>
      <c r="AX213" s="40"/>
      <c r="AY213" s="5"/>
      <c r="BA213" s="40"/>
      <c r="BB213" s="5"/>
      <c r="BD213" s="40"/>
      <c r="BE213" s="5"/>
      <c r="BG213" s="40"/>
      <c r="BH213" s="5"/>
      <c r="BJ213" s="40"/>
      <c r="BK213" s="5"/>
      <c r="BM213" s="40"/>
      <c r="BN213" s="5"/>
      <c r="BP213" s="40"/>
      <c r="BQ213" s="5"/>
      <c r="BS213" s="40"/>
      <c r="BT213" s="5"/>
      <c r="BV213" s="40"/>
      <c r="BW213" s="5"/>
      <c r="BY213" s="40"/>
      <c r="BZ213" s="5"/>
      <c r="CB213" s="40"/>
      <c r="CC213" s="5"/>
      <c r="CE213" s="40"/>
      <c r="CF213" s="5"/>
      <c r="CH213" s="40"/>
      <c r="CI213" s="5"/>
      <c r="CK213" s="40"/>
      <c r="CL213" s="5"/>
      <c r="CN213" s="40"/>
      <c r="CO213" s="5"/>
      <c r="CQ213" s="40"/>
      <c r="CR213" s="5"/>
    </row>
    <row r="214">
      <c r="AL214" s="40"/>
      <c r="AM214" s="5"/>
      <c r="AO214" s="40"/>
      <c r="AP214" s="5"/>
      <c r="AR214" s="40"/>
      <c r="AS214" s="5"/>
      <c r="AU214" s="40"/>
      <c r="AV214" s="5"/>
      <c r="AX214" s="40"/>
      <c r="AY214" s="5"/>
      <c r="BA214" s="40"/>
      <c r="BB214" s="5"/>
      <c r="BD214" s="40"/>
      <c r="BE214" s="5"/>
      <c r="BG214" s="40"/>
      <c r="BH214" s="5"/>
      <c r="BJ214" s="40"/>
      <c r="BK214" s="5"/>
      <c r="BM214" s="40"/>
      <c r="BN214" s="5"/>
      <c r="BP214" s="40"/>
      <c r="BQ214" s="5"/>
      <c r="BS214" s="40"/>
      <c r="BT214" s="5"/>
      <c r="BV214" s="40"/>
      <c r="BW214" s="5"/>
      <c r="BY214" s="40"/>
      <c r="BZ214" s="5"/>
      <c r="CB214" s="40"/>
      <c r="CC214" s="5"/>
      <c r="CE214" s="40"/>
      <c r="CF214" s="5"/>
      <c r="CH214" s="40"/>
      <c r="CI214" s="5"/>
      <c r="CK214" s="40"/>
      <c r="CL214" s="5"/>
      <c r="CN214" s="40"/>
      <c r="CO214" s="5"/>
      <c r="CQ214" s="40"/>
      <c r="CR214" s="5"/>
    </row>
    <row r="215">
      <c r="AL215" s="40"/>
      <c r="AM215" s="5"/>
      <c r="AO215" s="40"/>
      <c r="AP215" s="5"/>
      <c r="AR215" s="40"/>
      <c r="AS215" s="5"/>
      <c r="AU215" s="40"/>
      <c r="AV215" s="5"/>
      <c r="AX215" s="40"/>
      <c r="AY215" s="5"/>
      <c r="BA215" s="40"/>
      <c r="BB215" s="5"/>
      <c r="BD215" s="40"/>
      <c r="BE215" s="5"/>
      <c r="BG215" s="40"/>
      <c r="BH215" s="5"/>
      <c r="BJ215" s="40"/>
      <c r="BK215" s="5"/>
      <c r="BM215" s="40"/>
      <c r="BN215" s="5"/>
      <c r="BP215" s="40"/>
      <c r="BQ215" s="5"/>
      <c r="BS215" s="40"/>
      <c r="BT215" s="5"/>
      <c r="BV215" s="40"/>
      <c r="BW215" s="5"/>
      <c r="BY215" s="40"/>
      <c r="BZ215" s="5"/>
      <c r="CB215" s="40"/>
      <c r="CC215" s="5"/>
      <c r="CE215" s="40"/>
      <c r="CF215" s="5"/>
      <c r="CH215" s="40"/>
      <c r="CI215" s="5"/>
      <c r="CK215" s="40"/>
      <c r="CL215" s="5"/>
      <c r="CN215" s="40"/>
      <c r="CO215" s="5"/>
      <c r="CQ215" s="40"/>
      <c r="CR215" s="5"/>
    </row>
    <row r="216">
      <c r="AL216" s="40"/>
      <c r="AM216" s="5"/>
      <c r="AO216" s="40"/>
      <c r="AP216" s="5"/>
      <c r="AR216" s="40"/>
      <c r="AS216" s="5"/>
      <c r="AU216" s="40"/>
      <c r="AV216" s="5"/>
      <c r="AX216" s="40"/>
      <c r="AY216" s="5"/>
      <c r="BA216" s="40"/>
      <c r="BB216" s="5"/>
      <c r="BD216" s="40"/>
      <c r="BE216" s="5"/>
      <c r="BG216" s="40"/>
      <c r="BH216" s="5"/>
      <c r="BJ216" s="40"/>
      <c r="BK216" s="5"/>
      <c r="BM216" s="40"/>
      <c r="BN216" s="5"/>
      <c r="BP216" s="40"/>
      <c r="BQ216" s="5"/>
      <c r="BS216" s="40"/>
      <c r="BT216" s="5"/>
      <c r="BV216" s="40"/>
      <c r="BW216" s="5"/>
      <c r="BY216" s="40"/>
      <c r="BZ216" s="5"/>
      <c r="CB216" s="40"/>
      <c r="CC216" s="5"/>
      <c r="CE216" s="40"/>
      <c r="CF216" s="5"/>
      <c r="CH216" s="40"/>
      <c r="CI216" s="5"/>
      <c r="CK216" s="40"/>
      <c r="CL216" s="5"/>
      <c r="CN216" s="40"/>
      <c r="CO216" s="5"/>
      <c r="CQ216" s="40"/>
      <c r="CR216" s="5"/>
    </row>
    <row r="217">
      <c r="AL217" s="40"/>
      <c r="AM217" s="5"/>
      <c r="AO217" s="40"/>
      <c r="AP217" s="5"/>
      <c r="AR217" s="40"/>
      <c r="AS217" s="5"/>
      <c r="AU217" s="40"/>
      <c r="AV217" s="5"/>
      <c r="AX217" s="40"/>
      <c r="AY217" s="5"/>
      <c r="BA217" s="40"/>
      <c r="BB217" s="5"/>
      <c r="BD217" s="40"/>
      <c r="BE217" s="5"/>
      <c r="BG217" s="40"/>
      <c r="BH217" s="5"/>
      <c r="BJ217" s="40"/>
      <c r="BK217" s="5"/>
      <c r="BM217" s="40"/>
      <c r="BN217" s="5"/>
      <c r="BP217" s="40"/>
      <c r="BQ217" s="5"/>
      <c r="BS217" s="40"/>
      <c r="BT217" s="5"/>
      <c r="BV217" s="40"/>
      <c r="BW217" s="5"/>
      <c r="BY217" s="40"/>
      <c r="BZ217" s="5"/>
      <c r="CB217" s="40"/>
      <c r="CC217" s="5"/>
      <c r="CE217" s="40"/>
      <c r="CF217" s="5"/>
      <c r="CH217" s="40"/>
      <c r="CI217" s="5"/>
      <c r="CK217" s="40"/>
      <c r="CL217" s="5"/>
      <c r="CN217" s="40"/>
      <c r="CO217" s="5"/>
      <c r="CQ217" s="40"/>
      <c r="CR217" s="5"/>
    </row>
    <row r="218">
      <c r="AL218" s="40"/>
      <c r="AM218" s="5"/>
      <c r="AO218" s="40"/>
      <c r="AP218" s="5"/>
      <c r="AR218" s="40"/>
      <c r="AS218" s="5"/>
      <c r="AU218" s="40"/>
      <c r="AV218" s="5"/>
      <c r="AX218" s="40"/>
      <c r="AY218" s="5"/>
      <c r="BA218" s="40"/>
      <c r="BB218" s="5"/>
      <c r="BD218" s="40"/>
      <c r="BE218" s="5"/>
      <c r="BG218" s="40"/>
      <c r="BH218" s="5"/>
      <c r="BJ218" s="40"/>
      <c r="BK218" s="5"/>
      <c r="BM218" s="40"/>
      <c r="BN218" s="5"/>
      <c r="BP218" s="40"/>
      <c r="BQ218" s="5"/>
      <c r="BS218" s="40"/>
      <c r="BT218" s="5"/>
      <c r="BV218" s="40"/>
      <c r="BW218" s="5"/>
      <c r="BY218" s="40"/>
      <c r="BZ218" s="5"/>
      <c r="CB218" s="40"/>
      <c r="CC218" s="5"/>
      <c r="CE218" s="40"/>
      <c r="CF218" s="5"/>
      <c r="CH218" s="40"/>
      <c r="CI218" s="5"/>
      <c r="CK218" s="40"/>
      <c r="CL218" s="5"/>
      <c r="CN218" s="40"/>
      <c r="CO218" s="5"/>
      <c r="CQ218" s="40"/>
      <c r="CR218" s="5"/>
    </row>
    <row r="219">
      <c r="AL219" s="40"/>
      <c r="AM219" s="5"/>
      <c r="AO219" s="40"/>
      <c r="AP219" s="5"/>
      <c r="AR219" s="40"/>
      <c r="AS219" s="5"/>
      <c r="AU219" s="40"/>
      <c r="AV219" s="5"/>
      <c r="AX219" s="40"/>
      <c r="AY219" s="5"/>
      <c r="BA219" s="40"/>
      <c r="BB219" s="5"/>
      <c r="BD219" s="40"/>
      <c r="BE219" s="5"/>
      <c r="BG219" s="40"/>
      <c r="BH219" s="5"/>
      <c r="BJ219" s="40"/>
      <c r="BK219" s="5"/>
      <c r="BM219" s="40"/>
      <c r="BN219" s="5"/>
      <c r="BP219" s="40"/>
      <c r="BQ219" s="5"/>
      <c r="BS219" s="40"/>
      <c r="BT219" s="5"/>
      <c r="BV219" s="40"/>
      <c r="BW219" s="5"/>
      <c r="BY219" s="40"/>
      <c r="BZ219" s="5"/>
      <c r="CB219" s="40"/>
      <c r="CC219" s="5"/>
      <c r="CE219" s="40"/>
      <c r="CF219" s="5"/>
      <c r="CH219" s="40"/>
      <c r="CI219" s="5"/>
      <c r="CK219" s="40"/>
      <c r="CL219" s="5"/>
      <c r="CN219" s="40"/>
      <c r="CO219" s="5"/>
      <c r="CQ219" s="40"/>
      <c r="CR219" s="5"/>
    </row>
    <row r="220">
      <c r="AL220" s="40"/>
      <c r="AM220" s="5"/>
      <c r="AO220" s="40"/>
      <c r="AP220" s="5"/>
      <c r="AR220" s="40"/>
      <c r="AS220" s="5"/>
      <c r="AU220" s="40"/>
      <c r="AV220" s="5"/>
      <c r="AX220" s="40"/>
      <c r="AY220" s="5"/>
      <c r="BA220" s="40"/>
      <c r="BB220" s="5"/>
      <c r="BD220" s="40"/>
      <c r="BE220" s="5"/>
      <c r="BG220" s="40"/>
      <c r="BH220" s="5"/>
      <c r="BJ220" s="40"/>
      <c r="BK220" s="5"/>
      <c r="BM220" s="40"/>
      <c r="BN220" s="5"/>
      <c r="BP220" s="40"/>
      <c r="BQ220" s="5"/>
      <c r="BS220" s="40"/>
      <c r="BT220" s="5"/>
      <c r="BV220" s="40"/>
      <c r="BW220" s="5"/>
      <c r="BY220" s="40"/>
      <c r="BZ220" s="5"/>
      <c r="CB220" s="40"/>
      <c r="CC220" s="5"/>
      <c r="CE220" s="40"/>
      <c r="CF220" s="5"/>
      <c r="CH220" s="40"/>
      <c r="CI220" s="5"/>
      <c r="CK220" s="40"/>
      <c r="CL220" s="5"/>
      <c r="CN220" s="40"/>
      <c r="CO220" s="5"/>
      <c r="CQ220" s="40"/>
      <c r="CR220" s="5"/>
    </row>
    <row r="221">
      <c r="AL221" s="40"/>
      <c r="AM221" s="5"/>
      <c r="AO221" s="40"/>
      <c r="AP221" s="5"/>
      <c r="AR221" s="40"/>
      <c r="AS221" s="5"/>
      <c r="AU221" s="40"/>
      <c r="AV221" s="5"/>
      <c r="AX221" s="40"/>
      <c r="AY221" s="5"/>
      <c r="BA221" s="40"/>
      <c r="BB221" s="5"/>
      <c r="BD221" s="40"/>
      <c r="BE221" s="5"/>
      <c r="BG221" s="40"/>
      <c r="BH221" s="5"/>
      <c r="BJ221" s="40"/>
      <c r="BK221" s="5"/>
      <c r="BM221" s="40"/>
      <c r="BN221" s="5"/>
      <c r="BP221" s="40"/>
      <c r="BQ221" s="5"/>
      <c r="BS221" s="40"/>
      <c r="BT221" s="5"/>
      <c r="BV221" s="40"/>
      <c r="BW221" s="5"/>
      <c r="BY221" s="40"/>
      <c r="BZ221" s="5"/>
      <c r="CB221" s="40"/>
      <c r="CC221" s="5"/>
      <c r="CE221" s="40"/>
      <c r="CF221" s="5"/>
      <c r="CH221" s="40"/>
      <c r="CI221" s="5"/>
      <c r="CK221" s="40"/>
      <c r="CL221" s="5"/>
      <c r="CN221" s="40"/>
      <c r="CO221" s="5"/>
      <c r="CQ221" s="40"/>
      <c r="CR221" s="5"/>
    </row>
    <row r="222">
      <c r="AL222" s="40"/>
      <c r="AM222" s="5"/>
      <c r="AO222" s="40"/>
      <c r="AP222" s="5"/>
      <c r="AR222" s="40"/>
      <c r="AS222" s="5"/>
      <c r="AU222" s="40"/>
      <c r="AV222" s="5"/>
      <c r="AX222" s="40"/>
      <c r="AY222" s="5"/>
      <c r="BA222" s="40"/>
      <c r="BB222" s="5"/>
      <c r="BD222" s="40"/>
      <c r="BE222" s="5"/>
      <c r="BG222" s="40"/>
      <c r="BH222" s="5"/>
      <c r="BJ222" s="40"/>
      <c r="BK222" s="5"/>
      <c r="BM222" s="40"/>
      <c r="BN222" s="5"/>
      <c r="BP222" s="40"/>
      <c r="BQ222" s="5"/>
      <c r="BS222" s="40"/>
      <c r="BT222" s="5"/>
      <c r="BV222" s="40"/>
      <c r="BW222" s="5"/>
      <c r="BY222" s="40"/>
      <c r="BZ222" s="5"/>
      <c r="CB222" s="40"/>
      <c r="CC222" s="5"/>
      <c r="CE222" s="40"/>
      <c r="CF222" s="5"/>
      <c r="CH222" s="40"/>
      <c r="CI222" s="5"/>
      <c r="CK222" s="40"/>
      <c r="CL222" s="5"/>
      <c r="CN222" s="40"/>
      <c r="CO222" s="5"/>
      <c r="CQ222" s="40"/>
      <c r="CR222" s="5"/>
    </row>
    <row r="223">
      <c r="AL223" s="40"/>
      <c r="AM223" s="5"/>
      <c r="AO223" s="40"/>
      <c r="AP223" s="5"/>
      <c r="AR223" s="40"/>
      <c r="AS223" s="5"/>
      <c r="AU223" s="40"/>
      <c r="AV223" s="5"/>
      <c r="AX223" s="40"/>
      <c r="AY223" s="5"/>
      <c r="BA223" s="40"/>
      <c r="BB223" s="5"/>
      <c r="BD223" s="40"/>
      <c r="BE223" s="5"/>
      <c r="BG223" s="40"/>
      <c r="BH223" s="5"/>
      <c r="BJ223" s="40"/>
      <c r="BK223" s="5"/>
      <c r="BM223" s="40"/>
      <c r="BN223" s="5"/>
      <c r="BP223" s="40"/>
      <c r="BQ223" s="5"/>
      <c r="BS223" s="40"/>
      <c r="BT223" s="5"/>
      <c r="BV223" s="40"/>
      <c r="BW223" s="5"/>
      <c r="BY223" s="40"/>
      <c r="BZ223" s="5"/>
      <c r="CB223" s="40"/>
      <c r="CC223" s="5"/>
      <c r="CE223" s="40"/>
      <c r="CF223" s="5"/>
      <c r="CH223" s="40"/>
      <c r="CI223" s="5"/>
      <c r="CK223" s="40"/>
      <c r="CL223" s="5"/>
      <c r="CN223" s="40"/>
      <c r="CO223" s="5"/>
      <c r="CQ223" s="40"/>
      <c r="CR223" s="5"/>
    </row>
    <row r="224">
      <c r="AL224" s="40"/>
      <c r="AM224" s="5"/>
      <c r="AO224" s="40"/>
      <c r="AP224" s="5"/>
      <c r="AR224" s="40"/>
      <c r="AS224" s="5"/>
      <c r="AU224" s="40"/>
      <c r="AV224" s="5"/>
      <c r="AX224" s="40"/>
      <c r="AY224" s="5"/>
      <c r="BA224" s="40"/>
      <c r="BB224" s="5"/>
      <c r="BD224" s="40"/>
      <c r="BE224" s="5"/>
      <c r="BG224" s="40"/>
      <c r="BH224" s="5"/>
      <c r="BJ224" s="40"/>
      <c r="BK224" s="5"/>
      <c r="BM224" s="40"/>
      <c r="BN224" s="5"/>
      <c r="BP224" s="40"/>
      <c r="BQ224" s="5"/>
      <c r="BS224" s="40"/>
      <c r="BT224" s="5"/>
      <c r="BV224" s="40"/>
      <c r="BW224" s="5"/>
      <c r="BY224" s="40"/>
      <c r="BZ224" s="5"/>
      <c r="CB224" s="40"/>
      <c r="CC224" s="5"/>
      <c r="CE224" s="40"/>
      <c r="CF224" s="5"/>
      <c r="CH224" s="40"/>
      <c r="CI224" s="5"/>
      <c r="CK224" s="40"/>
      <c r="CL224" s="5"/>
      <c r="CN224" s="40"/>
      <c r="CO224" s="5"/>
      <c r="CQ224" s="40"/>
      <c r="CR224" s="5"/>
    </row>
    <row r="225">
      <c r="AL225" s="40"/>
      <c r="AM225" s="5"/>
      <c r="AO225" s="40"/>
      <c r="AP225" s="5"/>
      <c r="AR225" s="40"/>
      <c r="AS225" s="5"/>
      <c r="AU225" s="40"/>
      <c r="AV225" s="5"/>
      <c r="AX225" s="40"/>
      <c r="AY225" s="5"/>
      <c r="BA225" s="40"/>
      <c r="BB225" s="5"/>
      <c r="BD225" s="40"/>
      <c r="BE225" s="5"/>
      <c r="BG225" s="40"/>
      <c r="BH225" s="5"/>
      <c r="BJ225" s="40"/>
      <c r="BK225" s="5"/>
      <c r="BM225" s="40"/>
      <c r="BN225" s="5"/>
      <c r="BP225" s="40"/>
      <c r="BQ225" s="5"/>
      <c r="BS225" s="40"/>
      <c r="BT225" s="5"/>
      <c r="BV225" s="40"/>
      <c r="BW225" s="5"/>
      <c r="BY225" s="40"/>
      <c r="BZ225" s="5"/>
      <c r="CB225" s="40"/>
      <c r="CC225" s="5"/>
      <c r="CE225" s="40"/>
      <c r="CF225" s="5"/>
      <c r="CH225" s="40"/>
      <c r="CI225" s="5"/>
      <c r="CK225" s="40"/>
      <c r="CL225" s="5"/>
      <c r="CN225" s="40"/>
      <c r="CO225" s="5"/>
      <c r="CQ225" s="40"/>
      <c r="CR225" s="5"/>
    </row>
    <row r="226">
      <c r="AL226" s="40"/>
      <c r="AM226" s="5"/>
      <c r="AO226" s="40"/>
      <c r="AP226" s="5"/>
      <c r="AR226" s="40"/>
      <c r="AS226" s="5"/>
      <c r="AU226" s="40"/>
      <c r="AV226" s="5"/>
      <c r="AX226" s="40"/>
      <c r="AY226" s="5"/>
      <c r="BA226" s="40"/>
      <c r="BB226" s="5"/>
      <c r="BD226" s="40"/>
      <c r="BE226" s="5"/>
      <c r="BG226" s="40"/>
      <c r="BH226" s="5"/>
      <c r="BJ226" s="40"/>
      <c r="BK226" s="5"/>
      <c r="BM226" s="40"/>
      <c r="BN226" s="5"/>
      <c r="BP226" s="40"/>
      <c r="BQ226" s="5"/>
      <c r="BS226" s="40"/>
      <c r="BT226" s="5"/>
      <c r="BV226" s="40"/>
      <c r="BW226" s="5"/>
      <c r="BY226" s="40"/>
      <c r="BZ226" s="5"/>
      <c r="CB226" s="40"/>
      <c r="CC226" s="5"/>
      <c r="CE226" s="40"/>
      <c r="CF226" s="5"/>
      <c r="CH226" s="40"/>
      <c r="CI226" s="5"/>
      <c r="CK226" s="40"/>
      <c r="CL226" s="5"/>
      <c r="CN226" s="40"/>
      <c r="CO226" s="5"/>
      <c r="CQ226" s="40"/>
      <c r="CR226" s="5"/>
    </row>
    <row r="227">
      <c r="AL227" s="40"/>
      <c r="AM227" s="5"/>
      <c r="AO227" s="40"/>
      <c r="AP227" s="5"/>
      <c r="AR227" s="40"/>
      <c r="AS227" s="5"/>
      <c r="AU227" s="40"/>
      <c r="AV227" s="5"/>
      <c r="AX227" s="40"/>
      <c r="AY227" s="5"/>
      <c r="BA227" s="40"/>
      <c r="BB227" s="5"/>
      <c r="BD227" s="40"/>
      <c r="BE227" s="5"/>
      <c r="BG227" s="40"/>
      <c r="BH227" s="5"/>
      <c r="BJ227" s="40"/>
      <c r="BK227" s="5"/>
      <c r="BM227" s="40"/>
      <c r="BN227" s="5"/>
      <c r="BP227" s="40"/>
      <c r="BQ227" s="5"/>
      <c r="BS227" s="40"/>
      <c r="BT227" s="5"/>
      <c r="BV227" s="40"/>
      <c r="BW227" s="5"/>
      <c r="BY227" s="40"/>
      <c r="BZ227" s="5"/>
      <c r="CB227" s="40"/>
      <c r="CC227" s="5"/>
      <c r="CE227" s="40"/>
      <c r="CF227" s="5"/>
      <c r="CH227" s="40"/>
      <c r="CI227" s="5"/>
      <c r="CK227" s="40"/>
      <c r="CL227" s="5"/>
      <c r="CN227" s="40"/>
      <c r="CO227" s="5"/>
      <c r="CQ227" s="40"/>
      <c r="CR227" s="5"/>
    </row>
    <row r="228">
      <c r="AL228" s="40"/>
      <c r="AM228" s="5"/>
      <c r="AO228" s="40"/>
      <c r="AP228" s="5"/>
      <c r="AR228" s="40"/>
      <c r="AS228" s="5"/>
      <c r="AU228" s="40"/>
      <c r="AV228" s="5"/>
      <c r="AX228" s="40"/>
      <c r="AY228" s="5"/>
      <c r="BA228" s="40"/>
      <c r="BB228" s="5"/>
      <c r="BD228" s="40"/>
      <c r="BE228" s="5"/>
      <c r="BG228" s="40"/>
      <c r="BH228" s="5"/>
      <c r="BJ228" s="40"/>
      <c r="BK228" s="5"/>
      <c r="BM228" s="40"/>
      <c r="BN228" s="5"/>
      <c r="BP228" s="40"/>
      <c r="BQ228" s="5"/>
      <c r="BS228" s="40"/>
      <c r="BT228" s="5"/>
      <c r="BV228" s="40"/>
      <c r="BW228" s="5"/>
      <c r="BY228" s="40"/>
      <c r="BZ228" s="5"/>
      <c r="CB228" s="40"/>
      <c r="CC228" s="5"/>
      <c r="CE228" s="40"/>
      <c r="CF228" s="5"/>
      <c r="CH228" s="40"/>
      <c r="CI228" s="5"/>
      <c r="CK228" s="40"/>
      <c r="CL228" s="5"/>
      <c r="CN228" s="40"/>
      <c r="CO228" s="5"/>
      <c r="CQ228" s="40"/>
      <c r="CR228" s="5"/>
    </row>
    <row r="229">
      <c r="AL229" s="40"/>
      <c r="AM229" s="5"/>
      <c r="AO229" s="40"/>
      <c r="AP229" s="5"/>
      <c r="AR229" s="40"/>
      <c r="AS229" s="5"/>
      <c r="AU229" s="40"/>
      <c r="AV229" s="5"/>
      <c r="AX229" s="40"/>
      <c r="AY229" s="5"/>
      <c r="BA229" s="40"/>
      <c r="BB229" s="5"/>
      <c r="BD229" s="40"/>
      <c r="BE229" s="5"/>
      <c r="BG229" s="40"/>
      <c r="BH229" s="5"/>
      <c r="BJ229" s="40"/>
      <c r="BK229" s="5"/>
      <c r="BM229" s="40"/>
      <c r="BN229" s="5"/>
      <c r="BP229" s="40"/>
      <c r="BQ229" s="5"/>
      <c r="BS229" s="40"/>
      <c r="BT229" s="5"/>
      <c r="BV229" s="40"/>
      <c r="BW229" s="5"/>
      <c r="BY229" s="40"/>
      <c r="BZ229" s="5"/>
      <c r="CB229" s="40"/>
      <c r="CC229" s="5"/>
      <c r="CE229" s="40"/>
      <c r="CF229" s="5"/>
      <c r="CH229" s="40"/>
      <c r="CI229" s="5"/>
      <c r="CK229" s="40"/>
      <c r="CL229" s="5"/>
      <c r="CN229" s="40"/>
      <c r="CO229" s="5"/>
      <c r="CQ229" s="40"/>
      <c r="CR229" s="5"/>
    </row>
    <row r="230">
      <c r="AL230" s="40"/>
      <c r="AM230" s="5"/>
      <c r="AO230" s="40"/>
      <c r="AP230" s="5"/>
      <c r="AR230" s="40"/>
      <c r="AS230" s="5"/>
      <c r="AU230" s="40"/>
      <c r="AV230" s="5"/>
      <c r="AX230" s="40"/>
      <c r="AY230" s="5"/>
      <c r="BA230" s="40"/>
      <c r="BB230" s="5"/>
      <c r="BD230" s="40"/>
      <c r="BE230" s="5"/>
      <c r="BG230" s="40"/>
      <c r="BH230" s="5"/>
      <c r="BJ230" s="40"/>
      <c r="BK230" s="5"/>
      <c r="BM230" s="40"/>
      <c r="BN230" s="5"/>
      <c r="BP230" s="40"/>
      <c r="BQ230" s="5"/>
      <c r="BS230" s="40"/>
      <c r="BT230" s="5"/>
      <c r="BV230" s="40"/>
      <c r="BW230" s="5"/>
      <c r="BY230" s="40"/>
      <c r="BZ230" s="5"/>
      <c r="CB230" s="40"/>
      <c r="CC230" s="5"/>
      <c r="CE230" s="40"/>
      <c r="CF230" s="5"/>
      <c r="CH230" s="40"/>
      <c r="CI230" s="5"/>
      <c r="CK230" s="40"/>
      <c r="CL230" s="5"/>
      <c r="CN230" s="40"/>
      <c r="CO230" s="5"/>
      <c r="CQ230" s="40"/>
      <c r="CR230" s="5"/>
    </row>
    <row r="231">
      <c r="AL231" s="40"/>
      <c r="AM231" s="5"/>
      <c r="AO231" s="40"/>
      <c r="AP231" s="5"/>
      <c r="AR231" s="40"/>
      <c r="AS231" s="5"/>
      <c r="AU231" s="40"/>
      <c r="AV231" s="5"/>
      <c r="AX231" s="40"/>
      <c r="AY231" s="5"/>
      <c r="BA231" s="40"/>
      <c r="BB231" s="5"/>
      <c r="BD231" s="40"/>
      <c r="BE231" s="5"/>
      <c r="BG231" s="40"/>
      <c r="BH231" s="5"/>
      <c r="BJ231" s="40"/>
      <c r="BK231" s="5"/>
      <c r="BM231" s="40"/>
      <c r="BN231" s="5"/>
      <c r="BP231" s="40"/>
      <c r="BQ231" s="5"/>
      <c r="BS231" s="40"/>
      <c r="BT231" s="5"/>
      <c r="BV231" s="40"/>
      <c r="BW231" s="5"/>
      <c r="BY231" s="40"/>
      <c r="BZ231" s="5"/>
      <c r="CB231" s="40"/>
      <c r="CC231" s="5"/>
      <c r="CE231" s="40"/>
      <c r="CF231" s="5"/>
      <c r="CH231" s="40"/>
      <c r="CI231" s="5"/>
      <c r="CK231" s="40"/>
      <c r="CL231" s="5"/>
      <c r="CN231" s="40"/>
      <c r="CO231" s="5"/>
      <c r="CQ231" s="40"/>
      <c r="CR231" s="5"/>
    </row>
    <row r="232">
      <c r="AL232" s="40"/>
      <c r="AM232" s="5"/>
      <c r="AO232" s="40"/>
      <c r="AP232" s="5"/>
      <c r="AR232" s="40"/>
      <c r="AS232" s="5"/>
      <c r="AU232" s="40"/>
      <c r="AV232" s="5"/>
      <c r="AX232" s="40"/>
      <c r="AY232" s="5"/>
      <c r="BA232" s="40"/>
      <c r="BB232" s="5"/>
      <c r="BD232" s="40"/>
      <c r="BE232" s="5"/>
      <c r="BG232" s="40"/>
      <c r="BH232" s="5"/>
      <c r="BJ232" s="40"/>
      <c r="BK232" s="5"/>
      <c r="BM232" s="40"/>
      <c r="BN232" s="5"/>
      <c r="BP232" s="40"/>
      <c r="BQ232" s="5"/>
      <c r="BS232" s="40"/>
      <c r="BT232" s="5"/>
      <c r="BV232" s="40"/>
      <c r="BW232" s="5"/>
      <c r="BY232" s="40"/>
      <c r="BZ232" s="5"/>
      <c r="CB232" s="40"/>
      <c r="CC232" s="5"/>
      <c r="CE232" s="40"/>
      <c r="CF232" s="5"/>
      <c r="CH232" s="40"/>
      <c r="CI232" s="5"/>
      <c r="CK232" s="40"/>
      <c r="CL232" s="5"/>
      <c r="CN232" s="40"/>
      <c r="CO232" s="5"/>
      <c r="CQ232" s="40"/>
      <c r="CR232" s="5"/>
    </row>
    <row r="233">
      <c r="AL233" s="40"/>
      <c r="AM233" s="5"/>
      <c r="AO233" s="40"/>
      <c r="AP233" s="5"/>
      <c r="AR233" s="40"/>
      <c r="AS233" s="5"/>
      <c r="AU233" s="40"/>
      <c r="AV233" s="5"/>
      <c r="AX233" s="40"/>
      <c r="AY233" s="5"/>
      <c r="BA233" s="40"/>
      <c r="BB233" s="5"/>
      <c r="BD233" s="40"/>
      <c r="BE233" s="5"/>
      <c r="BG233" s="40"/>
      <c r="BH233" s="5"/>
      <c r="BJ233" s="40"/>
      <c r="BK233" s="5"/>
      <c r="BM233" s="40"/>
      <c r="BN233" s="5"/>
      <c r="BP233" s="40"/>
      <c r="BQ233" s="5"/>
      <c r="BS233" s="40"/>
      <c r="BT233" s="5"/>
      <c r="BV233" s="40"/>
      <c r="BW233" s="5"/>
      <c r="BY233" s="40"/>
      <c r="BZ233" s="5"/>
      <c r="CB233" s="40"/>
      <c r="CC233" s="5"/>
      <c r="CE233" s="40"/>
      <c r="CF233" s="5"/>
      <c r="CH233" s="40"/>
      <c r="CI233" s="5"/>
      <c r="CK233" s="40"/>
      <c r="CL233" s="5"/>
      <c r="CN233" s="40"/>
      <c r="CO233" s="5"/>
      <c r="CQ233" s="40"/>
      <c r="CR233" s="5"/>
    </row>
    <row r="234">
      <c r="AL234" s="40"/>
      <c r="AM234" s="5"/>
      <c r="AO234" s="40"/>
      <c r="AP234" s="5"/>
      <c r="AR234" s="40"/>
      <c r="AS234" s="5"/>
      <c r="AU234" s="40"/>
      <c r="AV234" s="5"/>
      <c r="AX234" s="40"/>
      <c r="AY234" s="5"/>
      <c r="BA234" s="40"/>
      <c r="BB234" s="5"/>
      <c r="BD234" s="40"/>
      <c r="BE234" s="5"/>
      <c r="BG234" s="40"/>
      <c r="BH234" s="5"/>
      <c r="BJ234" s="40"/>
      <c r="BK234" s="5"/>
      <c r="BM234" s="40"/>
      <c r="BN234" s="5"/>
      <c r="BP234" s="40"/>
      <c r="BQ234" s="5"/>
      <c r="BS234" s="40"/>
      <c r="BT234" s="5"/>
      <c r="BV234" s="40"/>
      <c r="BW234" s="5"/>
      <c r="BY234" s="40"/>
      <c r="BZ234" s="5"/>
      <c r="CB234" s="40"/>
      <c r="CC234" s="5"/>
      <c r="CE234" s="40"/>
      <c r="CF234" s="5"/>
      <c r="CH234" s="40"/>
      <c r="CI234" s="5"/>
      <c r="CK234" s="40"/>
      <c r="CL234" s="5"/>
      <c r="CN234" s="40"/>
      <c r="CO234" s="5"/>
      <c r="CQ234" s="40"/>
      <c r="CR234" s="5"/>
    </row>
    <row r="235">
      <c r="AL235" s="40"/>
      <c r="AM235" s="5"/>
      <c r="AO235" s="40"/>
      <c r="AP235" s="5"/>
      <c r="AR235" s="40"/>
      <c r="AS235" s="5"/>
      <c r="AU235" s="40"/>
      <c r="AV235" s="5"/>
      <c r="AX235" s="40"/>
      <c r="AY235" s="5"/>
      <c r="BA235" s="40"/>
      <c r="BB235" s="5"/>
      <c r="BD235" s="40"/>
      <c r="BE235" s="5"/>
      <c r="BG235" s="40"/>
      <c r="BH235" s="5"/>
      <c r="BJ235" s="40"/>
      <c r="BK235" s="5"/>
      <c r="BM235" s="40"/>
      <c r="BN235" s="5"/>
      <c r="BP235" s="40"/>
      <c r="BQ235" s="5"/>
      <c r="BS235" s="40"/>
      <c r="BT235" s="5"/>
      <c r="BV235" s="40"/>
      <c r="BW235" s="5"/>
      <c r="BY235" s="40"/>
      <c r="BZ235" s="5"/>
      <c r="CB235" s="40"/>
      <c r="CC235" s="5"/>
      <c r="CE235" s="40"/>
      <c r="CF235" s="5"/>
      <c r="CH235" s="40"/>
      <c r="CI235" s="5"/>
      <c r="CK235" s="40"/>
      <c r="CL235" s="5"/>
      <c r="CN235" s="40"/>
      <c r="CO235" s="5"/>
      <c r="CQ235" s="40"/>
      <c r="CR235" s="5"/>
    </row>
    <row r="236">
      <c r="AL236" s="40"/>
      <c r="AM236" s="5"/>
      <c r="AO236" s="40"/>
      <c r="AP236" s="5"/>
      <c r="AR236" s="40"/>
      <c r="AS236" s="5"/>
      <c r="AU236" s="40"/>
      <c r="AV236" s="5"/>
      <c r="AX236" s="40"/>
      <c r="AY236" s="5"/>
      <c r="BA236" s="40"/>
      <c r="BB236" s="5"/>
      <c r="BD236" s="40"/>
      <c r="BE236" s="5"/>
      <c r="BG236" s="40"/>
      <c r="BH236" s="5"/>
      <c r="BJ236" s="40"/>
      <c r="BK236" s="5"/>
      <c r="BM236" s="40"/>
      <c r="BN236" s="5"/>
      <c r="BP236" s="40"/>
      <c r="BQ236" s="5"/>
      <c r="BS236" s="40"/>
      <c r="BT236" s="5"/>
      <c r="BV236" s="40"/>
      <c r="BW236" s="5"/>
      <c r="BY236" s="40"/>
      <c r="BZ236" s="5"/>
      <c r="CB236" s="40"/>
      <c r="CC236" s="5"/>
      <c r="CE236" s="40"/>
      <c r="CF236" s="5"/>
      <c r="CH236" s="40"/>
      <c r="CI236" s="5"/>
      <c r="CK236" s="40"/>
      <c r="CL236" s="5"/>
      <c r="CN236" s="40"/>
      <c r="CO236" s="5"/>
      <c r="CQ236" s="40"/>
      <c r="CR236" s="5"/>
    </row>
    <row r="237">
      <c r="AL237" s="40"/>
      <c r="AM237" s="5"/>
      <c r="AO237" s="40"/>
      <c r="AP237" s="5"/>
      <c r="AR237" s="40"/>
      <c r="AS237" s="5"/>
      <c r="AU237" s="40"/>
      <c r="AV237" s="5"/>
      <c r="AX237" s="40"/>
      <c r="AY237" s="5"/>
      <c r="BA237" s="40"/>
      <c r="BB237" s="5"/>
      <c r="BD237" s="40"/>
      <c r="BE237" s="5"/>
      <c r="BG237" s="40"/>
      <c r="BH237" s="5"/>
      <c r="BJ237" s="40"/>
      <c r="BK237" s="5"/>
      <c r="BM237" s="40"/>
      <c r="BN237" s="5"/>
      <c r="BP237" s="40"/>
      <c r="BQ237" s="5"/>
      <c r="BS237" s="40"/>
      <c r="BT237" s="5"/>
      <c r="BV237" s="40"/>
      <c r="BW237" s="5"/>
      <c r="BY237" s="40"/>
      <c r="BZ237" s="5"/>
      <c r="CB237" s="40"/>
      <c r="CC237" s="5"/>
      <c r="CE237" s="40"/>
      <c r="CF237" s="5"/>
      <c r="CH237" s="40"/>
      <c r="CI237" s="5"/>
      <c r="CK237" s="40"/>
      <c r="CL237" s="5"/>
      <c r="CN237" s="40"/>
      <c r="CO237" s="5"/>
      <c r="CQ237" s="40"/>
      <c r="CR237" s="5"/>
    </row>
    <row r="238">
      <c r="AL238" s="40"/>
      <c r="AM238" s="5"/>
      <c r="AO238" s="40"/>
      <c r="AP238" s="5"/>
      <c r="AR238" s="40"/>
      <c r="AS238" s="5"/>
      <c r="AU238" s="40"/>
      <c r="AV238" s="5"/>
      <c r="AX238" s="40"/>
      <c r="AY238" s="5"/>
      <c r="BA238" s="40"/>
      <c r="BB238" s="5"/>
      <c r="BD238" s="40"/>
      <c r="BE238" s="5"/>
      <c r="BG238" s="40"/>
      <c r="BH238" s="5"/>
      <c r="BJ238" s="40"/>
      <c r="BK238" s="5"/>
      <c r="BM238" s="40"/>
      <c r="BN238" s="5"/>
      <c r="BP238" s="40"/>
      <c r="BQ238" s="5"/>
      <c r="BS238" s="40"/>
      <c r="BT238" s="5"/>
      <c r="BV238" s="40"/>
      <c r="BW238" s="5"/>
      <c r="BY238" s="40"/>
      <c r="BZ238" s="5"/>
      <c r="CB238" s="40"/>
      <c r="CC238" s="5"/>
      <c r="CE238" s="40"/>
      <c r="CF238" s="5"/>
      <c r="CH238" s="40"/>
      <c r="CI238" s="5"/>
      <c r="CK238" s="40"/>
      <c r="CL238" s="5"/>
      <c r="CN238" s="40"/>
      <c r="CO238" s="5"/>
      <c r="CQ238" s="40"/>
      <c r="CR238" s="5"/>
    </row>
    <row r="239">
      <c r="AL239" s="40"/>
      <c r="AM239" s="5"/>
      <c r="AO239" s="40"/>
      <c r="AP239" s="5"/>
      <c r="AR239" s="40"/>
      <c r="AS239" s="5"/>
      <c r="AU239" s="40"/>
      <c r="AV239" s="5"/>
      <c r="AX239" s="40"/>
      <c r="AY239" s="5"/>
      <c r="BA239" s="40"/>
      <c r="BB239" s="5"/>
      <c r="BD239" s="40"/>
      <c r="BE239" s="5"/>
      <c r="BG239" s="40"/>
      <c r="BH239" s="5"/>
      <c r="BJ239" s="40"/>
      <c r="BK239" s="5"/>
      <c r="BM239" s="40"/>
      <c r="BN239" s="5"/>
      <c r="BP239" s="40"/>
      <c r="BQ239" s="5"/>
      <c r="BS239" s="40"/>
      <c r="BT239" s="5"/>
      <c r="BV239" s="40"/>
      <c r="BW239" s="5"/>
      <c r="BY239" s="40"/>
      <c r="BZ239" s="5"/>
      <c r="CB239" s="40"/>
      <c r="CC239" s="5"/>
      <c r="CE239" s="40"/>
      <c r="CF239" s="5"/>
      <c r="CH239" s="40"/>
      <c r="CI239" s="5"/>
      <c r="CK239" s="40"/>
      <c r="CL239" s="5"/>
      <c r="CN239" s="40"/>
      <c r="CO239" s="5"/>
      <c r="CQ239" s="40"/>
      <c r="CR239" s="5"/>
    </row>
    <row r="240">
      <c r="AL240" s="40"/>
      <c r="AM240" s="5"/>
      <c r="AO240" s="40"/>
      <c r="AP240" s="5"/>
      <c r="AR240" s="40"/>
      <c r="AS240" s="5"/>
      <c r="AU240" s="40"/>
      <c r="AV240" s="5"/>
      <c r="AX240" s="40"/>
      <c r="AY240" s="5"/>
      <c r="BA240" s="40"/>
      <c r="BB240" s="5"/>
      <c r="BD240" s="40"/>
      <c r="BE240" s="5"/>
      <c r="BG240" s="40"/>
      <c r="BH240" s="5"/>
      <c r="BJ240" s="40"/>
      <c r="BK240" s="5"/>
      <c r="BM240" s="40"/>
      <c r="BN240" s="5"/>
      <c r="BP240" s="40"/>
      <c r="BQ240" s="5"/>
      <c r="BS240" s="40"/>
      <c r="BT240" s="5"/>
      <c r="BV240" s="40"/>
      <c r="BW240" s="5"/>
      <c r="BY240" s="40"/>
      <c r="BZ240" s="5"/>
      <c r="CB240" s="40"/>
      <c r="CC240" s="5"/>
      <c r="CE240" s="40"/>
      <c r="CF240" s="5"/>
      <c r="CH240" s="40"/>
      <c r="CI240" s="5"/>
      <c r="CK240" s="40"/>
      <c r="CL240" s="5"/>
      <c r="CN240" s="40"/>
      <c r="CO240" s="5"/>
      <c r="CQ240" s="40"/>
      <c r="CR240" s="5"/>
    </row>
    <row r="241">
      <c r="AL241" s="40"/>
      <c r="AM241" s="5"/>
      <c r="AO241" s="40"/>
      <c r="AP241" s="5"/>
      <c r="AR241" s="40"/>
      <c r="AS241" s="5"/>
      <c r="AU241" s="40"/>
      <c r="AV241" s="5"/>
      <c r="AX241" s="40"/>
      <c r="AY241" s="5"/>
      <c r="BA241" s="40"/>
      <c r="BB241" s="5"/>
      <c r="BD241" s="40"/>
      <c r="BE241" s="5"/>
      <c r="BG241" s="40"/>
      <c r="BH241" s="5"/>
      <c r="BJ241" s="40"/>
      <c r="BK241" s="5"/>
      <c r="BM241" s="40"/>
      <c r="BN241" s="5"/>
      <c r="BP241" s="40"/>
      <c r="BQ241" s="5"/>
      <c r="BS241" s="40"/>
      <c r="BT241" s="5"/>
      <c r="BV241" s="40"/>
      <c r="BW241" s="5"/>
      <c r="BY241" s="40"/>
      <c r="BZ241" s="5"/>
      <c r="CB241" s="40"/>
      <c r="CC241" s="5"/>
      <c r="CE241" s="40"/>
      <c r="CF241" s="5"/>
      <c r="CH241" s="40"/>
      <c r="CI241" s="5"/>
      <c r="CK241" s="40"/>
      <c r="CL241" s="5"/>
      <c r="CN241" s="40"/>
      <c r="CO241" s="5"/>
      <c r="CQ241" s="40"/>
      <c r="CR241" s="5"/>
    </row>
    <row r="242">
      <c r="AL242" s="40"/>
      <c r="AM242" s="5"/>
      <c r="AO242" s="40"/>
      <c r="AP242" s="5"/>
      <c r="AR242" s="40"/>
      <c r="AS242" s="5"/>
      <c r="AU242" s="40"/>
      <c r="AV242" s="5"/>
      <c r="AX242" s="40"/>
      <c r="AY242" s="5"/>
      <c r="BA242" s="40"/>
      <c r="BB242" s="5"/>
      <c r="BD242" s="40"/>
      <c r="BE242" s="5"/>
      <c r="BG242" s="40"/>
      <c r="BH242" s="5"/>
      <c r="BJ242" s="40"/>
      <c r="BK242" s="5"/>
      <c r="BM242" s="40"/>
      <c r="BN242" s="5"/>
      <c r="BP242" s="40"/>
      <c r="BQ242" s="5"/>
      <c r="BS242" s="40"/>
      <c r="BT242" s="5"/>
      <c r="BV242" s="40"/>
      <c r="BW242" s="5"/>
      <c r="BY242" s="40"/>
      <c r="BZ242" s="5"/>
      <c r="CB242" s="40"/>
      <c r="CC242" s="5"/>
      <c r="CE242" s="40"/>
      <c r="CF242" s="5"/>
      <c r="CH242" s="40"/>
      <c r="CI242" s="5"/>
      <c r="CK242" s="40"/>
      <c r="CL242" s="5"/>
      <c r="CN242" s="40"/>
      <c r="CO242" s="5"/>
      <c r="CQ242" s="40"/>
      <c r="CR242" s="5"/>
    </row>
    <row r="243">
      <c r="AL243" s="40"/>
      <c r="AM243" s="5"/>
      <c r="AO243" s="40"/>
      <c r="AP243" s="5"/>
      <c r="AR243" s="40"/>
      <c r="AS243" s="5"/>
      <c r="AU243" s="40"/>
      <c r="AV243" s="5"/>
      <c r="AX243" s="40"/>
      <c r="AY243" s="5"/>
      <c r="BA243" s="40"/>
      <c r="BB243" s="5"/>
      <c r="BD243" s="40"/>
      <c r="BE243" s="5"/>
      <c r="BG243" s="40"/>
      <c r="BH243" s="5"/>
      <c r="BJ243" s="40"/>
      <c r="BK243" s="5"/>
      <c r="BM243" s="40"/>
      <c r="BN243" s="5"/>
      <c r="BP243" s="40"/>
      <c r="BQ243" s="5"/>
      <c r="BS243" s="40"/>
      <c r="BT243" s="5"/>
      <c r="BV243" s="40"/>
      <c r="BW243" s="5"/>
      <c r="BY243" s="40"/>
      <c r="BZ243" s="5"/>
      <c r="CB243" s="40"/>
      <c r="CC243" s="5"/>
      <c r="CE243" s="40"/>
      <c r="CF243" s="5"/>
      <c r="CH243" s="40"/>
      <c r="CI243" s="5"/>
      <c r="CK243" s="40"/>
      <c r="CL243" s="5"/>
      <c r="CN243" s="40"/>
      <c r="CO243" s="5"/>
      <c r="CQ243" s="40"/>
      <c r="CR243" s="5"/>
    </row>
    <row r="244">
      <c r="AL244" s="40"/>
      <c r="AM244" s="5"/>
      <c r="AO244" s="40"/>
      <c r="AP244" s="5"/>
      <c r="AR244" s="40"/>
      <c r="AS244" s="5"/>
      <c r="AU244" s="40"/>
      <c r="AV244" s="5"/>
      <c r="AX244" s="40"/>
      <c r="AY244" s="5"/>
      <c r="BA244" s="40"/>
      <c r="BB244" s="5"/>
      <c r="BD244" s="40"/>
      <c r="BE244" s="5"/>
      <c r="BG244" s="40"/>
      <c r="BH244" s="5"/>
      <c r="BJ244" s="40"/>
      <c r="BK244" s="5"/>
      <c r="BM244" s="40"/>
      <c r="BN244" s="5"/>
      <c r="BP244" s="40"/>
      <c r="BQ244" s="5"/>
      <c r="BS244" s="40"/>
      <c r="BT244" s="5"/>
      <c r="BV244" s="40"/>
      <c r="BW244" s="5"/>
      <c r="BY244" s="40"/>
      <c r="BZ244" s="5"/>
      <c r="CB244" s="40"/>
      <c r="CC244" s="5"/>
      <c r="CE244" s="40"/>
      <c r="CF244" s="5"/>
      <c r="CH244" s="40"/>
      <c r="CI244" s="5"/>
      <c r="CK244" s="40"/>
      <c r="CL244" s="5"/>
      <c r="CN244" s="40"/>
      <c r="CO244" s="5"/>
      <c r="CQ244" s="40"/>
      <c r="CR244" s="5"/>
    </row>
    <row r="245">
      <c r="AL245" s="40"/>
      <c r="AM245" s="5"/>
      <c r="AO245" s="40"/>
      <c r="AP245" s="5"/>
      <c r="AR245" s="40"/>
      <c r="AS245" s="5"/>
      <c r="AU245" s="40"/>
      <c r="AV245" s="5"/>
      <c r="AX245" s="40"/>
      <c r="AY245" s="5"/>
      <c r="BA245" s="40"/>
      <c r="BB245" s="5"/>
      <c r="BD245" s="40"/>
      <c r="BE245" s="5"/>
      <c r="BG245" s="40"/>
      <c r="BH245" s="5"/>
      <c r="BJ245" s="40"/>
      <c r="BK245" s="5"/>
      <c r="BM245" s="40"/>
      <c r="BN245" s="5"/>
      <c r="BP245" s="40"/>
      <c r="BQ245" s="5"/>
      <c r="BS245" s="40"/>
      <c r="BT245" s="5"/>
      <c r="BV245" s="40"/>
      <c r="BW245" s="5"/>
      <c r="BY245" s="40"/>
      <c r="BZ245" s="5"/>
      <c r="CB245" s="40"/>
      <c r="CC245" s="5"/>
      <c r="CE245" s="40"/>
      <c r="CF245" s="5"/>
      <c r="CH245" s="40"/>
      <c r="CI245" s="5"/>
      <c r="CK245" s="40"/>
      <c r="CL245" s="5"/>
      <c r="CN245" s="40"/>
      <c r="CO245" s="5"/>
      <c r="CQ245" s="40"/>
      <c r="CR245" s="5"/>
    </row>
    <row r="246">
      <c r="AL246" s="40"/>
      <c r="AM246" s="5"/>
      <c r="AO246" s="40"/>
      <c r="AP246" s="5"/>
      <c r="AR246" s="40"/>
      <c r="AS246" s="5"/>
      <c r="AU246" s="40"/>
      <c r="AV246" s="5"/>
      <c r="AX246" s="40"/>
      <c r="AY246" s="5"/>
      <c r="BA246" s="40"/>
      <c r="BB246" s="5"/>
      <c r="BD246" s="40"/>
      <c r="BE246" s="5"/>
      <c r="BG246" s="40"/>
      <c r="BH246" s="5"/>
      <c r="BJ246" s="40"/>
      <c r="BK246" s="5"/>
      <c r="BM246" s="40"/>
      <c r="BN246" s="5"/>
      <c r="BP246" s="40"/>
      <c r="BQ246" s="5"/>
      <c r="BS246" s="40"/>
      <c r="BT246" s="5"/>
      <c r="BV246" s="40"/>
      <c r="BW246" s="5"/>
      <c r="BY246" s="40"/>
      <c r="BZ246" s="5"/>
      <c r="CB246" s="40"/>
      <c r="CC246" s="5"/>
      <c r="CE246" s="40"/>
      <c r="CF246" s="5"/>
      <c r="CH246" s="40"/>
      <c r="CI246" s="5"/>
      <c r="CK246" s="40"/>
      <c r="CL246" s="5"/>
      <c r="CN246" s="40"/>
      <c r="CO246" s="5"/>
      <c r="CQ246" s="40"/>
      <c r="CR246" s="5"/>
    </row>
    <row r="247">
      <c r="AL247" s="40"/>
      <c r="AM247" s="5"/>
      <c r="AO247" s="40"/>
      <c r="AP247" s="5"/>
      <c r="AR247" s="40"/>
      <c r="AS247" s="5"/>
      <c r="AU247" s="40"/>
      <c r="AV247" s="5"/>
      <c r="AX247" s="40"/>
      <c r="AY247" s="5"/>
      <c r="BA247" s="40"/>
      <c r="BB247" s="5"/>
      <c r="BD247" s="40"/>
      <c r="BE247" s="5"/>
      <c r="BG247" s="40"/>
      <c r="BH247" s="5"/>
      <c r="BJ247" s="40"/>
      <c r="BK247" s="5"/>
      <c r="BM247" s="40"/>
      <c r="BN247" s="5"/>
      <c r="BP247" s="40"/>
      <c r="BQ247" s="5"/>
      <c r="BS247" s="40"/>
      <c r="BT247" s="5"/>
      <c r="BV247" s="40"/>
      <c r="BW247" s="5"/>
      <c r="BY247" s="40"/>
      <c r="BZ247" s="5"/>
      <c r="CB247" s="40"/>
      <c r="CC247" s="5"/>
      <c r="CE247" s="40"/>
      <c r="CF247" s="5"/>
      <c r="CH247" s="40"/>
      <c r="CI247" s="5"/>
      <c r="CK247" s="40"/>
      <c r="CL247" s="5"/>
      <c r="CN247" s="40"/>
      <c r="CO247" s="5"/>
      <c r="CQ247" s="40"/>
      <c r="CR247" s="5"/>
    </row>
    <row r="248">
      <c r="AL248" s="40"/>
      <c r="AM248" s="5"/>
      <c r="AO248" s="40"/>
      <c r="AP248" s="5"/>
      <c r="AR248" s="40"/>
      <c r="AS248" s="5"/>
      <c r="AU248" s="40"/>
      <c r="AV248" s="5"/>
      <c r="AX248" s="40"/>
      <c r="AY248" s="5"/>
      <c r="BA248" s="40"/>
      <c r="BB248" s="5"/>
      <c r="BD248" s="40"/>
      <c r="BE248" s="5"/>
      <c r="BG248" s="40"/>
      <c r="BH248" s="5"/>
      <c r="BJ248" s="40"/>
      <c r="BK248" s="5"/>
      <c r="BM248" s="40"/>
      <c r="BN248" s="5"/>
      <c r="BP248" s="40"/>
      <c r="BQ248" s="5"/>
      <c r="BS248" s="40"/>
      <c r="BT248" s="5"/>
      <c r="BV248" s="40"/>
      <c r="BW248" s="5"/>
      <c r="BY248" s="40"/>
      <c r="BZ248" s="5"/>
      <c r="CB248" s="40"/>
      <c r="CC248" s="5"/>
      <c r="CE248" s="40"/>
      <c r="CF248" s="5"/>
      <c r="CH248" s="40"/>
      <c r="CI248" s="5"/>
      <c r="CK248" s="40"/>
      <c r="CL248" s="5"/>
      <c r="CN248" s="40"/>
      <c r="CO248" s="5"/>
      <c r="CQ248" s="40"/>
      <c r="CR248" s="5"/>
    </row>
    <row r="249">
      <c r="AL249" s="40"/>
      <c r="AM249" s="5"/>
      <c r="AO249" s="40"/>
      <c r="AP249" s="5"/>
      <c r="AR249" s="40"/>
      <c r="AS249" s="5"/>
      <c r="AU249" s="40"/>
      <c r="AV249" s="5"/>
      <c r="AX249" s="40"/>
      <c r="AY249" s="5"/>
      <c r="BA249" s="40"/>
      <c r="BB249" s="5"/>
      <c r="BD249" s="40"/>
      <c r="BE249" s="5"/>
      <c r="BG249" s="40"/>
      <c r="BH249" s="5"/>
      <c r="BJ249" s="40"/>
      <c r="BK249" s="5"/>
      <c r="BM249" s="40"/>
      <c r="BN249" s="5"/>
      <c r="BP249" s="40"/>
      <c r="BQ249" s="5"/>
      <c r="BS249" s="40"/>
      <c r="BT249" s="5"/>
      <c r="BV249" s="40"/>
      <c r="BW249" s="5"/>
      <c r="BY249" s="40"/>
      <c r="BZ249" s="5"/>
      <c r="CB249" s="40"/>
      <c r="CC249" s="5"/>
      <c r="CE249" s="40"/>
      <c r="CF249" s="5"/>
      <c r="CH249" s="40"/>
      <c r="CI249" s="5"/>
      <c r="CK249" s="40"/>
      <c r="CL249" s="5"/>
      <c r="CN249" s="40"/>
      <c r="CO249" s="5"/>
      <c r="CQ249" s="40"/>
      <c r="CR249" s="5"/>
    </row>
    <row r="250">
      <c r="AL250" s="40"/>
      <c r="AM250" s="5"/>
      <c r="AO250" s="40"/>
      <c r="AP250" s="5"/>
      <c r="AR250" s="40"/>
      <c r="AS250" s="5"/>
      <c r="AU250" s="40"/>
      <c r="AV250" s="5"/>
      <c r="AX250" s="40"/>
      <c r="AY250" s="5"/>
      <c r="BA250" s="40"/>
      <c r="BB250" s="5"/>
      <c r="BD250" s="40"/>
      <c r="BE250" s="5"/>
      <c r="BG250" s="40"/>
      <c r="BH250" s="5"/>
      <c r="BJ250" s="40"/>
      <c r="BK250" s="5"/>
      <c r="BM250" s="40"/>
      <c r="BN250" s="5"/>
      <c r="BP250" s="40"/>
      <c r="BQ250" s="5"/>
      <c r="BS250" s="40"/>
      <c r="BT250" s="5"/>
      <c r="BV250" s="40"/>
      <c r="BW250" s="5"/>
      <c r="BY250" s="40"/>
      <c r="BZ250" s="5"/>
      <c r="CB250" s="40"/>
      <c r="CC250" s="5"/>
      <c r="CE250" s="40"/>
      <c r="CF250" s="5"/>
      <c r="CH250" s="40"/>
      <c r="CI250" s="5"/>
      <c r="CK250" s="40"/>
      <c r="CL250" s="5"/>
      <c r="CN250" s="40"/>
      <c r="CO250" s="5"/>
      <c r="CQ250" s="40"/>
      <c r="CR250" s="5"/>
    </row>
    <row r="251">
      <c r="AL251" s="40"/>
      <c r="AM251" s="5"/>
      <c r="AO251" s="40"/>
      <c r="AP251" s="5"/>
      <c r="AR251" s="40"/>
      <c r="AS251" s="5"/>
      <c r="AU251" s="40"/>
      <c r="AV251" s="5"/>
      <c r="AX251" s="40"/>
      <c r="AY251" s="5"/>
      <c r="BA251" s="40"/>
      <c r="BB251" s="5"/>
      <c r="BD251" s="40"/>
      <c r="BE251" s="5"/>
      <c r="BG251" s="40"/>
      <c r="BH251" s="5"/>
      <c r="BJ251" s="40"/>
      <c r="BK251" s="5"/>
      <c r="BM251" s="40"/>
      <c r="BN251" s="5"/>
      <c r="BP251" s="40"/>
      <c r="BQ251" s="5"/>
      <c r="BS251" s="40"/>
      <c r="BT251" s="5"/>
      <c r="BV251" s="40"/>
      <c r="BW251" s="5"/>
      <c r="BY251" s="40"/>
      <c r="BZ251" s="5"/>
      <c r="CB251" s="40"/>
      <c r="CC251" s="5"/>
      <c r="CE251" s="40"/>
      <c r="CF251" s="5"/>
      <c r="CH251" s="40"/>
      <c r="CI251" s="5"/>
      <c r="CK251" s="40"/>
      <c r="CL251" s="5"/>
      <c r="CN251" s="40"/>
      <c r="CO251" s="5"/>
      <c r="CQ251" s="40"/>
      <c r="CR251" s="5"/>
    </row>
    <row r="252">
      <c r="AL252" s="40"/>
      <c r="AM252" s="5"/>
      <c r="AO252" s="40"/>
      <c r="AP252" s="5"/>
      <c r="AR252" s="40"/>
      <c r="AS252" s="5"/>
      <c r="AU252" s="40"/>
      <c r="AV252" s="5"/>
      <c r="AX252" s="40"/>
      <c r="AY252" s="5"/>
      <c r="BA252" s="40"/>
      <c r="BB252" s="5"/>
      <c r="BD252" s="40"/>
      <c r="BE252" s="5"/>
      <c r="BG252" s="40"/>
      <c r="BH252" s="5"/>
      <c r="BJ252" s="40"/>
      <c r="BK252" s="5"/>
      <c r="BM252" s="40"/>
      <c r="BN252" s="5"/>
      <c r="BP252" s="40"/>
      <c r="BQ252" s="5"/>
      <c r="BS252" s="40"/>
      <c r="BT252" s="5"/>
      <c r="BV252" s="40"/>
      <c r="BW252" s="5"/>
      <c r="BY252" s="40"/>
      <c r="BZ252" s="5"/>
      <c r="CB252" s="40"/>
      <c r="CC252" s="5"/>
      <c r="CE252" s="40"/>
      <c r="CF252" s="5"/>
      <c r="CH252" s="40"/>
      <c r="CI252" s="5"/>
      <c r="CK252" s="40"/>
      <c r="CL252" s="5"/>
      <c r="CN252" s="40"/>
      <c r="CO252" s="5"/>
      <c r="CQ252" s="40"/>
      <c r="CR252" s="5"/>
    </row>
    <row r="253">
      <c r="AL253" s="40"/>
      <c r="AM253" s="5"/>
      <c r="AO253" s="40"/>
      <c r="AP253" s="5"/>
      <c r="AR253" s="40"/>
      <c r="AS253" s="5"/>
      <c r="AU253" s="40"/>
      <c r="AV253" s="5"/>
      <c r="AX253" s="40"/>
      <c r="AY253" s="5"/>
      <c r="BA253" s="40"/>
      <c r="BB253" s="5"/>
      <c r="BD253" s="40"/>
      <c r="BE253" s="5"/>
      <c r="BG253" s="40"/>
      <c r="BH253" s="5"/>
      <c r="BJ253" s="40"/>
      <c r="BK253" s="5"/>
      <c r="BM253" s="40"/>
      <c r="BN253" s="5"/>
      <c r="BP253" s="40"/>
      <c r="BQ253" s="5"/>
      <c r="BS253" s="40"/>
      <c r="BT253" s="5"/>
      <c r="BV253" s="40"/>
      <c r="BW253" s="5"/>
      <c r="BY253" s="40"/>
      <c r="BZ253" s="5"/>
      <c r="CB253" s="40"/>
      <c r="CC253" s="5"/>
      <c r="CE253" s="40"/>
      <c r="CF253" s="5"/>
      <c r="CH253" s="40"/>
      <c r="CI253" s="5"/>
      <c r="CK253" s="40"/>
      <c r="CL253" s="5"/>
      <c r="CN253" s="40"/>
      <c r="CO253" s="5"/>
      <c r="CQ253" s="40"/>
      <c r="CR253" s="5"/>
    </row>
    <row r="254">
      <c r="AL254" s="40"/>
      <c r="AM254" s="5"/>
      <c r="AO254" s="40"/>
      <c r="AP254" s="5"/>
      <c r="AR254" s="40"/>
      <c r="AS254" s="5"/>
      <c r="AU254" s="40"/>
      <c r="AV254" s="5"/>
      <c r="AX254" s="40"/>
      <c r="AY254" s="5"/>
      <c r="BA254" s="40"/>
      <c r="BB254" s="5"/>
      <c r="BD254" s="40"/>
      <c r="BE254" s="5"/>
      <c r="BG254" s="40"/>
      <c r="BH254" s="5"/>
      <c r="BJ254" s="40"/>
      <c r="BK254" s="5"/>
      <c r="BM254" s="40"/>
      <c r="BN254" s="5"/>
      <c r="BP254" s="40"/>
      <c r="BQ254" s="5"/>
      <c r="BS254" s="40"/>
      <c r="BT254" s="5"/>
      <c r="BV254" s="40"/>
      <c r="BW254" s="5"/>
      <c r="BY254" s="40"/>
      <c r="BZ254" s="5"/>
      <c r="CB254" s="40"/>
      <c r="CC254" s="5"/>
      <c r="CE254" s="40"/>
      <c r="CF254" s="5"/>
      <c r="CH254" s="40"/>
      <c r="CI254" s="5"/>
      <c r="CK254" s="40"/>
      <c r="CL254" s="5"/>
      <c r="CN254" s="40"/>
      <c r="CO254" s="5"/>
      <c r="CQ254" s="40"/>
      <c r="CR254" s="5"/>
    </row>
    <row r="255">
      <c r="AL255" s="40"/>
      <c r="AM255" s="5"/>
      <c r="AO255" s="40"/>
      <c r="AP255" s="5"/>
      <c r="AR255" s="40"/>
      <c r="AS255" s="5"/>
      <c r="AU255" s="40"/>
      <c r="AV255" s="5"/>
      <c r="AX255" s="40"/>
      <c r="AY255" s="5"/>
      <c r="BA255" s="40"/>
      <c r="BB255" s="5"/>
      <c r="BD255" s="40"/>
      <c r="BE255" s="5"/>
      <c r="BG255" s="40"/>
      <c r="BH255" s="5"/>
      <c r="BJ255" s="40"/>
      <c r="BK255" s="5"/>
      <c r="BM255" s="40"/>
      <c r="BN255" s="5"/>
      <c r="BP255" s="40"/>
      <c r="BQ255" s="5"/>
      <c r="BS255" s="40"/>
      <c r="BT255" s="5"/>
      <c r="BV255" s="40"/>
      <c r="BW255" s="5"/>
      <c r="BY255" s="40"/>
      <c r="BZ255" s="5"/>
      <c r="CB255" s="40"/>
      <c r="CC255" s="5"/>
      <c r="CE255" s="40"/>
      <c r="CF255" s="5"/>
      <c r="CH255" s="40"/>
      <c r="CI255" s="5"/>
      <c r="CK255" s="40"/>
      <c r="CL255" s="5"/>
      <c r="CN255" s="40"/>
      <c r="CO255" s="5"/>
      <c r="CQ255" s="40"/>
      <c r="CR255" s="5"/>
    </row>
    <row r="256">
      <c r="AL256" s="40"/>
      <c r="AM256" s="5"/>
      <c r="AO256" s="40"/>
      <c r="AP256" s="5"/>
      <c r="AR256" s="40"/>
      <c r="AS256" s="5"/>
      <c r="AU256" s="40"/>
      <c r="AV256" s="5"/>
      <c r="AX256" s="40"/>
      <c r="AY256" s="5"/>
      <c r="BA256" s="40"/>
      <c r="BB256" s="5"/>
      <c r="BD256" s="40"/>
      <c r="BE256" s="5"/>
      <c r="BG256" s="40"/>
      <c r="BH256" s="5"/>
      <c r="BJ256" s="40"/>
      <c r="BK256" s="5"/>
      <c r="BM256" s="40"/>
      <c r="BN256" s="5"/>
      <c r="BP256" s="40"/>
      <c r="BQ256" s="5"/>
      <c r="BS256" s="40"/>
      <c r="BT256" s="5"/>
      <c r="BV256" s="40"/>
      <c r="BW256" s="5"/>
      <c r="BY256" s="40"/>
      <c r="BZ256" s="5"/>
      <c r="CB256" s="40"/>
      <c r="CC256" s="5"/>
      <c r="CE256" s="40"/>
      <c r="CF256" s="5"/>
      <c r="CH256" s="40"/>
      <c r="CI256" s="5"/>
      <c r="CK256" s="40"/>
      <c r="CL256" s="5"/>
      <c r="CN256" s="40"/>
      <c r="CO256" s="5"/>
      <c r="CQ256" s="40"/>
      <c r="CR256" s="5"/>
    </row>
    <row r="257">
      <c r="AL257" s="40"/>
      <c r="AM257" s="5"/>
      <c r="AO257" s="40"/>
      <c r="AP257" s="5"/>
      <c r="AR257" s="40"/>
      <c r="AS257" s="5"/>
      <c r="AU257" s="40"/>
      <c r="AV257" s="5"/>
      <c r="AX257" s="40"/>
      <c r="AY257" s="5"/>
      <c r="BA257" s="40"/>
      <c r="BB257" s="5"/>
      <c r="BD257" s="40"/>
      <c r="BE257" s="5"/>
      <c r="BG257" s="40"/>
      <c r="BH257" s="5"/>
      <c r="BJ257" s="40"/>
      <c r="BK257" s="5"/>
      <c r="BM257" s="40"/>
      <c r="BN257" s="5"/>
      <c r="BP257" s="40"/>
      <c r="BQ257" s="5"/>
      <c r="BS257" s="40"/>
      <c r="BT257" s="5"/>
      <c r="BV257" s="40"/>
      <c r="BW257" s="5"/>
      <c r="BY257" s="40"/>
      <c r="BZ257" s="5"/>
      <c r="CB257" s="40"/>
      <c r="CC257" s="5"/>
      <c r="CE257" s="40"/>
      <c r="CF257" s="5"/>
      <c r="CH257" s="40"/>
      <c r="CI257" s="5"/>
      <c r="CK257" s="40"/>
      <c r="CL257" s="5"/>
      <c r="CN257" s="40"/>
      <c r="CO257" s="5"/>
      <c r="CQ257" s="40"/>
      <c r="CR257" s="5"/>
    </row>
    <row r="258">
      <c r="AL258" s="40"/>
      <c r="AM258" s="5"/>
      <c r="AO258" s="40"/>
      <c r="AP258" s="5"/>
      <c r="AR258" s="40"/>
      <c r="AS258" s="5"/>
      <c r="AU258" s="40"/>
      <c r="AV258" s="5"/>
      <c r="AX258" s="40"/>
      <c r="AY258" s="5"/>
      <c r="BA258" s="40"/>
      <c r="BB258" s="5"/>
      <c r="BD258" s="40"/>
      <c r="BE258" s="5"/>
      <c r="BG258" s="40"/>
      <c r="BH258" s="5"/>
      <c r="BJ258" s="40"/>
      <c r="BK258" s="5"/>
      <c r="BM258" s="40"/>
      <c r="BN258" s="5"/>
      <c r="BP258" s="40"/>
      <c r="BQ258" s="5"/>
      <c r="BS258" s="40"/>
      <c r="BT258" s="5"/>
      <c r="BV258" s="40"/>
      <c r="BW258" s="5"/>
      <c r="BY258" s="40"/>
      <c r="BZ258" s="5"/>
      <c r="CB258" s="40"/>
      <c r="CC258" s="5"/>
      <c r="CE258" s="40"/>
      <c r="CF258" s="5"/>
      <c r="CH258" s="40"/>
      <c r="CI258" s="5"/>
      <c r="CK258" s="40"/>
      <c r="CL258" s="5"/>
      <c r="CN258" s="40"/>
      <c r="CO258" s="5"/>
      <c r="CQ258" s="40"/>
      <c r="CR258" s="5"/>
    </row>
    <row r="259">
      <c r="AL259" s="40"/>
      <c r="AM259" s="5"/>
      <c r="AO259" s="40"/>
      <c r="AP259" s="5"/>
      <c r="AR259" s="40"/>
      <c r="AS259" s="5"/>
      <c r="AU259" s="40"/>
      <c r="AV259" s="5"/>
      <c r="AX259" s="40"/>
      <c r="AY259" s="5"/>
      <c r="BA259" s="40"/>
      <c r="BB259" s="5"/>
      <c r="BD259" s="40"/>
      <c r="BE259" s="5"/>
      <c r="BG259" s="40"/>
      <c r="BH259" s="5"/>
      <c r="BJ259" s="40"/>
      <c r="BK259" s="5"/>
      <c r="BM259" s="40"/>
      <c r="BN259" s="5"/>
      <c r="BP259" s="40"/>
      <c r="BQ259" s="5"/>
      <c r="BS259" s="40"/>
      <c r="BT259" s="5"/>
      <c r="BV259" s="40"/>
      <c r="BW259" s="5"/>
      <c r="BY259" s="40"/>
      <c r="BZ259" s="5"/>
      <c r="CB259" s="40"/>
      <c r="CC259" s="5"/>
      <c r="CE259" s="40"/>
      <c r="CF259" s="5"/>
      <c r="CH259" s="40"/>
      <c r="CI259" s="5"/>
      <c r="CK259" s="40"/>
      <c r="CL259" s="5"/>
      <c r="CN259" s="40"/>
      <c r="CO259" s="5"/>
      <c r="CQ259" s="40"/>
      <c r="CR259" s="5"/>
    </row>
    <row r="260">
      <c r="AL260" s="40"/>
      <c r="AM260" s="5"/>
      <c r="AO260" s="40"/>
      <c r="AP260" s="5"/>
      <c r="AR260" s="40"/>
      <c r="AS260" s="5"/>
      <c r="AU260" s="40"/>
      <c r="AV260" s="5"/>
      <c r="AX260" s="40"/>
      <c r="AY260" s="5"/>
      <c r="BA260" s="40"/>
      <c r="BB260" s="5"/>
      <c r="BD260" s="40"/>
      <c r="BE260" s="5"/>
      <c r="BG260" s="40"/>
      <c r="BH260" s="5"/>
      <c r="BJ260" s="40"/>
      <c r="BK260" s="5"/>
      <c r="BM260" s="40"/>
      <c r="BN260" s="5"/>
      <c r="BP260" s="40"/>
      <c r="BQ260" s="5"/>
      <c r="BS260" s="40"/>
      <c r="BT260" s="5"/>
      <c r="BV260" s="40"/>
      <c r="BW260" s="5"/>
      <c r="BY260" s="40"/>
      <c r="BZ260" s="5"/>
      <c r="CB260" s="40"/>
      <c r="CC260" s="5"/>
      <c r="CE260" s="40"/>
      <c r="CF260" s="5"/>
      <c r="CH260" s="40"/>
      <c r="CI260" s="5"/>
      <c r="CK260" s="40"/>
      <c r="CL260" s="5"/>
      <c r="CN260" s="40"/>
      <c r="CO260" s="5"/>
      <c r="CQ260" s="40"/>
      <c r="CR260" s="5"/>
    </row>
    <row r="261">
      <c r="AL261" s="40"/>
      <c r="AM261" s="5"/>
      <c r="AO261" s="40"/>
      <c r="AP261" s="5"/>
      <c r="AR261" s="40"/>
      <c r="AS261" s="5"/>
      <c r="AU261" s="40"/>
      <c r="AV261" s="5"/>
      <c r="AX261" s="40"/>
      <c r="AY261" s="5"/>
      <c r="BA261" s="40"/>
      <c r="BB261" s="5"/>
      <c r="BD261" s="40"/>
      <c r="BE261" s="5"/>
      <c r="BG261" s="40"/>
      <c r="BH261" s="5"/>
      <c r="BJ261" s="40"/>
      <c r="BK261" s="5"/>
      <c r="BM261" s="40"/>
      <c r="BN261" s="5"/>
      <c r="BP261" s="40"/>
      <c r="BQ261" s="5"/>
      <c r="BS261" s="40"/>
      <c r="BT261" s="5"/>
      <c r="BV261" s="40"/>
      <c r="BW261" s="5"/>
      <c r="BY261" s="40"/>
      <c r="BZ261" s="5"/>
      <c r="CB261" s="40"/>
      <c r="CC261" s="5"/>
      <c r="CE261" s="40"/>
      <c r="CF261" s="5"/>
      <c r="CH261" s="40"/>
      <c r="CI261" s="5"/>
      <c r="CK261" s="40"/>
      <c r="CL261" s="5"/>
      <c r="CN261" s="40"/>
      <c r="CO261" s="5"/>
      <c r="CQ261" s="40"/>
      <c r="CR261" s="5"/>
    </row>
    <row r="262">
      <c r="AL262" s="40"/>
      <c r="AM262" s="5"/>
      <c r="AO262" s="40"/>
      <c r="AP262" s="5"/>
      <c r="AR262" s="40"/>
      <c r="AS262" s="5"/>
      <c r="AU262" s="40"/>
      <c r="AV262" s="5"/>
      <c r="AX262" s="40"/>
      <c r="AY262" s="5"/>
      <c r="BA262" s="40"/>
      <c r="BB262" s="5"/>
      <c r="BD262" s="40"/>
      <c r="BE262" s="5"/>
      <c r="BG262" s="40"/>
      <c r="BH262" s="5"/>
      <c r="BJ262" s="40"/>
      <c r="BK262" s="5"/>
      <c r="BM262" s="40"/>
      <c r="BN262" s="5"/>
      <c r="BP262" s="40"/>
      <c r="BQ262" s="5"/>
      <c r="BS262" s="40"/>
      <c r="BT262" s="5"/>
      <c r="BV262" s="40"/>
      <c r="BW262" s="5"/>
      <c r="BY262" s="40"/>
      <c r="BZ262" s="5"/>
      <c r="CB262" s="40"/>
      <c r="CC262" s="5"/>
      <c r="CE262" s="40"/>
      <c r="CF262" s="5"/>
      <c r="CH262" s="40"/>
      <c r="CI262" s="5"/>
      <c r="CK262" s="40"/>
      <c r="CL262" s="5"/>
      <c r="CN262" s="40"/>
      <c r="CO262" s="5"/>
      <c r="CQ262" s="40"/>
      <c r="CR262" s="5"/>
    </row>
    <row r="263">
      <c r="AL263" s="40"/>
      <c r="AM263" s="5"/>
      <c r="AO263" s="40"/>
      <c r="AP263" s="5"/>
      <c r="AR263" s="40"/>
      <c r="AS263" s="5"/>
      <c r="AU263" s="40"/>
      <c r="AV263" s="5"/>
      <c r="AX263" s="40"/>
      <c r="AY263" s="5"/>
      <c r="BA263" s="40"/>
      <c r="BB263" s="5"/>
      <c r="BD263" s="40"/>
      <c r="BE263" s="5"/>
      <c r="BG263" s="40"/>
      <c r="BH263" s="5"/>
      <c r="BJ263" s="40"/>
      <c r="BK263" s="5"/>
      <c r="BM263" s="40"/>
      <c r="BN263" s="5"/>
      <c r="BP263" s="40"/>
      <c r="BQ263" s="5"/>
      <c r="BS263" s="40"/>
      <c r="BT263" s="5"/>
      <c r="BV263" s="40"/>
      <c r="BW263" s="5"/>
      <c r="BY263" s="40"/>
      <c r="BZ263" s="5"/>
      <c r="CB263" s="40"/>
      <c r="CC263" s="5"/>
      <c r="CE263" s="40"/>
      <c r="CF263" s="5"/>
      <c r="CH263" s="40"/>
      <c r="CI263" s="5"/>
      <c r="CK263" s="40"/>
      <c r="CL263" s="5"/>
      <c r="CN263" s="40"/>
      <c r="CO263" s="5"/>
      <c r="CQ263" s="40"/>
      <c r="CR263" s="5"/>
    </row>
    <row r="264">
      <c r="AL264" s="40"/>
      <c r="AM264" s="5"/>
      <c r="AO264" s="40"/>
      <c r="AP264" s="5"/>
      <c r="AR264" s="40"/>
      <c r="AS264" s="5"/>
      <c r="AU264" s="40"/>
      <c r="AV264" s="5"/>
      <c r="AX264" s="40"/>
      <c r="AY264" s="5"/>
      <c r="BA264" s="40"/>
      <c r="BB264" s="5"/>
      <c r="BD264" s="40"/>
      <c r="BE264" s="5"/>
      <c r="BG264" s="40"/>
      <c r="BH264" s="5"/>
      <c r="BJ264" s="40"/>
      <c r="BK264" s="5"/>
      <c r="BM264" s="40"/>
      <c r="BN264" s="5"/>
      <c r="BP264" s="40"/>
      <c r="BQ264" s="5"/>
      <c r="BS264" s="40"/>
      <c r="BT264" s="5"/>
      <c r="BV264" s="40"/>
      <c r="BW264" s="5"/>
      <c r="BY264" s="40"/>
      <c r="BZ264" s="5"/>
      <c r="CB264" s="40"/>
      <c r="CC264" s="5"/>
      <c r="CE264" s="40"/>
      <c r="CF264" s="5"/>
      <c r="CH264" s="40"/>
      <c r="CI264" s="5"/>
      <c r="CK264" s="40"/>
      <c r="CL264" s="5"/>
      <c r="CN264" s="40"/>
      <c r="CO264" s="5"/>
      <c r="CQ264" s="40"/>
      <c r="CR264" s="5"/>
    </row>
    <row r="265">
      <c r="AL265" s="40"/>
      <c r="AM265" s="5"/>
      <c r="AO265" s="40"/>
      <c r="AP265" s="5"/>
      <c r="AR265" s="40"/>
      <c r="AS265" s="5"/>
      <c r="AU265" s="40"/>
      <c r="AV265" s="5"/>
      <c r="AX265" s="40"/>
      <c r="AY265" s="5"/>
      <c r="BA265" s="40"/>
      <c r="BB265" s="5"/>
      <c r="BD265" s="40"/>
      <c r="BE265" s="5"/>
      <c r="BG265" s="40"/>
      <c r="BH265" s="5"/>
      <c r="BJ265" s="40"/>
      <c r="BK265" s="5"/>
      <c r="BM265" s="40"/>
      <c r="BN265" s="5"/>
      <c r="BP265" s="40"/>
      <c r="BQ265" s="5"/>
      <c r="BS265" s="40"/>
      <c r="BT265" s="5"/>
      <c r="BV265" s="40"/>
      <c r="BW265" s="5"/>
      <c r="BY265" s="40"/>
      <c r="BZ265" s="5"/>
      <c r="CB265" s="40"/>
      <c r="CC265" s="5"/>
      <c r="CE265" s="40"/>
      <c r="CF265" s="5"/>
      <c r="CH265" s="40"/>
      <c r="CI265" s="5"/>
      <c r="CK265" s="40"/>
      <c r="CL265" s="5"/>
      <c r="CN265" s="40"/>
      <c r="CO265" s="5"/>
      <c r="CQ265" s="40"/>
      <c r="CR265" s="5"/>
    </row>
    <row r="266">
      <c r="AL266" s="40"/>
      <c r="AM266" s="5"/>
      <c r="AO266" s="40"/>
      <c r="AP266" s="5"/>
      <c r="AR266" s="40"/>
      <c r="AS266" s="5"/>
      <c r="AU266" s="40"/>
      <c r="AV266" s="5"/>
      <c r="AX266" s="40"/>
      <c r="AY266" s="5"/>
      <c r="BA266" s="40"/>
      <c r="BB266" s="5"/>
      <c r="BD266" s="40"/>
      <c r="BE266" s="5"/>
      <c r="BG266" s="40"/>
      <c r="BH266" s="5"/>
      <c r="BJ266" s="40"/>
      <c r="BK266" s="5"/>
      <c r="BM266" s="40"/>
      <c r="BN266" s="5"/>
      <c r="BP266" s="40"/>
      <c r="BQ266" s="5"/>
      <c r="BS266" s="40"/>
      <c r="BT266" s="5"/>
      <c r="BV266" s="40"/>
      <c r="BW266" s="5"/>
      <c r="BY266" s="40"/>
      <c r="BZ266" s="5"/>
      <c r="CB266" s="40"/>
      <c r="CC266" s="5"/>
      <c r="CE266" s="40"/>
      <c r="CF266" s="5"/>
      <c r="CH266" s="40"/>
      <c r="CI266" s="5"/>
      <c r="CK266" s="40"/>
      <c r="CL266" s="5"/>
      <c r="CN266" s="40"/>
      <c r="CO266" s="5"/>
      <c r="CQ266" s="40"/>
      <c r="CR266" s="5"/>
    </row>
    <row r="267">
      <c r="AL267" s="40"/>
      <c r="AM267" s="5"/>
      <c r="AO267" s="40"/>
      <c r="AP267" s="5"/>
      <c r="AR267" s="40"/>
      <c r="AS267" s="5"/>
      <c r="AU267" s="40"/>
      <c r="AV267" s="5"/>
      <c r="AX267" s="40"/>
      <c r="AY267" s="5"/>
      <c r="BA267" s="40"/>
      <c r="BB267" s="5"/>
      <c r="BD267" s="40"/>
      <c r="BE267" s="5"/>
      <c r="BG267" s="40"/>
      <c r="BH267" s="5"/>
      <c r="BJ267" s="40"/>
      <c r="BK267" s="5"/>
      <c r="BM267" s="40"/>
      <c r="BN267" s="5"/>
      <c r="BP267" s="40"/>
      <c r="BQ267" s="5"/>
      <c r="BS267" s="40"/>
      <c r="BT267" s="5"/>
      <c r="BV267" s="40"/>
      <c r="BW267" s="5"/>
      <c r="BY267" s="40"/>
      <c r="BZ267" s="5"/>
      <c r="CB267" s="40"/>
      <c r="CC267" s="5"/>
      <c r="CE267" s="40"/>
      <c r="CF267" s="5"/>
      <c r="CH267" s="40"/>
      <c r="CI267" s="5"/>
      <c r="CK267" s="40"/>
      <c r="CL267" s="5"/>
      <c r="CN267" s="40"/>
      <c r="CO267" s="5"/>
      <c r="CQ267" s="40"/>
      <c r="CR267" s="5"/>
    </row>
    <row r="268">
      <c r="AL268" s="40"/>
      <c r="AM268" s="5"/>
      <c r="AO268" s="40"/>
      <c r="AP268" s="5"/>
      <c r="AR268" s="40"/>
      <c r="AS268" s="5"/>
      <c r="AU268" s="40"/>
      <c r="AV268" s="5"/>
      <c r="AX268" s="40"/>
      <c r="AY268" s="5"/>
      <c r="BA268" s="40"/>
      <c r="BB268" s="5"/>
      <c r="BD268" s="40"/>
      <c r="BE268" s="5"/>
      <c r="BG268" s="40"/>
      <c r="BH268" s="5"/>
      <c r="BJ268" s="40"/>
      <c r="BK268" s="5"/>
      <c r="BM268" s="40"/>
      <c r="BN268" s="5"/>
      <c r="BP268" s="40"/>
      <c r="BQ268" s="5"/>
      <c r="BS268" s="40"/>
      <c r="BT268" s="5"/>
      <c r="BV268" s="40"/>
      <c r="BW268" s="5"/>
      <c r="BY268" s="40"/>
      <c r="BZ268" s="5"/>
      <c r="CB268" s="40"/>
      <c r="CC268" s="5"/>
      <c r="CE268" s="40"/>
      <c r="CF268" s="5"/>
      <c r="CH268" s="40"/>
      <c r="CI268" s="5"/>
      <c r="CK268" s="40"/>
      <c r="CL268" s="5"/>
      <c r="CN268" s="40"/>
      <c r="CO268" s="5"/>
      <c r="CQ268" s="40"/>
      <c r="CR268" s="5"/>
    </row>
    <row r="269">
      <c r="AL269" s="40"/>
      <c r="AM269" s="5"/>
      <c r="AO269" s="40"/>
      <c r="AP269" s="5"/>
      <c r="AR269" s="40"/>
      <c r="AS269" s="5"/>
      <c r="AU269" s="40"/>
      <c r="AV269" s="5"/>
      <c r="AX269" s="40"/>
      <c r="AY269" s="5"/>
      <c r="BA269" s="40"/>
      <c r="BB269" s="5"/>
      <c r="BD269" s="40"/>
      <c r="BE269" s="5"/>
      <c r="BG269" s="40"/>
      <c r="BH269" s="5"/>
      <c r="BJ269" s="40"/>
      <c r="BK269" s="5"/>
      <c r="BM269" s="40"/>
      <c r="BN269" s="5"/>
      <c r="BP269" s="40"/>
      <c r="BQ269" s="5"/>
      <c r="BS269" s="40"/>
      <c r="BT269" s="5"/>
      <c r="BV269" s="40"/>
      <c r="BW269" s="5"/>
      <c r="BY269" s="40"/>
      <c r="BZ269" s="5"/>
      <c r="CB269" s="40"/>
      <c r="CC269" s="5"/>
      <c r="CE269" s="40"/>
      <c r="CF269" s="5"/>
      <c r="CH269" s="40"/>
      <c r="CI269" s="5"/>
      <c r="CK269" s="40"/>
      <c r="CL269" s="5"/>
      <c r="CN269" s="40"/>
      <c r="CO269" s="5"/>
      <c r="CQ269" s="40"/>
      <c r="CR269" s="5"/>
    </row>
    <row r="270">
      <c r="AL270" s="40"/>
      <c r="AM270" s="5"/>
      <c r="AO270" s="40"/>
      <c r="AP270" s="5"/>
      <c r="AR270" s="40"/>
      <c r="AS270" s="5"/>
      <c r="AU270" s="40"/>
      <c r="AV270" s="5"/>
      <c r="AX270" s="40"/>
      <c r="AY270" s="5"/>
      <c r="BA270" s="40"/>
      <c r="BB270" s="5"/>
      <c r="BD270" s="40"/>
      <c r="BE270" s="5"/>
      <c r="BG270" s="40"/>
      <c r="BH270" s="5"/>
      <c r="BJ270" s="40"/>
      <c r="BK270" s="5"/>
      <c r="BM270" s="40"/>
      <c r="BN270" s="5"/>
      <c r="BP270" s="40"/>
      <c r="BQ270" s="5"/>
      <c r="BS270" s="40"/>
      <c r="BT270" s="5"/>
      <c r="BV270" s="40"/>
      <c r="BW270" s="5"/>
      <c r="BY270" s="40"/>
      <c r="BZ270" s="5"/>
      <c r="CB270" s="40"/>
      <c r="CC270" s="5"/>
      <c r="CE270" s="40"/>
      <c r="CF270" s="5"/>
      <c r="CH270" s="40"/>
      <c r="CI270" s="5"/>
      <c r="CK270" s="40"/>
      <c r="CL270" s="5"/>
      <c r="CN270" s="40"/>
      <c r="CO270" s="5"/>
      <c r="CQ270" s="40"/>
      <c r="CR270" s="5"/>
    </row>
    <row r="271">
      <c r="AL271" s="40"/>
      <c r="AM271" s="5"/>
      <c r="AO271" s="40"/>
      <c r="AP271" s="5"/>
      <c r="AR271" s="40"/>
      <c r="AS271" s="5"/>
      <c r="AU271" s="40"/>
      <c r="AV271" s="5"/>
      <c r="AX271" s="40"/>
      <c r="AY271" s="5"/>
      <c r="BA271" s="40"/>
      <c r="BB271" s="5"/>
      <c r="BD271" s="40"/>
      <c r="BE271" s="5"/>
      <c r="BG271" s="40"/>
      <c r="BH271" s="5"/>
      <c r="BJ271" s="40"/>
      <c r="BK271" s="5"/>
      <c r="BM271" s="40"/>
      <c r="BN271" s="5"/>
      <c r="BP271" s="40"/>
      <c r="BQ271" s="5"/>
      <c r="BS271" s="40"/>
      <c r="BT271" s="5"/>
      <c r="BV271" s="40"/>
      <c r="BW271" s="5"/>
      <c r="BY271" s="40"/>
      <c r="BZ271" s="5"/>
      <c r="CB271" s="40"/>
      <c r="CC271" s="5"/>
      <c r="CE271" s="40"/>
      <c r="CF271" s="5"/>
      <c r="CH271" s="40"/>
      <c r="CI271" s="5"/>
      <c r="CK271" s="40"/>
      <c r="CL271" s="5"/>
      <c r="CN271" s="40"/>
      <c r="CO271" s="5"/>
      <c r="CQ271" s="40"/>
      <c r="CR271" s="5"/>
    </row>
    <row r="272">
      <c r="AL272" s="40"/>
      <c r="AM272" s="5"/>
      <c r="AO272" s="40"/>
      <c r="AP272" s="5"/>
      <c r="AR272" s="40"/>
      <c r="AS272" s="5"/>
      <c r="AU272" s="40"/>
      <c r="AV272" s="5"/>
      <c r="AX272" s="40"/>
      <c r="AY272" s="5"/>
      <c r="BA272" s="40"/>
      <c r="BB272" s="5"/>
      <c r="BD272" s="40"/>
      <c r="BE272" s="5"/>
      <c r="BG272" s="40"/>
      <c r="BH272" s="5"/>
      <c r="BJ272" s="40"/>
      <c r="BK272" s="5"/>
      <c r="BM272" s="40"/>
      <c r="BN272" s="5"/>
      <c r="BP272" s="40"/>
      <c r="BQ272" s="5"/>
      <c r="BS272" s="40"/>
      <c r="BT272" s="5"/>
      <c r="BV272" s="40"/>
      <c r="BW272" s="5"/>
      <c r="BY272" s="40"/>
      <c r="BZ272" s="5"/>
      <c r="CB272" s="40"/>
      <c r="CC272" s="5"/>
      <c r="CE272" s="40"/>
      <c r="CF272" s="5"/>
      <c r="CH272" s="40"/>
      <c r="CI272" s="5"/>
      <c r="CK272" s="40"/>
      <c r="CL272" s="5"/>
      <c r="CN272" s="40"/>
      <c r="CO272" s="5"/>
      <c r="CQ272" s="40"/>
      <c r="CR272" s="5"/>
    </row>
    <row r="273">
      <c r="AL273" s="40"/>
      <c r="AM273" s="5"/>
      <c r="AO273" s="40"/>
      <c r="AP273" s="5"/>
      <c r="AR273" s="40"/>
      <c r="AS273" s="5"/>
      <c r="AU273" s="40"/>
      <c r="AV273" s="5"/>
      <c r="AX273" s="40"/>
      <c r="AY273" s="5"/>
      <c r="BA273" s="40"/>
      <c r="BB273" s="5"/>
      <c r="BD273" s="40"/>
      <c r="BE273" s="5"/>
      <c r="BG273" s="40"/>
      <c r="BH273" s="5"/>
      <c r="BJ273" s="40"/>
      <c r="BK273" s="5"/>
      <c r="BM273" s="40"/>
      <c r="BN273" s="5"/>
      <c r="BP273" s="40"/>
      <c r="BQ273" s="5"/>
      <c r="BS273" s="40"/>
      <c r="BT273" s="5"/>
      <c r="BV273" s="40"/>
      <c r="BW273" s="5"/>
      <c r="BY273" s="40"/>
      <c r="BZ273" s="5"/>
      <c r="CB273" s="40"/>
      <c r="CC273" s="5"/>
      <c r="CE273" s="40"/>
      <c r="CF273" s="5"/>
      <c r="CH273" s="40"/>
      <c r="CI273" s="5"/>
      <c r="CK273" s="40"/>
      <c r="CL273" s="5"/>
      <c r="CN273" s="40"/>
      <c r="CO273" s="5"/>
      <c r="CQ273" s="40"/>
      <c r="CR273" s="5"/>
    </row>
    <row r="274">
      <c r="AL274" s="40"/>
      <c r="AM274" s="5"/>
      <c r="AO274" s="40"/>
      <c r="AP274" s="5"/>
      <c r="AR274" s="40"/>
      <c r="AS274" s="5"/>
      <c r="AU274" s="40"/>
      <c r="AV274" s="5"/>
      <c r="AX274" s="40"/>
      <c r="AY274" s="5"/>
      <c r="BA274" s="40"/>
      <c r="BB274" s="5"/>
      <c r="BD274" s="40"/>
      <c r="BE274" s="5"/>
      <c r="BG274" s="40"/>
      <c r="BH274" s="5"/>
      <c r="BJ274" s="40"/>
      <c r="BK274" s="5"/>
      <c r="BM274" s="40"/>
      <c r="BN274" s="5"/>
      <c r="BP274" s="40"/>
      <c r="BQ274" s="5"/>
      <c r="BS274" s="40"/>
      <c r="BT274" s="5"/>
      <c r="BV274" s="40"/>
      <c r="BW274" s="5"/>
      <c r="BY274" s="40"/>
      <c r="BZ274" s="5"/>
      <c r="CB274" s="40"/>
      <c r="CC274" s="5"/>
      <c r="CE274" s="40"/>
      <c r="CF274" s="5"/>
      <c r="CH274" s="40"/>
      <c r="CI274" s="5"/>
      <c r="CK274" s="40"/>
      <c r="CL274" s="5"/>
      <c r="CN274" s="40"/>
      <c r="CO274" s="5"/>
      <c r="CQ274" s="40"/>
      <c r="CR274" s="5"/>
    </row>
    <row r="275">
      <c r="AL275" s="40"/>
      <c r="AM275" s="5"/>
      <c r="AO275" s="40"/>
      <c r="AP275" s="5"/>
      <c r="AR275" s="40"/>
      <c r="AS275" s="5"/>
      <c r="AU275" s="40"/>
      <c r="AV275" s="5"/>
      <c r="AX275" s="40"/>
      <c r="AY275" s="5"/>
      <c r="BA275" s="40"/>
      <c r="BB275" s="5"/>
      <c r="BD275" s="40"/>
      <c r="BE275" s="5"/>
      <c r="BG275" s="40"/>
      <c r="BH275" s="5"/>
      <c r="BJ275" s="40"/>
      <c r="BK275" s="5"/>
      <c r="BM275" s="40"/>
      <c r="BN275" s="5"/>
      <c r="BP275" s="40"/>
      <c r="BQ275" s="5"/>
      <c r="BS275" s="40"/>
      <c r="BT275" s="5"/>
      <c r="BV275" s="40"/>
      <c r="BW275" s="5"/>
      <c r="BY275" s="40"/>
      <c r="BZ275" s="5"/>
      <c r="CB275" s="40"/>
      <c r="CC275" s="5"/>
      <c r="CE275" s="40"/>
      <c r="CF275" s="5"/>
      <c r="CH275" s="40"/>
      <c r="CI275" s="5"/>
      <c r="CK275" s="40"/>
      <c r="CL275" s="5"/>
      <c r="CN275" s="40"/>
      <c r="CO275" s="5"/>
      <c r="CQ275" s="40"/>
      <c r="CR275" s="5"/>
    </row>
    <row r="276">
      <c r="AL276" s="40"/>
      <c r="AM276" s="5"/>
      <c r="AO276" s="40"/>
      <c r="AP276" s="5"/>
      <c r="AR276" s="40"/>
      <c r="AS276" s="5"/>
      <c r="AU276" s="40"/>
      <c r="AV276" s="5"/>
      <c r="AX276" s="40"/>
      <c r="AY276" s="5"/>
      <c r="BA276" s="40"/>
      <c r="BB276" s="5"/>
      <c r="BD276" s="40"/>
      <c r="BE276" s="5"/>
      <c r="BG276" s="40"/>
      <c r="BH276" s="5"/>
      <c r="BJ276" s="40"/>
      <c r="BK276" s="5"/>
      <c r="BM276" s="40"/>
      <c r="BN276" s="5"/>
      <c r="BP276" s="40"/>
      <c r="BQ276" s="5"/>
      <c r="BS276" s="40"/>
      <c r="BT276" s="5"/>
      <c r="BV276" s="40"/>
      <c r="BW276" s="5"/>
      <c r="BY276" s="40"/>
      <c r="BZ276" s="5"/>
      <c r="CB276" s="40"/>
      <c r="CC276" s="5"/>
      <c r="CE276" s="40"/>
      <c r="CF276" s="5"/>
      <c r="CH276" s="40"/>
      <c r="CI276" s="5"/>
      <c r="CK276" s="40"/>
      <c r="CL276" s="5"/>
      <c r="CN276" s="40"/>
      <c r="CO276" s="5"/>
      <c r="CQ276" s="40"/>
      <c r="CR276" s="5"/>
    </row>
    <row r="277">
      <c r="AL277" s="40"/>
      <c r="AM277" s="5"/>
      <c r="AO277" s="40"/>
      <c r="AP277" s="5"/>
      <c r="AR277" s="40"/>
      <c r="AS277" s="5"/>
      <c r="AU277" s="40"/>
      <c r="AV277" s="5"/>
      <c r="AX277" s="40"/>
      <c r="AY277" s="5"/>
      <c r="BA277" s="40"/>
      <c r="BB277" s="5"/>
      <c r="BD277" s="40"/>
      <c r="BE277" s="5"/>
      <c r="BG277" s="40"/>
      <c r="BH277" s="5"/>
      <c r="BJ277" s="40"/>
      <c r="BK277" s="5"/>
      <c r="BM277" s="40"/>
      <c r="BN277" s="5"/>
      <c r="BP277" s="40"/>
      <c r="BQ277" s="5"/>
      <c r="BS277" s="40"/>
      <c r="BT277" s="5"/>
      <c r="BV277" s="40"/>
      <c r="BW277" s="5"/>
      <c r="BY277" s="40"/>
      <c r="BZ277" s="5"/>
      <c r="CB277" s="40"/>
      <c r="CC277" s="5"/>
      <c r="CE277" s="40"/>
      <c r="CF277" s="5"/>
      <c r="CH277" s="40"/>
      <c r="CI277" s="5"/>
      <c r="CK277" s="40"/>
      <c r="CL277" s="5"/>
      <c r="CN277" s="40"/>
      <c r="CO277" s="5"/>
      <c r="CQ277" s="40"/>
      <c r="CR277" s="5"/>
    </row>
    <row r="278">
      <c r="AL278" s="40"/>
      <c r="AM278" s="5"/>
      <c r="AO278" s="40"/>
      <c r="AP278" s="5"/>
      <c r="AR278" s="40"/>
      <c r="AS278" s="5"/>
      <c r="AU278" s="40"/>
      <c r="AV278" s="5"/>
      <c r="AX278" s="40"/>
      <c r="AY278" s="5"/>
      <c r="BA278" s="40"/>
      <c r="BB278" s="5"/>
      <c r="BD278" s="40"/>
      <c r="BE278" s="5"/>
      <c r="BG278" s="40"/>
      <c r="BH278" s="5"/>
      <c r="BJ278" s="40"/>
      <c r="BK278" s="5"/>
      <c r="BM278" s="40"/>
      <c r="BN278" s="5"/>
      <c r="BP278" s="40"/>
      <c r="BQ278" s="5"/>
      <c r="BS278" s="40"/>
      <c r="BT278" s="5"/>
      <c r="BV278" s="40"/>
      <c r="BW278" s="5"/>
      <c r="BY278" s="40"/>
      <c r="BZ278" s="5"/>
      <c r="CB278" s="40"/>
      <c r="CC278" s="5"/>
      <c r="CE278" s="40"/>
      <c r="CF278" s="5"/>
      <c r="CH278" s="40"/>
      <c r="CI278" s="5"/>
      <c r="CK278" s="40"/>
      <c r="CL278" s="5"/>
      <c r="CN278" s="40"/>
      <c r="CO278" s="5"/>
      <c r="CQ278" s="40"/>
      <c r="CR278" s="5"/>
    </row>
    <row r="279">
      <c r="AL279" s="40"/>
      <c r="AM279" s="5"/>
      <c r="AO279" s="40"/>
      <c r="AP279" s="5"/>
      <c r="AR279" s="40"/>
      <c r="AS279" s="5"/>
      <c r="AU279" s="40"/>
      <c r="AV279" s="5"/>
      <c r="AX279" s="40"/>
      <c r="AY279" s="5"/>
      <c r="BA279" s="40"/>
      <c r="BB279" s="5"/>
      <c r="BD279" s="40"/>
      <c r="BE279" s="5"/>
      <c r="BG279" s="40"/>
      <c r="BH279" s="5"/>
      <c r="BJ279" s="40"/>
      <c r="BK279" s="5"/>
      <c r="BM279" s="40"/>
      <c r="BN279" s="5"/>
      <c r="BP279" s="40"/>
      <c r="BQ279" s="5"/>
      <c r="BS279" s="40"/>
      <c r="BT279" s="5"/>
      <c r="BV279" s="40"/>
      <c r="BW279" s="5"/>
      <c r="BY279" s="40"/>
      <c r="BZ279" s="5"/>
      <c r="CB279" s="40"/>
      <c r="CC279" s="5"/>
      <c r="CE279" s="40"/>
      <c r="CF279" s="5"/>
      <c r="CH279" s="40"/>
      <c r="CI279" s="5"/>
      <c r="CK279" s="40"/>
      <c r="CL279" s="5"/>
      <c r="CN279" s="40"/>
      <c r="CO279" s="5"/>
      <c r="CQ279" s="40"/>
      <c r="CR279" s="5"/>
    </row>
    <row r="280">
      <c r="AL280" s="40"/>
      <c r="AM280" s="5"/>
      <c r="AO280" s="40"/>
      <c r="AP280" s="5"/>
      <c r="AR280" s="40"/>
      <c r="AS280" s="5"/>
      <c r="AU280" s="40"/>
      <c r="AV280" s="5"/>
      <c r="AX280" s="40"/>
      <c r="AY280" s="5"/>
      <c r="BA280" s="40"/>
      <c r="BB280" s="5"/>
      <c r="BD280" s="40"/>
      <c r="BE280" s="5"/>
      <c r="BG280" s="40"/>
      <c r="BH280" s="5"/>
      <c r="BJ280" s="40"/>
      <c r="BK280" s="5"/>
      <c r="BM280" s="40"/>
      <c r="BN280" s="5"/>
      <c r="BP280" s="40"/>
      <c r="BQ280" s="5"/>
      <c r="BS280" s="40"/>
      <c r="BT280" s="5"/>
      <c r="BV280" s="40"/>
      <c r="BW280" s="5"/>
      <c r="BY280" s="40"/>
      <c r="BZ280" s="5"/>
      <c r="CB280" s="40"/>
      <c r="CC280" s="5"/>
      <c r="CE280" s="40"/>
      <c r="CF280" s="5"/>
      <c r="CH280" s="40"/>
      <c r="CI280" s="5"/>
      <c r="CK280" s="40"/>
      <c r="CL280" s="5"/>
      <c r="CN280" s="40"/>
      <c r="CO280" s="5"/>
      <c r="CQ280" s="40"/>
      <c r="CR280" s="5"/>
    </row>
    <row r="281">
      <c r="AL281" s="40"/>
      <c r="AM281" s="5"/>
      <c r="AO281" s="40"/>
      <c r="AP281" s="5"/>
      <c r="AR281" s="40"/>
      <c r="AS281" s="5"/>
      <c r="AU281" s="40"/>
      <c r="AV281" s="5"/>
      <c r="AX281" s="40"/>
      <c r="AY281" s="5"/>
      <c r="BA281" s="40"/>
      <c r="BB281" s="5"/>
      <c r="BD281" s="40"/>
      <c r="BE281" s="5"/>
      <c r="BG281" s="40"/>
      <c r="BH281" s="5"/>
      <c r="BJ281" s="40"/>
      <c r="BK281" s="5"/>
      <c r="BM281" s="40"/>
      <c r="BN281" s="5"/>
      <c r="BP281" s="40"/>
      <c r="BQ281" s="5"/>
      <c r="BS281" s="40"/>
      <c r="BT281" s="5"/>
      <c r="BV281" s="40"/>
      <c r="BW281" s="5"/>
      <c r="BY281" s="40"/>
      <c r="BZ281" s="5"/>
      <c r="CB281" s="40"/>
      <c r="CC281" s="5"/>
      <c r="CE281" s="40"/>
      <c r="CF281" s="5"/>
      <c r="CH281" s="40"/>
      <c r="CI281" s="5"/>
      <c r="CK281" s="40"/>
      <c r="CL281" s="5"/>
      <c r="CN281" s="40"/>
      <c r="CO281" s="5"/>
      <c r="CQ281" s="40"/>
      <c r="CR281" s="5"/>
    </row>
    <row r="282">
      <c r="AL282" s="40"/>
      <c r="AM282" s="5"/>
      <c r="AO282" s="40"/>
      <c r="AP282" s="5"/>
      <c r="AR282" s="40"/>
      <c r="AS282" s="5"/>
      <c r="AU282" s="40"/>
      <c r="AV282" s="5"/>
      <c r="AX282" s="40"/>
      <c r="AY282" s="5"/>
      <c r="BA282" s="40"/>
      <c r="BB282" s="5"/>
      <c r="BD282" s="40"/>
      <c r="BE282" s="5"/>
      <c r="BG282" s="40"/>
      <c r="BH282" s="5"/>
      <c r="BJ282" s="40"/>
      <c r="BK282" s="5"/>
      <c r="BM282" s="40"/>
      <c r="BN282" s="5"/>
      <c r="BP282" s="40"/>
      <c r="BQ282" s="5"/>
      <c r="BS282" s="40"/>
      <c r="BT282" s="5"/>
      <c r="BV282" s="40"/>
      <c r="BW282" s="5"/>
      <c r="BY282" s="40"/>
      <c r="BZ282" s="5"/>
      <c r="CB282" s="40"/>
      <c r="CC282" s="5"/>
      <c r="CE282" s="40"/>
      <c r="CF282" s="5"/>
      <c r="CH282" s="40"/>
      <c r="CI282" s="5"/>
      <c r="CK282" s="40"/>
      <c r="CL282" s="5"/>
      <c r="CN282" s="40"/>
      <c r="CO282" s="5"/>
      <c r="CQ282" s="40"/>
      <c r="CR282" s="5"/>
    </row>
    <row r="283">
      <c r="AL283" s="40"/>
      <c r="AM283" s="5"/>
      <c r="AO283" s="40"/>
      <c r="AP283" s="5"/>
      <c r="AR283" s="40"/>
      <c r="AS283" s="5"/>
      <c r="AU283" s="40"/>
      <c r="AV283" s="5"/>
      <c r="AX283" s="40"/>
      <c r="AY283" s="5"/>
      <c r="BA283" s="40"/>
      <c r="BB283" s="5"/>
      <c r="BD283" s="40"/>
      <c r="BE283" s="5"/>
      <c r="BG283" s="40"/>
      <c r="BH283" s="5"/>
      <c r="BJ283" s="40"/>
      <c r="BK283" s="5"/>
      <c r="BM283" s="40"/>
      <c r="BN283" s="5"/>
      <c r="BP283" s="40"/>
      <c r="BQ283" s="5"/>
      <c r="BS283" s="40"/>
      <c r="BT283" s="5"/>
      <c r="BV283" s="40"/>
      <c r="BW283" s="5"/>
      <c r="BY283" s="40"/>
      <c r="BZ283" s="5"/>
      <c r="CB283" s="40"/>
      <c r="CC283" s="5"/>
      <c r="CE283" s="40"/>
      <c r="CF283" s="5"/>
      <c r="CH283" s="40"/>
      <c r="CI283" s="5"/>
      <c r="CK283" s="40"/>
      <c r="CL283" s="5"/>
      <c r="CN283" s="40"/>
      <c r="CO283" s="5"/>
      <c r="CQ283" s="40"/>
      <c r="CR283" s="5"/>
    </row>
    <row r="284">
      <c r="AL284" s="40"/>
      <c r="AM284" s="5"/>
      <c r="AO284" s="40"/>
      <c r="AP284" s="5"/>
      <c r="AR284" s="40"/>
      <c r="AS284" s="5"/>
      <c r="AU284" s="40"/>
      <c r="AV284" s="5"/>
      <c r="AX284" s="40"/>
      <c r="AY284" s="5"/>
      <c r="BA284" s="40"/>
      <c r="BB284" s="5"/>
      <c r="BD284" s="40"/>
      <c r="BE284" s="5"/>
      <c r="BG284" s="40"/>
      <c r="BH284" s="5"/>
      <c r="BJ284" s="40"/>
      <c r="BK284" s="5"/>
      <c r="BM284" s="40"/>
      <c r="BN284" s="5"/>
      <c r="BP284" s="40"/>
      <c r="BQ284" s="5"/>
      <c r="BS284" s="40"/>
      <c r="BT284" s="5"/>
      <c r="BV284" s="40"/>
      <c r="BW284" s="5"/>
      <c r="BY284" s="40"/>
      <c r="BZ284" s="5"/>
      <c r="CB284" s="40"/>
      <c r="CC284" s="5"/>
      <c r="CE284" s="40"/>
      <c r="CF284" s="5"/>
      <c r="CH284" s="40"/>
      <c r="CI284" s="5"/>
      <c r="CK284" s="40"/>
      <c r="CL284" s="5"/>
      <c r="CN284" s="40"/>
      <c r="CO284" s="5"/>
      <c r="CQ284" s="40"/>
      <c r="CR284" s="5"/>
    </row>
    <row r="285">
      <c r="AL285" s="40"/>
      <c r="AM285" s="5"/>
      <c r="AO285" s="40"/>
      <c r="AP285" s="5"/>
      <c r="AR285" s="40"/>
      <c r="AS285" s="5"/>
      <c r="AU285" s="40"/>
      <c r="AV285" s="5"/>
      <c r="AX285" s="40"/>
      <c r="AY285" s="5"/>
      <c r="BA285" s="40"/>
      <c r="BB285" s="5"/>
      <c r="BD285" s="40"/>
      <c r="BE285" s="5"/>
      <c r="BG285" s="40"/>
      <c r="BH285" s="5"/>
      <c r="BJ285" s="40"/>
      <c r="BK285" s="5"/>
      <c r="BM285" s="40"/>
      <c r="BN285" s="5"/>
      <c r="BP285" s="40"/>
      <c r="BQ285" s="5"/>
      <c r="BS285" s="40"/>
      <c r="BT285" s="5"/>
      <c r="BV285" s="40"/>
      <c r="BW285" s="5"/>
      <c r="BY285" s="40"/>
      <c r="BZ285" s="5"/>
      <c r="CB285" s="40"/>
      <c r="CC285" s="5"/>
      <c r="CE285" s="40"/>
      <c r="CF285" s="5"/>
      <c r="CH285" s="40"/>
      <c r="CI285" s="5"/>
      <c r="CK285" s="40"/>
      <c r="CL285" s="5"/>
      <c r="CN285" s="40"/>
      <c r="CO285" s="5"/>
      <c r="CQ285" s="40"/>
      <c r="CR285" s="5"/>
    </row>
    <row r="286">
      <c r="AL286" s="40"/>
      <c r="AM286" s="5"/>
      <c r="AO286" s="40"/>
      <c r="AP286" s="5"/>
      <c r="AR286" s="40"/>
      <c r="AS286" s="5"/>
      <c r="AU286" s="40"/>
      <c r="AV286" s="5"/>
      <c r="AX286" s="40"/>
      <c r="AY286" s="5"/>
      <c r="BA286" s="40"/>
      <c r="BB286" s="5"/>
      <c r="BD286" s="40"/>
      <c r="BE286" s="5"/>
      <c r="BG286" s="40"/>
      <c r="BH286" s="5"/>
      <c r="BJ286" s="40"/>
      <c r="BK286" s="5"/>
      <c r="BM286" s="40"/>
      <c r="BN286" s="5"/>
      <c r="BP286" s="40"/>
      <c r="BQ286" s="5"/>
      <c r="BS286" s="40"/>
      <c r="BT286" s="5"/>
      <c r="BV286" s="40"/>
      <c r="BW286" s="5"/>
      <c r="BY286" s="40"/>
      <c r="BZ286" s="5"/>
      <c r="CB286" s="40"/>
      <c r="CC286" s="5"/>
      <c r="CE286" s="40"/>
      <c r="CF286" s="5"/>
      <c r="CH286" s="40"/>
      <c r="CI286" s="5"/>
      <c r="CK286" s="40"/>
      <c r="CL286" s="5"/>
      <c r="CN286" s="40"/>
      <c r="CO286" s="5"/>
      <c r="CQ286" s="40"/>
      <c r="CR286" s="5"/>
    </row>
    <row r="287">
      <c r="AL287" s="40"/>
      <c r="AM287" s="5"/>
      <c r="AO287" s="40"/>
      <c r="AP287" s="5"/>
      <c r="AR287" s="40"/>
      <c r="AS287" s="5"/>
      <c r="AU287" s="40"/>
      <c r="AV287" s="5"/>
      <c r="AX287" s="40"/>
      <c r="AY287" s="5"/>
      <c r="BA287" s="40"/>
      <c r="BB287" s="5"/>
      <c r="BD287" s="40"/>
      <c r="BE287" s="5"/>
      <c r="BG287" s="40"/>
      <c r="BH287" s="5"/>
      <c r="BJ287" s="40"/>
      <c r="BK287" s="5"/>
      <c r="BM287" s="40"/>
      <c r="BN287" s="5"/>
      <c r="BP287" s="40"/>
      <c r="BQ287" s="5"/>
      <c r="BS287" s="40"/>
      <c r="BT287" s="5"/>
      <c r="BV287" s="40"/>
      <c r="BW287" s="5"/>
      <c r="BY287" s="40"/>
      <c r="BZ287" s="5"/>
      <c r="CB287" s="40"/>
      <c r="CC287" s="5"/>
      <c r="CE287" s="40"/>
      <c r="CF287" s="5"/>
      <c r="CH287" s="40"/>
      <c r="CI287" s="5"/>
      <c r="CK287" s="40"/>
      <c r="CL287" s="5"/>
      <c r="CN287" s="40"/>
      <c r="CO287" s="5"/>
      <c r="CQ287" s="40"/>
      <c r="CR287" s="5"/>
    </row>
    <row r="288">
      <c r="AL288" s="40"/>
      <c r="AM288" s="5"/>
      <c r="AO288" s="40"/>
      <c r="AP288" s="5"/>
      <c r="AR288" s="40"/>
      <c r="AS288" s="5"/>
      <c r="AU288" s="40"/>
      <c r="AV288" s="5"/>
      <c r="AX288" s="40"/>
      <c r="AY288" s="5"/>
      <c r="BA288" s="40"/>
      <c r="BB288" s="5"/>
      <c r="BD288" s="40"/>
      <c r="BE288" s="5"/>
      <c r="BG288" s="40"/>
      <c r="BH288" s="5"/>
      <c r="BJ288" s="40"/>
      <c r="BK288" s="5"/>
      <c r="BM288" s="40"/>
      <c r="BN288" s="5"/>
      <c r="BP288" s="40"/>
      <c r="BQ288" s="5"/>
      <c r="BS288" s="40"/>
      <c r="BT288" s="5"/>
      <c r="BV288" s="40"/>
      <c r="BW288" s="5"/>
      <c r="BY288" s="40"/>
      <c r="BZ288" s="5"/>
      <c r="CB288" s="40"/>
      <c r="CC288" s="5"/>
      <c r="CE288" s="40"/>
      <c r="CF288" s="5"/>
      <c r="CH288" s="40"/>
      <c r="CI288" s="5"/>
      <c r="CK288" s="40"/>
      <c r="CL288" s="5"/>
      <c r="CN288" s="40"/>
      <c r="CO288" s="5"/>
      <c r="CQ288" s="40"/>
      <c r="CR288" s="5"/>
    </row>
    <row r="289">
      <c r="AL289" s="40"/>
      <c r="AM289" s="5"/>
      <c r="AO289" s="40"/>
      <c r="AP289" s="5"/>
      <c r="AR289" s="40"/>
      <c r="AS289" s="5"/>
      <c r="AU289" s="40"/>
      <c r="AV289" s="5"/>
      <c r="AX289" s="40"/>
      <c r="AY289" s="5"/>
      <c r="BA289" s="40"/>
      <c r="BB289" s="5"/>
      <c r="BD289" s="40"/>
      <c r="BE289" s="5"/>
      <c r="BG289" s="40"/>
      <c r="BH289" s="5"/>
      <c r="BJ289" s="40"/>
      <c r="BK289" s="5"/>
      <c r="BM289" s="40"/>
      <c r="BN289" s="5"/>
      <c r="BP289" s="40"/>
      <c r="BQ289" s="5"/>
      <c r="BS289" s="40"/>
      <c r="BT289" s="5"/>
      <c r="BV289" s="40"/>
      <c r="BW289" s="5"/>
      <c r="BY289" s="40"/>
      <c r="BZ289" s="5"/>
      <c r="CB289" s="40"/>
      <c r="CC289" s="5"/>
      <c r="CE289" s="40"/>
      <c r="CF289" s="5"/>
      <c r="CH289" s="40"/>
      <c r="CI289" s="5"/>
      <c r="CK289" s="40"/>
      <c r="CL289" s="5"/>
      <c r="CN289" s="40"/>
      <c r="CO289" s="5"/>
      <c r="CQ289" s="40"/>
      <c r="CR289" s="5"/>
    </row>
    <row r="290">
      <c r="AL290" s="40"/>
      <c r="AM290" s="5"/>
      <c r="AO290" s="40"/>
      <c r="AP290" s="5"/>
      <c r="AR290" s="40"/>
      <c r="AS290" s="5"/>
      <c r="AU290" s="40"/>
      <c r="AV290" s="5"/>
      <c r="AX290" s="40"/>
      <c r="AY290" s="5"/>
      <c r="BA290" s="40"/>
      <c r="BB290" s="5"/>
      <c r="BD290" s="40"/>
      <c r="BE290" s="5"/>
      <c r="BG290" s="40"/>
      <c r="BH290" s="5"/>
      <c r="BJ290" s="40"/>
      <c r="BK290" s="5"/>
      <c r="BM290" s="40"/>
      <c r="BN290" s="5"/>
      <c r="BP290" s="40"/>
      <c r="BQ290" s="5"/>
      <c r="BS290" s="40"/>
      <c r="BT290" s="5"/>
      <c r="BV290" s="40"/>
      <c r="BW290" s="5"/>
      <c r="BY290" s="40"/>
      <c r="BZ290" s="5"/>
      <c r="CB290" s="40"/>
      <c r="CC290" s="5"/>
      <c r="CE290" s="40"/>
      <c r="CF290" s="5"/>
      <c r="CH290" s="40"/>
      <c r="CI290" s="5"/>
      <c r="CK290" s="40"/>
      <c r="CL290" s="5"/>
      <c r="CN290" s="40"/>
      <c r="CO290" s="5"/>
      <c r="CQ290" s="40"/>
      <c r="CR290" s="5"/>
    </row>
    <row r="291">
      <c r="AL291" s="40"/>
      <c r="AM291" s="5"/>
      <c r="AO291" s="40"/>
      <c r="AP291" s="5"/>
      <c r="AR291" s="40"/>
      <c r="AS291" s="5"/>
      <c r="AU291" s="40"/>
      <c r="AV291" s="5"/>
      <c r="AX291" s="40"/>
      <c r="AY291" s="5"/>
      <c r="BA291" s="40"/>
      <c r="BB291" s="5"/>
      <c r="BD291" s="40"/>
      <c r="BE291" s="5"/>
      <c r="BG291" s="40"/>
      <c r="BH291" s="5"/>
      <c r="BJ291" s="40"/>
      <c r="BK291" s="5"/>
      <c r="BM291" s="40"/>
      <c r="BN291" s="5"/>
      <c r="BP291" s="40"/>
      <c r="BQ291" s="5"/>
      <c r="BS291" s="40"/>
      <c r="BT291" s="5"/>
      <c r="BV291" s="40"/>
      <c r="BW291" s="5"/>
      <c r="BY291" s="40"/>
      <c r="BZ291" s="5"/>
      <c r="CB291" s="40"/>
      <c r="CC291" s="5"/>
      <c r="CE291" s="40"/>
      <c r="CF291" s="5"/>
      <c r="CH291" s="40"/>
      <c r="CI291" s="5"/>
      <c r="CK291" s="40"/>
      <c r="CL291" s="5"/>
      <c r="CN291" s="40"/>
      <c r="CO291" s="5"/>
      <c r="CQ291" s="40"/>
      <c r="CR291" s="5"/>
    </row>
    <row r="292">
      <c r="AL292" s="40"/>
      <c r="AM292" s="5"/>
      <c r="AO292" s="40"/>
      <c r="AP292" s="5"/>
      <c r="AR292" s="40"/>
      <c r="AS292" s="5"/>
      <c r="AU292" s="40"/>
      <c r="AV292" s="5"/>
      <c r="AX292" s="40"/>
      <c r="AY292" s="5"/>
      <c r="BA292" s="40"/>
      <c r="BB292" s="5"/>
      <c r="BD292" s="40"/>
      <c r="BE292" s="5"/>
      <c r="BG292" s="40"/>
      <c r="BH292" s="5"/>
      <c r="BJ292" s="40"/>
      <c r="BK292" s="5"/>
      <c r="BM292" s="40"/>
      <c r="BN292" s="5"/>
      <c r="BP292" s="40"/>
      <c r="BQ292" s="5"/>
      <c r="BS292" s="40"/>
      <c r="BT292" s="5"/>
      <c r="BV292" s="40"/>
      <c r="BW292" s="5"/>
      <c r="BY292" s="40"/>
      <c r="BZ292" s="5"/>
      <c r="CB292" s="40"/>
      <c r="CC292" s="5"/>
      <c r="CE292" s="40"/>
      <c r="CF292" s="5"/>
      <c r="CH292" s="40"/>
      <c r="CI292" s="5"/>
      <c r="CK292" s="40"/>
      <c r="CL292" s="5"/>
      <c r="CN292" s="40"/>
      <c r="CO292" s="5"/>
      <c r="CQ292" s="40"/>
      <c r="CR292" s="5"/>
    </row>
    <row r="293">
      <c r="AL293" s="40"/>
      <c r="AM293" s="5"/>
      <c r="AO293" s="40"/>
      <c r="AP293" s="5"/>
      <c r="AR293" s="40"/>
      <c r="AS293" s="5"/>
      <c r="AU293" s="40"/>
      <c r="AV293" s="5"/>
      <c r="AX293" s="40"/>
      <c r="AY293" s="5"/>
      <c r="BA293" s="40"/>
      <c r="BB293" s="5"/>
      <c r="BD293" s="40"/>
      <c r="BE293" s="5"/>
      <c r="BG293" s="40"/>
      <c r="BH293" s="5"/>
      <c r="BJ293" s="40"/>
      <c r="BK293" s="5"/>
      <c r="BM293" s="40"/>
      <c r="BN293" s="5"/>
      <c r="BP293" s="40"/>
      <c r="BQ293" s="5"/>
      <c r="BS293" s="40"/>
      <c r="BT293" s="5"/>
      <c r="BV293" s="40"/>
      <c r="BW293" s="5"/>
      <c r="BY293" s="40"/>
      <c r="BZ293" s="5"/>
      <c r="CB293" s="40"/>
      <c r="CC293" s="5"/>
      <c r="CE293" s="40"/>
      <c r="CF293" s="5"/>
      <c r="CH293" s="40"/>
      <c r="CI293" s="5"/>
      <c r="CK293" s="40"/>
      <c r="CL293" s="5"/>
      <c r="CN293" s="40"/>
      <c r="CO293" s="5"/>
      <c r="CQ293" s="40"/>
      <c r="CR293" s="5"/>
    </row>
    <row r="294">
      <c r="AL294" s="40"/>
      <c r="AM294" s="5"/>
      <c r="AO294" s="40"/>
      <c r="AP294" s="5"/>
      <c r="AR294" s="40"/>
      <c r="AS294" s="5"/>
      <c r="AU294" s="40"/>
      <c r="AV294" s="5"/>
      <c r="AX294" s="40"/>
      <c r="AY294" s="5"/>
      <c r="BA294" s="40"/>
      <c r="BB294" s="5"/>
      <c r="BD294" s="40"/>
      <c r="BE294" s="5"/>
      <c r="BG294" s="40"/>
      <c r="BH294" s="5"/>
      <c r="BJ294" s="40"/>
      <c r="BK294" s="5"/>
      <c r="BM294" s="40"/>
      <c r="BN294" s="5"/>
      <c r="BP294" s="40"/>
      <c r="BQ294" s="5"/>
      <c r="BS294" s="40"/>
      <c r="BT294" s="5"/>
      <c r="BV294" s="40"/>
      <c r="BW294" s="5"/>
      <c r="BY294" s="40"/>
      <c r="BZ294" s="5"/>
      <c r="CB294" s="40"/>
      <c r="CC294" s="5"/>
      <c r="CE294" s="40"/>
      <c r="CF294" s="5"/>
      <c r="CH294" s="40"/>
      <c r="CI294" s="5"/>
      <c r="CK294" s="40"/>
      <c r="CL294" s="5"/>
      <c r="CN294" s="40"/>
      <c r="CO294" s="5"/>
      <c r="CQ294" s="40"/>
      <c r="CR294" s="5"/>
    </row>
    <row r="295">
      <c r="AL295" s="40"/>
      <c r="AM295" s="5"/>
      <c r="AO295" s="40"/>
      <c r="AP295" s="5"/>
      <c r="AR295" s="40"/>
      <c r="AS295" s="5"/>
      <c r="AU295" s="40"/>
      <c r="AV295" s="5"/>
      <c r="AX295" s="40"/>
      <c r="AY295" s="5"/>
      <c r="BA295" s="40"/>
      <c r="BB295" s="5"/>
      <c r="BD295" s="40"/>
      <c r="BE295" s="5"/>
      <c r="BG295" s="40"/>
      <c r="BH295" s="5"/>
      <c r="BJ295" s="40"/>
      <c r="BK295" s="5"/>
      <c r="BM295" s="40"/>
      <c r="BN295" s="5"/>
      <c r="BP295" s="40"/>
      <c r="BQ295" s="5"/>
      <c r="BS295" s="40"/>
      <c r="BT295" s="5"/>
      <c r="BV295" s="40"/>
      <c r="BW295" s="5"/>
      <c r="BY295" s="40"/>
      <c r="BZ295" s="5"/>
      <c r="CB295" s="40"/>
      <c r="CC295" s="5"/>
      <c r="CE295" s="40"/>
      <c r="CF295" s="5"/>
      <c r="CH295" s="40"/>
      <c r="CI295" s="5"/>
      <c r="CK295" s="40"/>
      <c r="CL295" s="5"/>
      <c r="CN295" s="40"/>
      <c r="CO295" s="5"/>
      <c r="CQ295" s="40"/>
      <c r="CR295" s="5"/>
    </row>
    <row r="296">
      <c r="AL296" s="40"/>
      <c r="AM296" s="5"/>
      <c r="AO296" s="40"/>
      <c r="AP296" s="5"/>
      <c r="AR296" s="40"/>
      <c r="AS296" s="5"/>
      <c r="AU296" s="40"/>
      <c r="AV296" s="5"/>
      <c r="AX296" s="40"/>
      <c r="AY296" s="5"/>
      <c r="BA296" s="40"/>
      <c r="BB296" s="5"/>
      <c r="BD296" s="40"/>
      <c r="BE296" s="5"/>
      <c r="BG296" s="40"/>
      <c r="BH296" s="5"/>
      <c r="BJ296" s="40"/>
      <c r="BK296" s="5"/>
      <c r="BM296" s="40"/>
      <c r="BN296" s="5"/>
      <c r="BP296" s="40"/>
      <c r="BQ296" s="5"/>
      <c r="BS296" s="40"/>
      <c r="BT296" s="5"/>
      <c r="BV296" s="40"/>
      <c r="BW296" s="5"/>
      <c r="BY296" s="40"/>
      <c r="BZ296" s="5"/>
      <c r="CB296" s="40"/>
      <c r="CC296" s="5"/>
      <c r="CE296" s="40"/>
      <c r="CF296" s="5"/>
      <c r="CH296" s="40"/>
      <c r="CI296" s="5"/>
      <c r="CK296" s="40"/>
      <c r="CL296" s="5"/>
      <c r="CN296" s="40"/>
      <c r="CO296" s="5"/>
      <c r="CQ296" s="40"/>
      <c r="CR296" s="5"/>
    </row>
    <row r="297">
      <c r="AL297" s="40"/>
      <c r="AM297" s="5"/>
      <c r="AO297" s="40"/>
      <c r="AP297" s="5"/>
      <c r="AR297" s="40"/>
      <c r="AS297" s="5"/>
      <c r="AU297" s="40"/>
      <c r="AV297" s="5"/>
      <c r="AX297" s="40"/>
      <c r="AY297" s="5"/>
      <c r="BA297" s="40"/>
      <c r="BB297" s="5"/>
      <c r="BD297" s="40"/>
      <c r="BE297" s="5"/>
      <c r="BG297" s="40"/>
      <c r="BH297" s="5"/>
      <c r="BJ297" s="40"/>
      <c r="BK297" s="5"/>
      <c r="BM297" s="40"/>
      <c r="BN297" s="5"/>
      <c r="BP297" s="40"/>
      <c r="BQ297" s="5"/>
      <c r="BS297" s="40"/>
      <c r="BT297" s="5"/>
      <c r="BV297" s="40"/>
      <c r="BW297" s="5"/>
      <c r="BY297" s="40"/>
      <c r="BZ297" s="5"/>
      <c r="CB297" s="40"/>
      <c r="CC297" s="5"/>
      <c r="CE297" s="40"/>
      <c r="CF297" s="5"/>
      <c r="CH297" s="40"/>
      <c r="CI297" s="5"/>
      <c r="CK297" s="40"/>
      <c r="CL297" s="5"/>
      <c r="CN297" s="40"/>
      <c r="CO297" s="5"/>
      <c r="CQ297" s="40"/>
      <c r="CR297" s="5"/>
    </row>
    <row r="298">
      <c r="AL298" s="40"/>
      <c r="AM298" s="5"/>
      <c r="AO298" s="40"/>
      <c r="AP298" s="5"/>
      <c r="AR298" s="40"/>
      <c r="AS298" s="5"/>
      <c r="AU298" s="40"/>
      <c r="AV298" s="5"/>
      <c r="AX298" s="40"/>
      <c r="AY298" s="5"/>
      <c r="BA298" s="40"/>
      <c r="BB298" s="5"/>
      <c r="BD298" s="40"/>
      <c r="BE298" s="5"/>
      <c r="BG298" s="40"/>
      <c r="BH298" s="5"/>
      <c r="BJ298" s="40"/>
      <c r="BK298" s="5"/>
      <c r="BM298" s="40"/>
      <c r="BN298" s="5"/>
      <c r="BP298" s="40"/>
      <c r="BQ298" s="5"/>
      <c r="BS298" s="40"/>
      <c r="BT298" s="5"/>
      <c r="BV298" s="40"/>
      <c r="BW298" s="5"/>
      <c r="BY298" s="40"/>
      <c r="BZ298" s="5"/>
      <c r="CB298" s="40"/>
      <c r="CC298" s="5"/>
      <c r="CE298" s="40"/>
      <c r="CF298" s="5"/>
      <c r="CH298" s="40"/>
      <c r="CI298" s="5"/>
      <c r="CK298" s="40"/>
      <c r="CL298" s="5"/>
      <c r="CN298" s="40"/>
      <c r="CO298" s="5"/>
      <c r="CQ298" s="40"/>
      <c r="CR298" s="5"/>
    </row>
    <row r="299">
      <c r="AL299" s="40"/>
      <c r="AM299" s="5"/>
      <c r="AO299" s="40"/>
      <c r="AP299" s="5"/>
      <c r="AR299" s="40"/>
      <c r="AS299" s="5"/>
      <c r="AU299" s="40"/>
      <c r="AV299" s="5"/>
      <c r="AX299" s="40"/>
      <c r="AY299" s="5"/>
      <c r="BA299" s="40"/>
      <c r="BB299" s="5"/>
      <c r="BD299" s="40"/>
      <c r="BE299" s="5"/>
      <c r="BG299" s="40"/>
      <c r="BH299" s="5"/>
      <c r="BJ299" s="40"/>
      <c r="BK299" s="5"/>
      <c r="BM299" s="40"/>
      <c r="BN299" s="5"/>
      <c r="BP299" s="40"/>
      <c r="BQ299" s="5"/>
      <c r="BS299" s="40"/>
      <c r="BT299" s="5"/>
      <c r="BV299" s="40"/>
      <c r="BW299" s="5"/>
      <c r="BY299" s="40"/>
      <c r="BZ299" s="5"/>
      <c r="CB299" s="40"/>
      <c r="CC299" s="5"/>
      <c r="CE299" s="40"/>
      <c r="CF299" s="5"/>
      <c r="CH299" s="40"/>
      <c r="CI299" s="5"/>
      <c r="CK299" s="40"/>
      <c r="CL299" s="5"/>
      <c r="CN299" s="40"/>
      <c r="CO299" s="5"/>
      <c r="CQ299" s="40"/>
      <c r="CR299" s="5"/>
    </row>
    <row r="300">
      <c r="AL300" s="40"/>
      <c r="AM300" s="5"/>
      <c r="AO300" s="40"/>
      <c r="AP300" s="5"/>
      <c r="AR300" s="40"/>
      <c r="AS300" s="5"/>
      <c r="AU300" s="40"/>
      <c r="AV300" s="5"/>
      <c r="AX300" s="40"/>
      <c r="AY300" s="5"/>
      <c r="BA300" s="40"/>
      <c r="BB300" s="5"/>
      <c r="BD300" s="40"/>
      <c r="BE300" s="5"/>
      <c r="BG300" s="40"/>
      <c r="BH300" s="5"/>
      <c r="BJ300" s="40"/>
      <c r="BK300" s="5"/>
      <c r="BM300" s="40"/>
      <c r="BN300" s="5"/>
      <c r="BP300" s="40"/>
      <c r="BQ300" s="5"/>
      <c r="BS300" s="40"/>
      <c r="BT300" s="5"/>
      <c r="BV300" s="40"/>
      <c r="BW300" s="5"/>
      <c r="BY300" s="40"/>
      <c r="BZ300" s="5"/>
      <c r="CB300" s="40"/>
      <c r="CC300" s="5"/>
      <c r="CE300" s="40"/>
      <c r="CF300" s="5"/>
      <c r="CH300" s="40"/>
      <c r="CI300" s="5"/>
      <c r="CK300" s="40"/>
      <c r="CL300" s="5"/>
      <c r="CN300" s="40"/>
      <c r="CO300" s="5"/>
      <c r="CQ300" s="40"/>
      <c r="CR300" s="5"/>
    </row>
    <row r="301">
      <c r="AL301" s="40"/>
      <c r="AM301" s="5"/>
      <c r="AO301" s="40"/>
      <c r="AP301" s="5"/>
      <c r="AR301" s="40"/>
      <c r="AS301" s="5"/>
      <c r="AU301" s="40"/>
      <c r="AV301" s="5"/>
      <c r="AX301" s="40"/>
      <c r="AY301" s="5"/>
      <c r="BA301" s="40"/>
      <c r="BB301" s="5"/>
      <c r="BD301" s="40"/>
      <c r="BE301" s="5"/>
      <c r="BG301" s="40"/>
      <c r="BH301" s="5"/>
      <c r="BJ301" s="40"/>
      <c r="BK301" s="5"/>
      <c r="BM301" s="40"/>
      <c r="BN301" s="5"/>
      <c r="BP301" s="40"/>
      <c r="BQ301" s="5"/>
      <c r="BS301" s="40"/>
      <c r="BT301" s="5"/>
      <c r="BV301" s="40"/>
      <c r="BW301" s="5"/>
      <c r="BY301" s="40"/>
      <c r="BZ301" s="5"/>
      <c r="CB301" s="40"/>
      <c r="CC301" s="5"/>
      <c r="CE301" s="40"/>
      <c r="CF301" s="5"/>
      <c r="CH301" s="40"/>
      <c r="CI301" s="5"/>
      <c r="CK301" s="40"/>
      <c r="CL301" s="5"/>
      <c r="CN301" s="40"/>
      <c r="CO301" s="5"/>
      <c r="CQ301" s="40"/>
      <c r="CR301" s="5"/>
    </row>
    <row r="302">
      <c r="AL302" s="40"/>
      <c r="AM302" s="5"/>
      <c r="AO302" s="40"/>
      <c r="AP302" s="5"/>
      <c r="AR302" s="40"/>
      <c r="AS302" s="5"/>
      <c r="AU302" s="40"/>
      <c r="AV302" s="5"/>
      <c r="AX302" s="40"/>
      <c r="AY302" s="5"/>
      <c r="BA302" s="40"/>
      <c r="BB302" s="5"/>
      <c r="BD302" s="40"/>
      <c r="BE302" s="5"/>
      <c r="BG302" s="40"/>
      <c r="BH302" s="5"/>
      <c r="BJ302" s="40"/>
      <c r="BK302" s="5"/>
      <c r="BM302" s="40"/>
      <c r="BN302" s="5"/>
      <c r="BP302" s="40"/>
      <c r="BQ302" s="5"/>
      <c r="BS302" s="40"/>
      <c r="BT302" s="5"/>
      <c r="BV302" s="40"/>
      <c r="BW302" s="5"/>
      <c r="BY302" s="40"/>
      <c r="BZ302" s="5"/>
      <c r="CB302" s="40"/>
      <c r="CC302" s="5"/>
      <c r="CE302" s="40"/>
      <c r="CF302" s="5"/>
      <c r="CH302" s="40"/>
      <c r="CI302" s="5"/>
      <c r="CK302" s="40"/>
      <c r="CL302" s="5"/>
      <c r="CN302" s="40"/>
      <c r="CO302" s="5"/>
      <c r="CQ302" s="40"/>
      <c r="CR302" s="5"/>
    </row>
    <row r="303">
      <c r="AL303" s="40"/>
      <c r="AM303" s="5"/>
      <c r="AO303" s="40"/>
      <c r="AP303" s="5"/>
      <c r="AR303" s="40"/>
      <c r="AS303" s="5"/>
      <c r="AU303" s="40"/>
      <c r="AV303" s="5"/>
      <c r="AX303" s="40"/>
      <c r="AY303" s="5"/>
      <c r="BA303" s="40"/>
      <c r="BB303" s="5"/>
      <c r="BD303" s="40"/>
      <c r="BE303" s="5"/>
      <c r="BG303" s="40"/>
      <c r="BH303" s="5"/>
      <c r="BJ303" s="40"/>
      <c r="BK303" s="5"/>
      <c r="BM303" s="40"/>
      <c r="BN303" s="5"/>
      <c r="BP303" s="40"/>
      <c r="BQ303" s="5"/>
      <c r="BS303" s="40"/>
      <c r="BT303" s="5"/>
      <c r="BV303" s="40"/>
      <c r="BW303" s="5"/>
      <c r="BY303" s="40"/>
      <c r="BZ303" s="5"/>
      <c r="CB303" s="40"/>
      <c r="CC303" s="5"/>
      <c r="CE303" s="40"/>
      <c r="CF303" s="5"/>
      <c r="CH303" s="40"/>
      <c r="CI303" s="5"/>
      <c r="CK303" s="40"/>
      <c r="CL303" s="5"/>
      <c r="CN303" s="40"/>
      <c r="CO303" s="5"/>
      <c r="CQ303" s="40"/>
      <c r="CR303" s="5"/>
    </row>
    <row r="304">
      <c r="AL304" s="40"/>
      <c r="AM304" s="5"/>
      <c r="AO304" s="40"/>
      <c r="AP304" s="5"/>
      <c r="AR304" s="40"/>
      <c r="AS304" s="5"/>
      <c r="AU304" s="40"/>
      <c r="AV304" s="5"/>
      <c r="AX304" s="40"/>
      <c r="AY304" s="5"/>
      <c r="BA304" s="40"/>
      <c r="BB304" s="5"/>
      <c r="BD304" s="40"/>
      <c r="BE304" s="5"/>
      <c r="BG304" s="40"/>
      <c r="BH304" s="5"/>
      <c r="BJ304" s="40"/>
      <c r="BK304" s="5"/>
      <c r="BM304" s="40"/>
      <c r="BN304" s="5"/>
      <c r="BP304" s="40"/>
      <c r="BQ304" s="5"/>
      <c r="BS304" s="40"/>
      <c r="BT304" s="5"/>
      <c r="BV304" s="40"/>
      <c r="BW304" s="5"/>
      <c r="BY304" s="40"/>
      <c r="BZ304" s="5"/>
      <c r="CB304" s="40"/>
      <c r="CC304" s="5"/>
      <c r="CE304" s="40"/>
      <c r="CF304" s="5"/>
      <c r="CH304" s="40"/>
      <c r="CI304" s="5"/>
      <c r="CK304" s="40"/>
      <c r="CL304" s="5"/>
      <c r="CN304" s="40"/>
      <c r="CO304" s="5"/>
      <c r="CQ304" s="40"/>
      <c r="CR304" s="5"/>
    </row>
    <row r="305">
      <c r="AL305" s="40"/>
      <c r="AM305" s="5"/>
      <c r="AO305" s="40"/>
      <c r="AP305" s="5"/>
      <c r="AR305" s="40"/>
      <c r="AS305" s="5"/>
      <c r="AU305" s="40"/>
      <c r="AV305" s="5"/>
      <c r="AX305" s="40"/>
      <c r="AY305" s="5"/>
      <c r="BA305" s="40"/>
      <c r="BB305" s="5"/>
      <c r="BD305" s="40"/>
      <c r="BE305" s="5"/>
      <c r="BG305" s="40"/>
      <c r="BH305" s="5"/>
      <c r="BJ305" s="40"/>
      <c r="BK305" s="5"/>
      <c r="BM305" s="40"/>
      <c r="BN305" s="5"/>
      <c r="BP305" s="40"/>
      <c r="BQ305" s="5"/>
      <c r="BS305" s="40"/>
      <c r="BT305" s="5"/>
      <c r="BV305" s="40"/>
      <c r="BW305" s="5"/>
      <c r="BY305" s="40"/>
      <c r="BZ305" s="5"/>
      <c r="CB305" s="40"/>
      <c r="CC305" s="5"/>
      <c r="CE305" s="40"/>
      <c r="CF305" s="5"/>
      <c r="CH305" s="40"/>
      <c r="CI305" s="5"/>
      <c r="CK305" s="40"/>
      <c r="CL305" s="5"/>
      <c r="CN305" s="40"/>
      <c r="CO305" s="5"/>
      <c r="CQ305" s="40"/>
      <c r="CR305" s="5"/>
    </row>
    <row r="306">
      <c r="AL306" s="40"/>
      <c r="AM306" s="5"/>
      <c r="AO306" s="40"/>
      <c r="AP306" s="5"/>
      <c r="AR306" s="40"/>
      <c r="AS306" s="5"/>
      <c r="AU306" s="40"/>
      <c r="AV306" s="5"/>
      <c r="AX306" s="40"/>
      <c r="AY306" s="5"/>
      <c r="BA306" s="40"/>
      <c r="BB306" s="5"/>
      <c r="BD306" s="40"/>
      <c r="BE306" s="5"/>
      <c r="BG306" s="40"/>
      <c r="BH306" s="5"/>
      <c r="BJ306" s="40"/>
      <c r="BK306" s="5"/>
      <c r="BM306" s="40"/>
      <c r="BN306" s="5"/>
      <c r="BP306" s="40"/>
      <c r="BQ306" s="5"/>
      <c r="BS306" s="40"/>
      <c r="BT306" s="5"/>
      <c r="BV306" s="40"/>
      <c r="BW306" s="5"/>
      <c r="BY306" s="40"/>
      <c r="BZ306" s="5"/>
      <c r="CB306" s="40"/>
      <c r="CC306" s="5"/>
      <c r="CE306" s="40"/>
      <c r="CF306" s="5"/>
      <c r="CH306" s="40"/>
      <c r="CI306" s="5"/>
      <c r="CK306" s="40"/>
      <c r="CL306" s="5"/>
      <c r="CN306" s="40"/>
      <c r="CO306" s="5"/>
      <c r="CQ306" s="40"/>
      <c r="CR306" s="5"/>
    </row>
    <row r="307">
      <c r="AL307" s="40"/>
      <c r="AM307" s="5"/>
      <c r="AO307" s="40"/>
      <c r="AP307" s="5"/>
      <c r="AR307" s="40"/>
      <c r="AS307" s="5"/>
      <c r="AU307" s="40"/>
      <c r="AV307" s="5"/>
      <c r="AX307" s="40"/>
      <c r="AY307" s="5"/>
      <c r="BA307" s="40"/>
      <c r="BB307" s="5"/>
      <c r="BD307" s="40"/>
      <c r="BE307" s="5"/>
      <c r="BG307" s="40"/>
      <c r="BH307" s="5"/>
      <c r="BJ307" s="40"/>
      <c r="BK307" s="5"/>
      <c r="BM307" s="40"/>
      <c r="BN307" s="5"/>
      <c r="BP307" s="40"/>
      <c r="BQ307" s="5"/>
      <c r="BS307" s="40"/>
      <c r="BT307" s="5"/>
      <c r="BV307" s="40"/>
      <c r="BW307" s="5"/>
      <c r="BY307" s="40"/>
      <c r="BZ307" s="5"/>
      <c r="CB307" s="40"/>
      <c r="CC307" s="5"/>
      <c r="CE307" s="40"/>
      <c r="CF307" s="5"/>
      <c r="CH307" s="40"/>
      <c r="CI307" s="5"/>
      <c r="CK307" s="40"/>
      <c r="CL307" s="5"/>
      <c r="CN307" s="40"/>
      <c r="CO307" s="5"/>
      <c r="CQ307" s="40"/>
      <c r="CR307" s="5"/>
    </row>
    <row r="308">
      <c r="AL308" s="40"/>
      <c r="AM308" s="5"/>
      <c r="AO308" s="40"/>
      <c r="AP308" s="5"/>
      <c r="AR308" s="40"/>
      <c r="AS308" s="5"/>
      <c r="AU308" s="40"/>
      <c r="AV308" s="5"/>
      <c r="AX308" s="40"/>
      <c r="AY308" s="5"/>
      <c r="BA308" s="40"/>
      <c r="BB308" s="5"/>
      <c r="BD308" s="40"/>
      <c r="BE308" s="5"/>
      <c r="BG308" s="40"/>
      <c r="BH308" s="5"/>
      <c r="BJ308" s="40"/>
      <c r="BK308" s="5"/>
      <c r="BM308" s="40"/>
      <c r="BN308" s="5"/>
      <c r="BP308" s="40"/>
      <c r="BQ308" s="5"/>
      <c r="BS308" s="40"/>
      <c r="BT308" s="5"/>
      <c r="BV308" s="40"/>
      <c r="BW308" s="5"/>
      <c r="BY308" s="40"/>
      <c r="BZ308" s="5"/>
      <c r="CB308" s="40"/>
      <c r="CC308" s="5"/>
      <c r="CE308" s="40"/>
      <c r="CF308" s="5"/>
      <c r="CH308" s="40"/>
      <c r="CI308" s="5"/>
      <c r="CK308" s="40"/>
      <c r="CL308" s="5"/>
      <c r="CN308" s="40"/>
      <c r="CO308" s="5"/>
      <c r="CQ308" s="40"/>
      <c r="CR308" s="5"/>
    </row>
    <row r="309">
      <c r="AL309" s="40"/>
      <c r="AM309" s="5"/>
      <c r="AO309" s="40"/>
      <c r="AP309" s="5"/>
      <c r="AR309" s="40"/>
      <c r="AS309" s="5"/>
      <c r="AU309" s="40"/>
      <c r="AV309" s="5"/>
      <c r="AX309" s="40"/>
      <c r="AY309" s="5"/>
      <c r="BA309" s="40"/>
      <c r="BB309" s="5"/>
      <c r="BD309" s="40"/>
      <c r="BE309" s="5"/>
      <c r="BG309" s="40"/>
      <c r="BH309" s="5"/>
      <c r="BJ309" s="40"/>
      <c r="BK309" s="5"/>
      <c r="BM309" s="40"/>
      <c r="BN309" s="5"/>
      <c r="BP309" s="40"/>
      <c r="BQ309" s="5"/>
      <c r="BS309" s="40"/>
      <c r="BT309" s="5"/>
      <c r="BV309" s="40"/>
      <c r="BW309" s="5"/>
      <c r="BY309" s="40"/>
      <c r="BZ309" s="5"/>
      <c r="CB309" s="40"/>
      <c r="CC309" s="5"/>
      <c r="CE309" s="40"/>
      <c r="CF309" s="5"/>
      <c r="CH309" s="40"/>
      <c r="CI309" s="5"/>
      <c r="CK309" s="40"/>
      <c r="CL309" s="5"/>
      <c r="CN309" s="40"/>
      <c r="CO309" s="5"/>
      <c r="CQ309" s="40"/>
      <c r="CR309" s="5"/>
    </row>
    <row r="310">
      <c r="AL310" s="40"/>
      <c r="AM310" s="5"/>
      <c r="AO310" s="40"/>
      <c r="AP310" s="5"/>
      <c r="AR310" s="40"/>
      <c r="AS310" s="5"/>
      <c r="AU310" s="40"/>
      <c r="AV310" s="5"/>
      <c r="AX310" s="40"/>
      <c r="AY310" s="5"/>
      <c r="BA310" s="40"/>
      <c r="BB310" s="5"/>
      <c r="BD310" s="40"/>
      <c r="BE310" s="5"/>
      <c r="BG310" s="40"/>
      <c r="BH310" s="5"/>
      <c r="BJ310" s="40"/>
      <c r="BK310" s="5"/>
      <c r="BM310" s="40"/>
      <c r="BN310" s="5"/>
      <c r="BP310" s="40"/>
      <c r="BQ310" s="5"/>
      <c r="BS310" s="40"/>
      <c r="BT310" s="5"/>
      <c r="BV310" s="40"/>
      <c r="BW310" s="5"/>
      <c r="BY310" s="40"/>
      <c r="BZ310" s="5"/>
      <c r="CB310" s="40"/>
      <c r="CC310" s="5"/>
      <c r="CE310" s="40"/>
      <c r="CF310" s="5"/>
      <c r="CH310" s="40"/>
      <c r="CI310" s="5"/>
      <c r="CK310" s="40"/>
      <c r="CL310" s="5"/>
      <c r="CN310" s="40"/>
      <c r="CO310" s="5"/>
      <c r="CQ310" s="40"/>
      <c r="CR310" s="5"/>
    </row>
    <row r="311">
      <c r="AL311" s="40"/>
      <c r="AM311" s="5"/>
      <c r="AO311" s="40"/>
      <c r="AP311" s="5"/>
      <c r="AR311" s="40"/>
      <c r="AS311" s="5"/>
      <c r="AU311" s="40"/>
      <c r="AV311" s="5"/>
      <c r="AX311" s="40"/>
      <c r="AY311" s="5"/>
      <c r="BA311" s="40"/>
      <c r="BB311" s="5"/>
      <c r="BD311" s="40"/>
      <c r="BE311" s="5"/>
      <c r="BG311" s="40"/>
      <c r="BH311" s="5"/>
      <c r="BJ311" s="40"/>
      <c r="BK311" s="5"/>
      <c r="BM311" s="40"/>
      <c r="BN311" s="5"/>
      <c r="BP311" s="40"/>
      <c r="BQ311" s="5"/>
      <c r="BS311" s="40"/>
      <c r="BT311" s="5"/>
      <c r="BV311" s="40"/>
      <c r="BW311" s="5"/>
      <c r="BY311" s="40"/>
      <c r="BZ311" s="5"/>
      <c r="CB311" s="40"/>
      <c r="CC311" s="5"/>
      <c r="CE311" s="40"/>
      <c r="CF311" s="5"/>
      <c r="CH311" s="40"/>
      <c r="CI311" s="5"/>
      <c r="CK311" s="40"/>
      <c r="CL311" s="5"/>
      <c r="CN311" s="40"/>
      <c r="CO311" s="5"/>
      <c r="CQ311" s="40"/>
      <c r="CR311" s="5"/>
    </row>
    <row r="312">
      <c r="AL312" s="40"/>
      <c r="AM312" s="5"/>
      <c r="AO312" s="40"/>
      <c r="AP312" s="5"/>
      <c r="AR312" s="40"/>
      <c r="AS312" s="5"/>
      <c r="AU312" s="40"/>
      <c r="AV312" s="5"/>
      <c r="AX312" s="40"/>
      <c r="AY312" s="5"/>
      <c r="BA312" s="40"/>
      <c r="BB312" s="5"/>
      <c r="BD312" s="40"/>
      <c r="BE312" s="5"/>
      <c r="BG312" s="40"/>
      <c r="BH312" s="5"/>
      <c r="BJ312" s="40"/>
      <c r="BK312" s="5"/>
      <c r="BM312" s="40"/>
      <c r="BN312" s="5"/>
      <c r="BP312" s="40"/>
      <c r="BQ312" s="5"/>
      <c r="BS312" s="40"/>
      <c r="BT312" s="5"/>
      <c r="BV312" s="40"/>
      <c r="BW312" s="5"/>
      <c r="BY312" s="40"/>
      <c r="BZ312" s="5"/>
      <c r="CB312" s="40"/>
      <c r="CC312" s="5"/>
      <c r="CE312" s="40"/>
      <c r="CF312" s="5"/>
      <c r="CH312" s="40"/>
      <c r="CI312" s="5"/>
      <c r="CK312" s="40"/>
      <c r="CL312" s="5"/>
      <c r="CN312" s="40"/>
      <c r="CO312" s="5"/>
      <c r="CQ312" s="40"/>
      <c r="CR312" s="5"/>
    </row>
    <row r="313">
      <c r="AL313" s="40"/>
      <c r="AM313" s="5"/>
      <c r="AO313" s="40"/>
      <c r="AP313" s="5"/>
      <c r="AR313" s="40"/>
      <c r="AS313" s="5"/>
      <c r="AU313" s="40"/>
      <c r="AV313" s="5"/>
      <c r="AX313" s="40"/>
      <c r="AY313" s="5"/>
      <c r="BA313" s="40"/>
      <c r="BB313" s="5"/>
      <c r="BD313" s="40"/>
      <c r="BE313" s="5"/>
      <c r="BG313" s="40"/>
      <c r="BH313" s="5"/>
      <c r="BJ313" s="40"/>
      <c r="BK313" s="5"/>
      <c r="BM313" s="40"/>
      <c r="BN313" s="5"/>
      <c r="BP313" s="40"/>
      <c r="BQ313" s="5"/>
      <c r="BS313" s="40"/>
      <c r="BT313" s="5"/>
      <c r="BV313" s="40"/>
      <c r="BW313" s="5"/>
      <c r="BY313" s="40"/>
      <c r="BZ313" s="5"/>
      <c r="CB313" s="40"/>
      <c r="CC313" s="5"/>
      <c r="CE313" s="40"/>
      <c r="CF313" s="5"/>
      <c r="CH313" s="40"/>
      <c r="CI313" s="5"/>
      <c r="CK313" s="40"/>
      <c r="CL313" s="5"/>
      <c r="CN313" s="40"/>
      <c r="CO313" s="5"/>
      <c r="CQ313" s="40"/>
      <c r="CR313" s="5"/>
    </row>
    <row r="314">
      <c r="AL314" s="40"/>
      <c r="AM314" s="5"/>
      <c r="AO314" s="40"/>
      <c r="AP314" s="5"/>
      <c r="AR314" s="40"/>
      <c r="AS314" s="5"/>
      <c r="AU314" s="40"/>
      <c r="AV314" s="5"/>
      <c r="AX314" s="40"/>
      <c r="AY314" s="5"/>
      <c r="BA314" s="40"/>
      <c r="BB314" s="5"/>
      <c r="BD314" s="40"/>
      <c r="BE314" s="5"/>
      <c r="BG314" s="40"/>
      <c r="BH314" s="5"/>
      <c r="BJ314" s="40"/>
      <c r="BK314" s="5"/>
      <c r="BM314" s="40"/>
      <c r="BN314" s="5"/>
      <c r="BP314" s="40"/>
      <c r="BQ314" s="5"/>
      <c r="BS314" s="40"/>
      <c r="BT314" s="5"/>
      <c r="BV314" s="40"/>
      <c r="BW314" s="5"/>
      <c r="BY314" s="40"/>
      <c r="BZ314" s="5"/>
      <c r="CB314" s="40"/>
      <c r="CC314" s="5"/>
      <c r="CE314" s="40"/>
      <c r="CF314" s="5"/>
      <c r="CH314" s="40"/>
      <c r="CI314" s="5"/>
      <c r="CK314" s="40"/>
      <c r="CL314" s="5"/>
      <c r="CN314" s="40"/>
      <c r="CO314" s="5"/>
      <c r="CQ314" s="40"/>
      <c r="CR314" s="5"/>
    </row>
    <row r="315">
      <c r="AL315" s="40"/>
      <c r="AM315" s="5"/>
      <c r="AO315" s="40"/>
      <c r="AP315" s="5"/>
      <c r="AR315" s="40"/>
      <c r="AS315" s="5"/>
      <c r="AU315" s="40"/>
      <c r="AV315" s="5"/>
      <c r="AX315" s="40"/>
      <c r="AY315" s="5"/>
      <c r="BA315" s="40"/>
      <c r="BB315" s="5"/>
      <c r="BD315" s="40"/>
      <c r="BE315" s="5"/>
      <c r="BG315" s="40"/>
      <c r="BH315" s="5"/>
      <c r="BJ315" s="40"/>
      <c r="BK315" s="5"/>
      <c r="BM315" s="40"/>
      <c r="BN315" s="5"/>
      <c r="BP315" s="40"/>
      <c r="BQ315" s="5"/>
      <c r="BS315" s="40"/>
      <c r="BT315" s="5"/>
      <c r="BV315" s="40"/>
      <c r="BW315" s="5"/>
      <c r="BY315" s="40"/>
      <c r="BZ315" s="5"/>
      <c r="CB315" s="40"/>
      <c r="CC315" s="5"/>
      <c r="CE315" s="40"/>
      <c r="CF315" s="5"/>
      <c r="CH315" s="40"/>
      <c r="CI315" s="5"/>
      <c r="CK315" s="40"/>
      <c r="CL315" s="5"/>
      <c r="CN315" s="40"/>
      <c r="CO315" s="5"/>
      <c r="CQ315" s="40"/>
      <c r="CR315" s="5"/>
    </row>
    <row r="316">
      <c r="AL316" s="40"/>
      <c r="AM316" s="5"/>
      <c r="AO316" s="40"/>
      <c r="AP316" s="5"/>
      <c r="AR316" s="40"/>
      <c r="AS316" s="5"/>
      <c r="AU316" s="40"/>
      <c r="AV316" s="5"/>
      <c r="AX316" s="40"/>
      <c r="AY316" s="5"/>
      <c r="BA316" s="40"/>
      <c r="BB316" s="5"/>
      <c r="BD316" s="40"/>
      <c r="BE316" s="5"/>
      <c r="BG316" s="40"/>
      <c r="BH316" s="5"/>
      <c r="BJ316" s="40"/>
      <c r="BK316" s="5"/>
      <c r="BM316" s="40"/>
      <c r="BN316" s="5"/>
      <c r="BP316" s="40"/>
      <c r="BQ316" s="5"/>
      <c r="BS316" s="40"/>
      <c r="BT316" s="5"/>
      <c r="BV316" s="40"/>
      <c r="BW316" s="5"/>
      <c r="BY316" s="40"/>
      <c r="BZ316" s="5"/>
      <c r="CB316" s="40"/>
      <c r="CC316" s="5"/>
      <c r="CE316" s="40"/>
      <c r="CF316" s="5"/>
      <c r="CH316" s="40"/>
      <c r="CI316" s="5"/>
      <c r="CK316" s="40"/>
      <c r="CL316" s="5"/>
      <c r="CN316" s="40"/>
      <c r="CO316" s="5"/>
      <c r="CQ316" s="40"/>
      <c r="CR316" s="5"/>
    </row>
    <row r="317">
      <c r="AL317" s="40"/>
      <c r="AM317" s="5"/>
      <c r="AO317" s="40"/>
      <c r="AP317" s="5"/>
      <c r="AR317" s="40"/>
      <c r="AS317" s="5"/>
      <c r="AU317" s="40"/>
      <c r="AV317" s="5"/>
      <c r="AX317" s="40"/>
      <c r="AY317" s="5"/>
      <c r="BA317" s="40"/>
      <c r="BB317" s="5"/>
      <c r="BD317" s="40"/>
      <c r="BE317" s="5"/>
      <c r="BG317" s="40"/>
      <c r="BH317" s="5"/>
      <c r="BJ317" s="40"/>
      <c r="BK317" s="5"/>
      <c r="BM317" s="40"/>
      <c r="BN317" s="5"/>
      <c r="BP317" s="40"/>
      <c r="BQ317" s="5"/>
      <c r="BS317" s="40"/>
      <c r="BT317" s="5"/>
      <c r="BV317" s="40"/>
      <c r="BW317" s="5"/>
      <c r="BY317" s="40"/>
      <c r="BZ317" s="5"/>
      <c r="CB317" s="40"/>
      <c r="CC317" s="5"/>
      <c r="CE317" s="40"/>
      <c r="CF317" s="5"/>
      <c r="CH317" s="40"/>
      <c r="CI317" s="5"/>
      <c r="CK317" s="40"/>
      <c r="CL317" s="5"/>
      <c r="CN317" s="40"/>
      <c r="CO317" s="5"/>
      <c r="CQ317" s="40"/>
      <c r="CR317" s="5"/>
    </row>
    <row r="318">
      <c r="AL318" s="40"/>
      <c r="AM318" s="5"/>
      <c r="AO318" s="40"/>
      <c r="AP318" s="5"/>
      <c r="AR318" s="40"/>
      <c r="AS318" s="5"/>
      <c r="AU318" s="40"/>
      <c r="AV318" s="5"/>
      <c r="AX318" s="40"/>
      <c r="AY318" s="5"/>
      <c r="BA318" s="40"/>
      <c r="BB318" s="5"/>
      <c r="BD318" s="40"/>
      <c r="BE318" s="5"/>
      <c r="BG318" s="40"/>
      <c r="BH318" s="5"/>
      <c r="BJ318" s="40"/>
      <c r="BK318" s="5"/>
      <c r="BM318" s="40"/>
      <c r="BN318" s="5"/>
      <c r="BP318" s="40"/>
      <c r="BQ318" s="5"/>
      <c r="BS318" s="40"/>
      <c r="BT318" s="5"/>
      <c r="BV318" s="40"/>
      <c r="BW318" s="5"/>
      <c r="BY318" s="40"/>
      <c r="BZ318" s="5"/>
      <c r="CB318" s="40"/>
      <c r="CC318" s="5"/>
      <c r="CE318" s="40"/>
      <c r="CF318" s="5"/>
      <c r="CH318" s="40"/>
      <c r="CI318" s="5"/>
      <c r="CK318" s="40"/>
      <c r="CL318" s="5"/>
      <c r="CN318" s="40"/>
      <c r="CO318" s="5"/>
      <c r="CQ318" s="40"/>
      <c r="CR318" s="5"/>
    </row>
    <row r="319">
      <c r="AL319" s="40"/>
      <c r="AM319" s="5"/>
      <c r="AO319" s="40"/>
      <c r="AP319" s="5"/>
      <c r="AR319" s="40"/>
      <c r="AS319" s="5"/>
      <c r="AU319" s="40"/>
      <c r="AV319" s="5"/>
      <c r="AX319" s="40"/>
      <c r="AY319" s="5"/>
      <c r="BA319" s="40"/>
      <c r="BB319" s="5"/>
      <c r="BD319" s="40"/>
      <c r="BE319" s="5"/>
      <c r="BG319" s="40"/>
      <c r="BH319" s="5"/>
      <c r="BJ319" s="40"/>
      <c r="BK319" s="5"/>
      <c r="BM319" s="40"/>
      <c r="BN319" s="5"/>
      <c r="BP319" s="40"/>
      <c r="BQ319" s="5"/>
      <c r="BS319" s="40"/>
      <c r="BT319" s="5"/>
      <c r="BV319" s="40"/>
      <c r="BW319" s="5"/>
      <c r="BY319" s="40"/>
      <c r="BZ319" s="5"/>
      <c r="CB319" s="40"/>
      <c r="CC319" s="5"/>
      <c r="CE319" s="40"/>
      <c r="CF319" s="5"/>
      <c r="CH319" s="40"/>
      <c r="CI319" s="5"/>
      <c r="CK319" s="40"/>
      <c r="CL319" s="5"/>
      <c r="CN319" s="40"/>
      <c r="CO319" s="5"/>
      <c r="CQ319" s="40"/>
      <c r="CR319" s="5"/>
    </row>
    <row r="320">
      <c r="AL320" s="40"/>
      <c r="AM320" s="5"/>
      <c r="AO320" s="40"/>
      <c r="AP320" s="5"/>
      <c r="AR320" s="40"/>
      <c r="AS320" s="5"/>
      <c r="AU320" s="40"/>
      <c r="AV320" s="5"/>
      <c r="AX320" s="40"/>
      <c r="AY320" s="5"/>
      <c r="BA320" s="40"/>
      <c r="BB320" s="5"/>
      <c r="BD320" s="40"/>
      <c r="BE320" s="5"/>
      <c r="BG320" s="40"/>
      <c r="BH320" s="5"/>
      <c r="BJ320" s="40"/>
      <c r="BK320" s="5"/>
      <c r="BM320" s="40"/>
      <c r="BN320" s="5"/>
      <c r="BP320" s="40"/>
      <c r="BQ320" s="5"/>
      <c r="BS320" s="40"/>
      <c r="BT320" s="5"/>
      <c r="BV320" s="40"/>
      <c r="BW320" s="5"/>
      <c r="BY320" s="40"/>
      <c r="BZ320" s="5"/>
      <c r="CB320" s="40"/>
      <c r="CC320" s="5"/>
      <c r="CE320" s="40"/>
      <c r="CF320" s="5"/>
      <c r="CH320" s="40"/>
      <c r="CI320" s="5"/>
      <c r="CK320" s="40"/>
      <c r="CL320" s="5"/>
      <c r="CN320" s="40"/>
      <c r="CO320" s="5"/>
      <c r="CQ320" s="40"/>
      <c r="CR320" s="5"/>
    </row>
    <row r="321">
      <c r="AL321" s="40"/>
      <c r="AM321" s="5"/>
      <c r="AO321" s="40"/>
      <c r="AP321" s="5"/>
      <c r="AR321" s="40"/>
      <c r="AS321" s="5"/>
      <c r="AU321" s="40"/>
      <c r="AV321" s="5"/>
      <c r="AX321" s="40"/>
      <c r="AY321" s="5"/>
      <c r="BA321" s="40"/>
      <c r="BB321" s="5"/>
      <c r="BD321" s="40"/>
      <c r="BE321" s="5"/>
      <c r="BG321" s="40"/>
      <c r="BH321" s="5"/>
      <c r="BJ321" s="40"/>
      <c r="BK321" s="5"/>
      <c r="BM321" s="40"/>
      <c r="BN321" s="5"/>
      <c r="BP321" s="40"/>
      <c r="BQ321" s="5"/>
      <c r="BS321" s="40"/>
      <c r="BT321" s="5"/>
      <c r="BV321" s="40"/>
      <c r="BW321" s="5"/>
      <c r="BY321" s="40"/>
      <c r="BZ321" s="5"/>
      <c r="CB321" s="40"/>
      <c r="CC321" s="5"/>
      <c r="CE321" s="40"/>
      <c r="CF321" s="5"/>
      <c r="CH321" s="40"/>
      <c r="CI321" s="5"/>
      <c r="CK321" s="40"/>
      <c r="CL321" s="5"/>
      <c r="CN321" s="40"/>
      <c r="CO321" s="5"/>
      <c r="CQ321" s="40"/>
      <c r="CR321" s="5"/>
    </row>
    <row r="322">
      <c r="AL322" s="40"/>
      <c r="AM322" s="5"/>
      <c r="AO322" s="40"/>
      <c r="AP322" s="5"/>
      <c r="AR322" s="40"/>
      <c r="AS322" s="5"/>
      <c r="AU322" s="40"/>
      <c r="AV322" s="5"/>
      <c r="AX322" s="40"/>
      <c r="AY322" s="5"/>
      <c r="BA322" s="40"/>
      <c r="BB322" s="5"/>
      <c r="BD322" s="40"/>
      <c r="BE322" s="5"/>
      <c r="BG322" s="40"/>
      <c r="BH322" s="5"/>
      <c r="BJ322" s="40"/>
      <c r="BK322" s="5"/>
      <c r="BM322" s="40"/>
      <c r="BN322" s="5"/>
      <c r="BP322" s="40"/>
      <c r="BQ322" s="5"/>
      <c r="BS322" s="40"/>
      <c r="BT322" s="5"/>
      <c r="BV322" s="40"/>
      <c r="BW322" s="5"/>
      <c r="BY322" s="40"/>
      <c r="BZ322" s="5"/>
      <c r="CB322" s="40"/>
      <c r="CC322" s="5"/>
      <c r="CE322" s="40"/>
      <c r="CF322" s="5"/>
      <c r="CH322" s="40"/>
      <c r="CI322" s="5"/>
      <c r="CK322" s="40"/>
      <c r="CL322" s="5"/>
      <c r="CN322" s="40"/>
      <c r="CO322" s="5"/>
      <c r="CQ322" s="40"/>
      <c r="CR322" s="5"/>
    </row>
    <row r="323">
      <c r="AL323" s="40"/>
      <c r="AM323" s="5"/>
      <c r="AO323" s="40"/>
      <c r="AP323" s="5"/>
      <c r="AR323" s="40"/>
      <c r="AS323" s="5"/>
      <c r="AU323" s="40"/>
      <c r="AV323" s="5"/>
      <c r="AX323" s="40"/>
      <c r="AY323" s="5"/>
      <c r="BA323" s="40"/>
      <c r="BB323" s="5"/>
      <c r="BD323" s="40"/>
      <c r="BE323" s="5"/>
      <c r="BG323" s="40"/>
      <c r="BH323" s="5"/>
      <c r="BJ323" s="40"/>
      <c r="BK323" s="5"/>
      <c r="BM323" s="40"/>
      <c r="BN323" s="5"/>
      <c r="BP323" s="40"/>
      <c r="BQ323" s="5"/>
      <c r="BS323" s="40"/>
      <c r="BT323" s="5"/>
      <c r="BV323" s="40"/>
      <c r="BW323" s="5"/>
      <c r="BY323" s="40"/>
      <c r="BZ323" s="5"/>
      <c r="CB323" s="40"/>
      <c r="CC323" s="5"/>
      <c r="CE323" s="40"/>
      <c r="CF323" s="5"/>
      <c r="CH323" s="40"/>
      <c r="CI323" s="5"/>
      <c r="CK323" s="40"/>
      <c r="CL323" s="5"/>
      <c r="CN323" s="40"/>
      <c r="CO323" s="5"/>
      <c r="CQ323" s="40"/>
      <c r="CR323" s="5"/>
    </row>
    <row r="324">
      <c r="AL324" s="40"/>
      <c r="AM324" s="5"/>
      <c r="AO324" s="40"/>
      <c r="AP324" s="5"/>
      <c r="AR324" s="40"/>
      <c r="AS324" s="5"/>
      <c r="AU324" s="40"/>
      <c r="AV324" s="5"/>
      <c r="AX324" s="40"/>
      <c r="AY324" s="5"/>
      <c r="BA324" s="40"/>
      <c r="BB324" s="5"/>
      <c r="BD324" s="40"/>
      <c r="BE324" s="5"/>
      <c r="BG324" s="40"/>
      <c r="BH324" s="5"/>
      <c r="BJ324" s="40"/>
      <c r="BK324" s="5"/>
      <c r="BM324" s="40"/>
      <c r="BN324" s="5"/>
      <c r="BP324" s="40"/>
      <c r="BQ324" s="5"/>
      <c r="BS324" s="40"/>
      <c r="BT324" s="5"/>
      <c r="BV324" s="40"/>
      <c r="BW324" s="5"/>
      <c r="BY324" s="40"/>
      <c r="BZ324" s="5"/>
      <c r="CB324" s="40"/>
      <c r="CC324" s="5"/>
      <c r="CE324" s="40"/>
      <c r="CF324" s="5"/>
      <c r="CH324" s="40"/>
      <c r="CI324" s="5"/>
      <c r="CK324" s="40"/>
      <c r="CL324" s="5"/>
      <c r="CN324" s="40"/>
      <c r="CO324" s="5"/>
      <c r="CQ324" s="40"/>
      <c r="CR324" s="5"/>
    </row>
    <row r="325">
      <c r="AL325" s="40"/>
      <c r="AM325" s="5"/>
      <c r="AO325" s="40"/>
      <c r="AP325" s="5"/>
      <c r="AR325" s="40"/>
      <c r="AS325" s="5"/>
      <c r="AU325" s="40"/>
      <c r="AV325" s="5"/>
      <c r="AX325" s="40"/>
      <c r="AY325" s="5"/>
      <c r="BA325" s="40"/>
      <c r="BB325" s="5"/>
      <c r="BD325" s="40"/>
      <c r="BE325" s="5"/>
      <c r="BG325" s="40"/>
      <c r="BH325" s="5"/>
      <c r="BJ325" s="40"/>
      <c r="BK325" s="5"/>
      <c r="BM325" s="40"/>
      <c r="BN325" s="5"/>
      <c r="BP325" s="40"/>
      <c r="BQ325" s="5"/>
      <c r="BS325" s="40"/>
      <c r="BT325" s="5"/>
      <c r="BV325" s="40"/>
      <c r="BW325" s="5"/>
      <c r="BY325" s="40"/>
      <c r="BZ325" s="5"/>
      <c r="CB325" s="40"/>
      <c r="CC325" s="5"/>
      <c r="CE325" s="40"/>
      <c r="CF325" s="5"/>
      <c r="CH325" s="40"/>
      <c r="CI325" s="5"/>
      <c r="CK325" s="40"/>
      <c r="CL325" s="5"/>
      <c r="CN325" s="40"/>
      <c r="CO325" s="5"/>
      <c r="CQ325" s="40"/>
      <c r="CR325" s="5"/>
    </row>
    <row r="326">
      <c r="AL326" s="40"/>
      <c r="AM326" s="5"/>
      <c r="AO326" s="40"/>
      <c r="AP326" s="5"/>
      <c r="AR326" s="40"/>
      <c r="AS326" s="5"/>
      <c r="AU326" s="40"/>
      <c r="AV326" s="5"/>
      <c r="AX326" s="40"/>
      <c r="AY326" s="5"/>
      <c r="BA326" s="40"/>
      <c r="BB326" s="5"/>
      <c r="BD326" s="40"/>
      <c r="BE326" s="5"/>
      <c r="BG326" s="40"/>
      <c r="BH326" s="5"/>
      <c r="BJ326" s="40"/>
      <c r="BK326" s="5"/>
      <c r="BM326" s="40"/>
      <c r="BN326" s="5"/>
      <c r="BP326" s="40"/>
      <c r="BQ326" s="5"/>
      <c r="BS326" s="40"/>
      <c r="BT326" s="5"/>
      <c r="BV326" s="40"/>
      <c r="BW326" s="5"/>
      <c r="BY326" s="40"/>
      <c r="BZ326" s="5"/>
      <c r="CB326" s="40"/>
      <c r="CC326" s="5"/>
      <c r="CE326" s="40"/>
      <c r="CF326" s="5"/>
      <c r="CH326" s="40"/>
      <c r="CI326" s="5"/>
      <c r="CK326" s="40"/>
      <c r="CL326" s="5"/>
      <c r="CN326" s="40"/>
      <c r="CO326" s="5"/>
      <c r="CQ326" s="40"/>
      <c r="CR326" s="5"/>
    </row>
    <row r="327">
      <c r="AL327" s="40"/>
      <c r="AM327" s="5"/>
      <c r="AO327" s="40"/>
      <c r="AP327" s="5"/>
      <c r="AR327" s="40"/>
      <c r="AS327" s="5"/>
      <c r="AU327" s="40"/>
      <c r="AV327" s="5"/>
      <c r="AX327" s="40"/>
      <c r="AY327" s="5"/>
      <c r="BA327" s="40"/>
      <c r="BB327" s="5"/>
      <c r="BD327" s="40"/>
      <c r="BE327" s="5"/>
      <c r="BG327" s="40"/>
      <c r="BH327" s="5"/>
      <c r="BJ327" s="40"/>
      <c r="BK327" s="5"/>
      <c r="BM327" s="40"/>
      <c r="BN327" s="5"/>
      <c r="BP327" s="40"/>
      <c r="BQ327" s="5"/>
      <c r="BS327" s="40"/>
      <c r="BT327" s="5"/>
      <c r="BV327" s="40"/>
      <c r="BW327" s="5"/>
      <c r="BY327" s="40"/>
      <c r="BZ327" s="5"/>
      <c r="CB327" s="40"/>
      <c r="CC327" s="5"/>
      <c r="CE327" s="40"/>
      <c r="CF327" s="5"/>
      <c r="CH327" s="40"/>
      <c r="CI327" s="5"/>
      <c r="CK327" s="40"/>
      <c r="CL327" s="5"/>
      <c r="CN327" s="40"/>
      <c r="CO327" s="5"/>
      <c r="CQ327" s="40"/>
      <c r="CR327" s="5"/>
    </row>
    <row r="328">
      <c r="AL328" s="40"/>
      <c r="AM328" s="5"/>
      <c r="AO328" s="40"/>
      <c r="AP328" s="5"/>
      <c r="AR328" s="40"/>
      <c r="AS328" s="5"/>
      <c r="AU328" s="40"/>
      <c r="AV328" s="5"/>
      <c r="AX328" s="40"/>
      <c r="AY328" s="5"/>
      <c r="BA328" s="40"/>
      <c r="BB328" s="5"/>
      <c r="BD328" s="40"/>
      <c r="BE328" s="5"/>
      <c r="BG328" s="40"/>
      <c r="BH328" s="5"/>
      <c r="BJ328" s="40"/>
      <c r="BK328" s="5"/>
      <c r="BM328" s="40"/>
      <c r="BN328" s="5"/>
      <c r="BP328" s="40"/>
      <c r="BQ328" s="5"/>
      <c r="BS328" s="40"/>
      <c r="BT328" s="5"/>
      <c r="BV328" s="40"/>
      <c r="BW328" s="5"/>
      <c r="BY328" s="40"/>
      <c r="BZ328" s="5"/>
      <c r="CB328" s="40"/>
      <c r="CC328" s="5"/>
      <c r="CE328" s="40"/>
      <c r="CF328" s="5"/>
      <c r="CH328" s="40"/>
      <c r="CI328" s="5"/>
      <c r="CK328" s="40"/>
      <c r="CL328" s="5"/>
      <c r="CN328" s="40"/>
      <c r="CO328" s="5"/>
      <c r="CQ328" s="40"/>
      <c r="CR328" s="5"/>
    </row>
    <row r="329">
      <c r="AL329" s="40"/>
      <c r="AM329" s="5"/>
      <c r="AO329" s="40"/>
      <c r="AP329" s="5"/>
      <c r="AR329" s="40"/>
      <c r="AS329" s="5"/>
      <c r="AU329" s="40"/>
      <c r="AV329" s="5"/>
      <c r="AX329" s="40"/>
      <c r="AY329" s="5"/>
      <c r="BA329" s="40"/>
      <c r="BB329" s="5"/>
      <c r="BD329" s="40"/>
      <c r="BE329" s="5"/>
      <c r="BG329" s="40"/>
      <c r="BH329" s="5"/>
      <c r="BJ329" s="40"/>
      <c r="BK329" s="5"/>
      <c r="BM329" s="40"/>
      <c r="BN329" s="5"/>
      <c r="BP329" s="40"/>
      <c r="BQ329" s="5"/>
      <c r="BS329" s="40"/>
      <c r="BT329" s="5"/>
      <c r="BV329" s="40"/>
      <c r="BW329" s="5"/>
      <c r="BY329" s="40"/>
      <c r="BZ329" s="5"/>
      <c r="CB329" s="40"/>
      <c r="CC329" s="5"/>
      <c r="CE329" s="40"/>
      <c r="CF329" s="5"/>
      <c r="CH329" s="40"/>
      <c r="CI329" s="5"/>
      <c r="CK329" s="40"/>
      <c r="CL329" s="5"/>
      <c r="CN329" s="40"/>
      <c r="CO329" s="5"/>
      <c r="CQ329" s="40"/>
      <c r="CR329" s="5"/>
    </row>
    <row r="330">
      <c r="AL330" s="40"/>
      <c r="AM330" s="5"/>
      <c r="AO330" s="40"/>
      <c r="AP330" s="5"/>
      <c r="AR330" s="40"/>
      <c r="AS330" s="5"/>
      <c r="AU330" s="40"/>
      <c r="AV330" s="5"/>
      <c r="AX330" s="40"/>
      <c r="AY330" s="5"/>
      <c r="BA330" s="40"/>
      <c r="BB330" s="5"/>
      <c r="BD330" s="40"/>
      <c r="BE330" s="5"/>
      <c r="BG330" s="40"/>
      <c r="BH330" s="5"/>
      <c r="BJ330" s="40"/>
      <c r="BK330" s="5"/>
      <c r="BM330" s="40"/>
      <c r="BN330" s="5"/>
      <c r="BP330" s="40"/>
      <c r="BQ330" s="5"/>
      <c r="BS330" s="40"/>
      <c r="BT330" s="5"/>
      <c r="BV330" s="40"/>
      <c r="BW330" s="5"/>
      <c r="BY330" s="40"/>
      <c r="BZ330" s="5"/>
      <c r="CB330" s="40"/>
      <c r="CC330" s="5"/>
      <c r="CE330" s="40"/>
      <c r="CF330" s="5"/>
      <c r="CH330" s="40"/>
      <c r="CI330" s="5"/>
      <c r="CK330" s="40"/>
      <c r="CL330" s="5"/>
      <c r="CN330" s="40"/>
      <c r="CO330" s="5"/>
      <c r="CQ330" s="40"/>
      <c r="CR330" s="5"/>
    </row>
    <row r="331">
      <c r="AL331" s="40"/>
      <c r="AM331" s="5"/>
      <c r="AO331" s="40"/>
      <c r="AP331" s="5"/>
      <c r="AR331" s="40"/>
      <c r="AS331" s="5"/>
      <c r="AU331" s="40"/>
      <c r="AV331" s="5"/>
      <c r="AX331" s="40"/>
      <c r="AY331" s="5"/>
      <c r="BA331" s="40"/>
      <c r="BB331" s="5"/>
      <c r="BD331" s="40"/>
      <c r="BE331" s="5"/>
      <c r="BG331" s="40"/>
      <c r="BH331" s="5"/>
      <c r="BJ331" s="40"/>
      <c r="BK331" s="5"/>
      <c r="BM331" s="40"/>
      <c r="BN331" s="5"/>
      <c r="BP331" s="40"/>
      <c r="BQ331" s="5"/>
      <c r="BS331" s="40"/>
      <c r="BT331" s="5"/>
      <c r="BV331" s="40"/>
      <c r="BW331" s="5"/>
      <c r="BY331" s="40"/>
      <c r="BZ331" s="5"/>
      <c r="CB331" s="40"/>
      <c r="CC331" s="5"/>
      <c r="CE331" s="40"/>
      <c r="CF331" s="5"/>
      <c r="CH331" s="40"/>
      <c r="CI331" s="5"/>
      <c r="CK331" s="40"/>
      <c r="CL331" s="5"/>
      <c r="CN331" s="40"/>
      <c r="CO331" s="5"/>
      <c r="CQ331" s="40"/>
      <c r="CR331" s="5"/>
    </row>
    <row r="332">
      <c r="AL332" s="40"/>
      <c r="AM332" s="5"/>
      <c r="AO332" s="40"/>
      <c r="AP332" s="5"/>
      <c r="AR332" s="40"/>
      <c r="AS332" s="5"/>
      <c r="AU332" s="40"/>
      <c r="AV332" s="5"/>
      <c r="AX332" s="40"/>
      <c r="AY332" s="5"/>
      <c r="BA332" s="40"/>
      <c r="BB332" s="5"/>
      <c r="BD332" s="40"/>
      <c r="BE332" s="5"/>
      <c r="BG332" s="40"/>
      <c r="BH332" s="5"/>
      <c r="BJ332" s="40"/>
      <c r="BK332" s="5"/>
      <c r="BM332" s="40"/>
      <c r="BN332" s="5"/>
      <c r="BP332" s="40"/>
      <c r="BQ332" s="5"/>
      <c r="BS332" s="40"/>
      <c r="BT332" s="5"/>
      <c r="BV332" s="40"/>
      <c r="BW332" s="5"/>
      <c r="BY332" s="40"/>
      <c r="BZ332" s="5"/>
      <c r="CB332" s="40"/>
      <c r="CC332" s="5"/>
      <c r="CE332" s="40"/>
      <c r="CF332" s="5"/>
      <c r="CH332" s="40"/>
      <c r="CI332" s="5"/>
      <c r="CK332" s="40"/>
      <c r="CL332" s="5"/>
      <c r="CN332" s="40"/>
      <c r="CO332" s="5"/>
      <c r="CQ332" s="40"/>
      <c r="CR332" s="5"/>
    </row>
    <row r="333">
      <c r="AL333" s="40"/>
      <c r="AM333" s="5"/>
      <c r="AO333" s="40"/>
      <c r="AP333" s="5"/>
      <c r="AR333" s="40"/>
      <c r="AS333" s="5"/>
      <c r="AU333" s="40"/>
      <c r="AV333" s="5"/>
      <c r="AX333" s="40"/>
      <c r="AY333" s="5"/>
      <c r="BA333" s="40"/>
      <c r="BB333" s="5"/>
      <c r="BD333" s="40"/>
      <c r="BE333" s="5"/>
      <c r="BG333" s="40"/>
      <c r="BH333" s="5"/>
      <c r="BJ333" s="40"/>
      <c r="BK333" s="5"/>
      <c r="BM333" s="40"/>
      <c r="BN333" s="5"/>
      <c r="BP333" s="40"/>
      <c r="BQ333" s="5"/>
      <c r="BS333" s="40"/>
      <c r="BT333" s="5"/>
      <c r="BV333" s="40"/>
      <c r="BW333" s="5"/>
      <c r="BY333" s="40"/>
      <c r="BZ333" s="5"/>
      <c r="CB333" s="40"/>
      <c r="CC333" s="5"/>
      <c r="CE333" s="40"/>
      <c r="CF333" s="5"/>
      <c r="CH333" s="40"/>
      <c r="CI333" s="5"/>
      <c r="CK333" s="40"/>
      <c r="CL333" s="5"/>
      <c r="CN333" s="40"/>
      <c r="CO333" s="5"/>
      <c r="CQ333" s="40"/>
      <c r="CR333" s="5"/>
    </row>
    <row r="334">
      <c r="AL334" s="40"/>
      <c r="AM334" s="5"/>
      <c r="AO334" s="40"/>
      <c r="AP334" s="5"/>
      <c r="AR334" s="40"/>
      <c r="AS334" s="5"/>
      <c r="AU334" s="40"/>
      <c r="AV334" s="5"/>
      <c r="AX334" s="40"/>
      <c r="AY334" s="5"/>
      <c r="BA334" s="40"/>
      <c r="BB334" s="5"/>
      <c r="BD334" s="40"/>
      <c r="BE334" s="5"/>
      <c r="BG334" s="40"/>
      <c r="BH334" s="5"/>
      <c r="BJ334" s="40"/>
      <c r="BK334" s="5"/>
      <c r="BM334" s="40"/>
      <c r="BN334" s="5"/>
      <c r="BP334" s="40"/>
      <c r="BQ334" s="5"/>
      <c r="BS334" s="40"/>
      <c r="BT334" s="5"/>
      <c r="BV334" s="40"/>
      <c r="BW334" s="5"/>
      <c r="BY334" s="40"/>
      <c r="BZ334" s="5"/>
      <c r="CB334" s="40"/>
      <c r="CC334" s="5"/>
      <c r="CE334" s="40"/>
      <c r="CF334" s="5"/>
      <c r="CH334" s="40"/>
      <c r="CI334" s="5"/>
      <c r="CK334" s="40"/>
      <c r="CL334" s="5"/>
      <c r="CN334" s="40"/>
      <c r="CO334" s="5"/>
      <c r="CQ334" s="40"/>
      <c r="CR334" s="5"/>
    </row>
    <row r="335">
      <c r="AL335" s="40"/>
      <c r="AM335" s="5"/>
      <c r="AO335" s="40"/>
      <c r="AP335" s="5"/>
      <c r="AR335" s="40"/>
      <c r="AS335" s="5"/>
      <c r="AU335" s="40"/>
      <c r="AV335" s="5"/>
      <c r="AX335" s="40"/>
      <c r="AY335" s="5"/>
      <c r="BA335" s="40"/>
      <c r="BB335" s="5"/>
      <c r="BD335" s="40"/>
      <c r="BE335" s="5"/>
      <c r="BG335" s="40"/>
      <c r="BH335" s="5"/>
      <c r="BJ335" s="40"/>
      <c r="BK335" s="5"/>
      <c r="BM335" s="40"/>
      <c r="BN335" s="5"/>
      <c r="BP335" s="40"/>
      <c r="BQ335" s="5"/>
      <c r="BS335" s="40"/>
      <c r="BT335" s="5"/>
      <c r="BV335" s="40"/>
      <c r="BW335" s="5"/>
      <c r="BY335" s="40"/>
      <c r="BZ335" s="5"/>
      <c r="CB335" s="40"/>
      <c r="CC335" s="5"/>
      <c r="CE335" s="40"/>
      <c r="CF335" s="5"/>
      <c r="CH335" s="40"/>
      <c r="CI335" s="5"/>
      <c r="CK335" s="40"/>
      <c r="CL335" s="5"/>
      <c r="CN335" s="40"/>
      <c r="CO335" s="5"/>
      <c r="CQ335" s="40"/>
      <c r="CR335" s="5"/>
    </row>
    <row r="336">
      <c r="AL336" s="40"/>
      <c r="AM336" s="5"/>
      <c r="AO336" s="40"/>
      <c r="AP336" s="5"/>
      <c r="AR336" s="40"/>
      <c r="AS336" s="5"/>
      <c r="AU336" s="40"/>
      <c r="AV336" s="5"/>
      <c r="AX336" s="40"/>
      <c r="AY336" s="5"/>
      <c r="BA336" s="40"/>
      <c r="BB336" s="5"/>
      <c r="BD336" s="40"/>
      <c r="BE336" s="5"/>
      <c r="BG336" s="40"/>
      <c r="BH336" s="5"/>
      <c r="BJ336" s="40"/>
      <c r="BK336" s="5"/>
      <c r="BM336" s="40"/>
      <c r="BN336" s="5"/>
      <c r="BP336" s="40"/>
      <c r="BQ336" s="5"/>
      <c r="BS336" s="40"/>
      <c r="BT336" s="5"/>
      <c r="BV336" s="40"/>
      <c r="BW336" s="5"/>
      <c r="BY336" s="40"/>
      <c r="BZ336" s="5"/>
      <c r="CB336" s="40"/>
      <c r="CC336" s="5"/>
      <c r="CE336" s="40"/>
      <c r="CF336" s="5"/>
      <c r="CH336" s="40"/>
      <c r="CI336" s="5"/>
      <c r="CK336" s="40"/>
      <c r="CL336" s="5"/>
      <c r="CN336" s="40"/>
      <c r="CO336" s="5"/>
      <c r="CQ336" s="40"/>
      <c r="CR336" s="5"/>
    </row>
    <row r="337">
      <c r="AL337" s="40"/>
      <c r="AM337" s="5"/>
      <c r="AO337" s="40"/>
      <c r="AP337" s="5"/>
      <c r="AR337" s="40"/>
      <c r="AS337" s="5"/>
      <c r="AU337" s="40"/>
      <c r="AV337" s="5"/>
      <c r="AX337" s="40"/>
      <c r="AY337" s="5"/>
      <c r="BA337" s="40"/>
      <c r="BB337" s="5"/>
      <c r="BD337" s="40"/>
      <c r="BE337" s="5"/>
      <c r="BG337" s="40"/>
      <c r="BH337" s="5"/>
      <c r="BJ337" s="40"/>
      <c r="BK337" s="5"/>
      <c r="BM337" s="40"/>
      <c r="BN337" s="5"/>
      <c r="BP337" s="40"/>
      <c r="BQ337" s="5"/>
      <c r="BS337" s="40"/>
      <c r="BT337" s="5"/>
      <c r="BV337" s="40"/>
      <c r="BW337" s="5"/>
      <c r="BY337" s="40"/>
      <c r="BZ337" s="5"/>
      <c r="CB337" s="40"/>
      <c r="CC337" s="5"/>
      <c r="CE337" s="40"/>
      <c r="CF337" s="5"/>
      <c r="CH337" s="40"/>
      <c r="CI337" s="5"/>
      <c r="CK337" s="40"/>
      <c r="CL337" s="5"/>
      <c r="CN337" s="40"/>
      <c r="CO337" s="5"/>
      <c r="CQ337" s="40"/>
      <c r="CR337" s="5"/>
    </row>
    <row r="338">
      <c r="AL338" s="40"/>
      <c r="AM338" s="5"/>
      <c r="AO338" s="40"/>
      <c r="AP338" s="5"/>
      <c r="AR338" s="40"/>
      <c r="AS338" s="5"/>
      <c r="AU338" s="40"/>
      <c r="AV338" s="5"/>
      <c r="AX338" s="40"/>
      <c r="AY338" s="5"/>
      <c r="BA338" s="40"/>
      <c r="BB338" s="5"/>
      <c r="BD338" s="40"/>
      <c r="BE338" s="5"/>
      <c r="BG338" s="40"/>
      <c r="BH338" s="5"/>
      <c r="BJ338" s="40"/>
      <c r="BK338" s="5"/>
      <c r="BM338" s="40"/>
      <c r="BN338" s="5"/>
      <c r="BP338" s="40"/>
      <c r="BQ338" s="5"/>
      <c r="BS338" s="40"/>
      <c r="BT338" s="5"/>
      <c r="BV338" s="40"/>
      <c r="BW338" s="5"/>
      <c r="BY338" s="40"/>
      <c r="BZ338" s="5"/>
      <c r="CB338" s="40"/>
      <c r="CC338" s="5"/>
      <c r="CE338" s="40"/>
      <c r="CF338" s="5"/>
      <c r="CH338" s="40"/>
      <c r="CI338" s="5"/>
      <c r="CK338" s="40"/>
      <c r="CL338" s="5"/>
      <c r="CN338" s="40"/>
      <c r="CO338" s="5"/>
      <c r="CQ338" s="40"/>
      <c r="CR338" s="5"/>
    </row>
    <row r="339">
      <c r="AL339" s="40"/>
      <c r="AM339" s="5"/>
      <c r="AO339" s="40"/>
      <c r="AP339" s="5"/>
      <c r="AR339" s="40"/>
      <c r="AS339" s="5"/>
      <c r="AU339" s="40"/>
      <c r="AV339" s="5"/>
      <c r="AX339" s="40"/>
      <c r="AY339" s="5"/>
      <c r="BA339" s="40"/>
      <c r="BB339" s="5"/>
      <c r="BD339" s="40"/>
      <c r="BE339" s="5"/>
      <c r="BG339" s="40"/>
      <c r="BH339" s="5"/>
      <c r="BJ339" s="40"/>
      <c r="BK339" s="5"/>
      <c r="BM339" s="40"/>
      <c r="BN339" s="5"/>
      <c r="BP339" s="40"/>
      <c r="BQ339" s="5"/>
      <c r="BS339" s="40"/>
      <c r="BT339" s="5"/>
      <c r="BV339" s="40"/>
      <c r="BW339" s="5"/>
      <c r="BY339" s="40"/>
      <c r="BZ339" s="5"/>
      <c r="CB339" s="40"/>
      <c r="CC339" s="5"/>
      <c r="CE339" s="40"/>
      <c r="CF339" s="5"/>
      <c r="CH339" s="40"/>
      <c r="CI339" s="5"/>
      <c r="CK339" s="40"/>
      <c r="CL339" s="5"/>
      <c r="CN339" s="40"/>
      <c r="CO339" s="5"/>
      <c r="CQ339" s="40"/>
      <c r="CR339" s="5"/>
    </row>
    <row r="340">
      <c r="AL340" s="40"/>
      <c r="AM340" s="5"/>
      <c r="AO340" s="40"/>
      <c r="AP340" s="5"/>
      <c r="AR340" s="40"/>
      <c r="AS340" s="5"/>
      <c r="AU340" s="40"/>
      <c r="AV340" s="5"/>
      <c r="AX340" s="40"/>
      <c r="AY340" s="5"/>
      <c r="BA340" s="40"/>
      <c r="BB340" s="5"/>
      <c r="BD340" s="40"/>
      <c r="BE340" s="5"/>
      <c r="BG340" s="40"/>
      <c r="BH340" s="5"/>
      <c r="BJ340" s="40"/>
      <c r="BK340" s="5"/>
      <c r="BM340" s="40"/>
      <c r="BN340" s="5"/>
      <c r="BP340" s="40"/>
      <c r="BQ340" s="5"/>
      <c r="BS340" s="40"/>
      <c r="BT340" s="5"/>
      <c r="BV340" s="40"/>
      <c r="BW340" s="5"/>
      <c r="BY340" s="40"/>
      <c r="BZ340" s="5"/>
      <c r="CB340" s="40"/>
      <c r="CC340" s="5"/>
      <c r="CE340" s="40"/>
      <c r="CF340" s="5"/>
      <c r="CH340" s="40"/>
      <c r="CI340" s="5"/>
      <c r="CK340" s="40"/>
      <c r="CL340" s="5"/>
      <c r="CN340" s="40"/>
      <c r="CO340" s="5"/>
      <c r="CQ340" s="40"/>
      <c r="CR340" s="5"/>
    </row>
    <row r="341">
      <c r="AL341" s="40"/>
      <c r="AM341" s="5"/>
      <c r="AO341" s="40"/>
      <c r="AP341" s="5"/>
      <c r="AR341" s="40"/>
      <c r="AS341" s="5"/>
      <c r="AU341" s="40"/>
      <c r="AV341" s="5"/>
      <c r="AX341" s="40"/>
      <c r="AY341" s="5"/>
      <c r="BA341" s="40"/>
      <c r="BB341" s="5"/>
      <c r="BD341" s="40"/>
      <c r="BE341" s="5"/>
      <c r="BG341" s="40"/>
      <c r="BH341" s="5"/>
      <c r="BJ341" s="40"/>
      <c r="BK341" s="5"/>
      <c r="BM341" s="40"/>
      <c r="BN341" s="5"/>
      <c r="BP341" s="40"/>
      <c r="BQ341" s="5"/>
      <c r="BS341" s="40"/>
      <c r="BT341" s="5"/>
      <c r="BV341" s="40"/>
      <c r="BW341" s="5"/>
      <c r="BY341" s="40"/>
      <c r="BZ341" s="5"/>
      <c r="CB341" s="40"/>
      <c r="CC341" s="5"/>
      <c r="CE341" s="40"/>
      <c r="CF341" s="5"/>
      <c r="CH341" s="40"/>
      <c r="CI341" s="5"/>
      <c r="CK341" s="40"/>
      <c r="CL341" s="5"/>
      <c r="CN341" s="40"/>
      <c r="CO341" s="5"/>
      <c r="CQ341" s="40"/>
      <c r="CR341" s="5"/>
    </row>
    <row r="342">
      <c r="AL342" s="40"/>
      <c r="AM342" s="5"/>
      <c r="AO342" s="40"/>
      <c r="AP342" s="5"/>
      <c r="AR342" s="40"/>
      <c r="AS342" s="5"/>
      <c r="AU342" s="40"/>
      <c r="AV342" s="5"/>
      <c r="AX342" s="40"/>
      <c r="AY342" s="5"/>
      <c r="BA342" s="40"/>
      <c r="BB342" s="5"/>
      <c r="BD342" s="40"/>
      <c r="BE342" s="5"/>
      <c r="BG342" s="40"/>
      <c r="BH342" s="5"/>
      <c r="BJ342" s="40"/>
      <c r="BK342" s="5"/>
      <c r="BM342" s="40"/>
      <c r="BN342" s="5"/>
      <c r="BP342" s="40"/>
      <c r="BQ342" s="5"/>
      <c r="BS342" s="40"/>
      <c r="BT342" s="5"/>
      <c r="BV342" s="40"/>
      <c r="BW342" s="5"/>
      <c r="BY342" s="40"/>
      <c r="BZ342" s="5"/>
      <c r="CB342" s="40"/>
      <c r="CC342" s="5"/>
      <c r="CE342" s="40"/>
      <c r="CF342" s="5"/>
      <c r="CH342" s="40"/>
      <c r="CI342" s="5"/>
      <c r="CK342" s="40"/>
      <c r="CL342" s="5"/>
      <c r="CN342" s="40"/>
      <c r="CO342" s="5"/>
      <c r="CQ342" s="40"/>
      <c r="CR342" s="5"/>
    </row>
    <row r="343">
      <c r="AL343" s="40"/>
      <c r="AM343" s="5"/>
      <c r="AO343" s="40"/>
      <c r="AP343" s="5"/>
      <c r="AR343" s="40"/>
      <c r="AS343" s="5"/>
      <c r="AU343" s="40"/>
      <c r="AV343" s="5"/>
      <c r="AX343" s="40"/>
      <c r="AY343" s="5"/>
      <c r="BA343" s="40"/>
      <c r="BB343" s="5"/>
      <c r="BD343" s="40"/>
      <c r="BE343" s="5"/>
      <c r="BG343" s="40"/>
      <c r="BH343" s="5"/>
      <c r="BJ343" s="40"/>
      <c r="BK343" s="5"/>
      <c r="BM343" s="40"/>
      <c r="BN343" s="5"/>
      <c r="BP343" s="40"/>
      <c r="BQ343" s="5"/>
      <c r="BS343" s="40"/>
      <c r="BT343" s="5"/>
      <c r="BV343" s="40"/>
      <c r="BW343" s="5"/>
      <c r="BY343" s="40"/>
      <c r="BZ343" s="5"/>
      <c r="CB343" s="40"/>
      <c r="CC343" s="5"/>
      <c r="CE343" s="40"/>
      <c r="CF343" s="5"/>
      <c r="CH343" s="40"/>
      <c r="CI343" s="5"/>
      <c r="CK343" s="40"/>
      <c r="CL343" s="5"/>
      <c r="CN343" s="40"/>
      <c r="CO343" s="5"/>
      <c r="CQ343" s="40"/>
      <c r="CR343" s="5"/>
    </row>
    <row r="344">
      <c r="AL344" s="40"/>
      <c r="AM344" s="5"/>
      <c r="AO344" s="40"/>
      <c r="AP344" s="5"/>
      <c r="AR344" s="40"/>
      <c r="AS344" s="5"/>
      <c r="AU344" s="40"/>
      <c r="AV344" s="5"/>
      <c r="AX344" s="40"/>
      <c r="AY344" s="5"/>
      <c r="BA344" s="40"/>
      <c r="BB344" s="5"/>
      <c r="BD344" s="40"/>
      <c r="BE344" s="5"/>
      <c r="BG344" s="40"/>
      <c r="BH344" s="5"/>
      <c r="BJ344" s="40"/>
      <c r="BK344" s="5"/>
      <c r="BM344" s="40"/>
      <c r="BN344" s="5"/>
      <c r="BP344" s="40"/>
      <c r="BQ344" s="5"/>
      <c r="BS344" s="40"/>
      <c r="BT344" s="5"/>
      <c r="BV344" s="40"/>
      <c r="BW344" s="5"/>
      <c r="BY344" s="40"/>
      <c r="BZ344" s="5"/>
      <c r="CB344" s="40"/>
      <c r="CC344" s="5"/>
      <c r="CE344" s="40"/>
      <c r="CF344" s="5"/>
      <c r="CH344" s="40"/>
      <c r="CI344" s="5"/>
      <c r="CK344" s="40"/>
      <c r="CL344" s="5"/>
      <c r="CN344" s="40"/>
      <c r="CO344" s="5"/>
      <c r="CQ344" s="40"/>
      <c r="CR344" s="5"/>
    </row>
    <row r="345">
      <c r="AL345" s="40"/>
      <c r="AM345" s="5"/>
      <c r="AO345" s="40"/>
      <c r="AP345" s="5"/>
      <c r="AR345" s="40"/>
      <c r="AS345" s="5"/>
      <c r="AU345" s="40"/>
      <c r="AV345" s="5"/>
      <c r="AX345" s="40"/>
      <c r="AY345" s="5"/>
      <c r="BA345" s="40"/>
      <c r="BB345" s="5"/>
      <c r="BD345" s="40"/>
      <c r="BE345" s="5"/>
      <c r="BG345" s="40"/>
      <c r="BH345" s="5"/>
      <c r="BJ345" s="40"/>
      <c r="BK345" s="5"/>
      <c r="BM345" s="40"/>
      <c r="BN345" s="5"/>
      <c r="BP345" s="40"/>
      <c r="BQ345" s="5"/>
      <c r="BS345" s="40"/>
      <c r="BT345" s="5"/>
      <c r="BV345" s="40"/>
      <c r="BW345" s="5"/>
      <c r="BY345" s="40"/>
      <c r="BZ345" s="5"/>
      <c r="CB345" s="40"/>
      <c r="CC345" s="5"/>
      <c r="CE345" s="40"/>
      <c r="CF345" s="5"/>
      <c r="CH345" s="40"/>
      <c r="CI345" s="5"/>
      <c r="CK345" s="40"/>
      <c r="CL345" s="5"/>
      <c r="CN345" s="40"/>
      <c r="CO345" s="5"/>
      <c r="CQ345" s="40"/>
      <c r="CR345" s="5"/>
    </row>
    <row r="346">
      <c r="AL346" s="40"/>
      <c r="AM346" s="5"/>
      <c r="AO346" s="40"/>
      <c r="AP346" s="5"/>
      <c r="AR346" s="40"/>
      <c r="AS346" s="5"/>
      <c r="AU346" s="40"/>
      <c r="AV346" s="5"/>
      <c r="AX346" s="40"/>
      <c r="AY346" s="5"/>
      <c r="BA346" s="40"/>
      <c r="BB346" s="5"/>
      <c r="BD346" s="40"/>
      <c r="BE346" s="5"/>
      <c r="BG346" s="40"/>
      <c r="BH346" s="5"/>
      <c r="BJ346" s="40"/>
      <c r="BK346" s="5"/>
      <c r="BM346" s="40"/>
      <c r="BN346" s="5"/>
      <c r="BP346" s="40"/>
      <c r="BQ346" s="5"/>
      <c r="BS346" s="40"/>
      <c r="BT346" s="5"/>
      <c r="BV346" s="40"/>
      <c r="BW346" s="5"/>
      <c r="BY346" s="40"/>
      <c r="BZ346" s="5"/>
      <c r="CB346" s="40"/>
      <c r="CC346" s="5"/>
      <c r="CE346" s="40"/>
      <c r="CF346" s="5"/>
      <c r="CH346" s="40"/>
      <c r="CI346" s="5"/>
      <c r="CK346" s="40"/>
      <c r="CL346" s="5"/>
      <c r="CN346" s="40"/>
      <c r="CO346" s="5"/>
      <c r="CQ346" s="40"/>
      <c r="CR346" s="5"/>
    </row>
    <row r="347">
      <c r="AL347" s="40"/>
      <c r="AM347" s="5"/>
      <c r="AO347" s="40"/>
      <c r="AP347" s="5"/>
      <c r="AR347" s="40"/>
      <c r="AS347" s="5"/>
      <c r="AU347" s="40"/>
      <c r="AV347" s="5"/>
      <c r="AX347" s="40"/>
      <c r="AY347" s="5"/>
      <c r="BA347" s="40"/>
      <c r="BB347" s="5"/>
      <c r="BD347" s="40"/>
      <c r="BE347" s="5"/>
      <c r="BG347" s="40"/>
      <c r="BH347" s="5"/>
      <c r="BJ347" s="40"/>
      <c r="BK347" s="5"/>
      <c r="BM347" s="40"/>
      <c r="BN347" s="5"/>
      <c r="BP347" s="40"/>
      <c r="BQ347" s="5"/>
      <c r="BS347" s="40"/>
      <c r="BT347" s="5"/>
      <c r="BV347" s="40"/>
      <c r="BW347" s="5"/>
      <c r="BY347" s="40"/>
      <c r="BZ347" s="5"/>
      <c r="CB347" s="40"/>
      <c r="CC347" s="5"/>
      <c r="CE347" s="40"/>
      <c r="CF347" s="5"/>
      <c r="CH347" s="40"/>
      <c r="CI347" s="5"/>
      <c r="CK347" s="40"/>
      <c r="CL347" s="5"/>
      <c r="CN347" s="40"/>
      <c r="CO347" s="5"/>
      <c r="CQ347" s="40"/>
      <c r="CR347" s="5"/>
    </row>
    <row r="348">
      <c r="AL348" s="40"/>
      <c r="AM348" s="5"/>
      <c r="AO348" s="40"/>
      <c r="AP348" s="5"/>
      <c r="AR348" s="40"/>
      <c r="AS348" s="5"/>
      <c r="AU348" s="40"/>
      <c r="AV348" s="5"/>
      <c r="AX348" s="40"/>
      <c r="AY348" s="5"/>
      <c r="BA348" s="40"/>
      <c r="BB348" s="5"/>
      <c r="BD348" s="40"/>
      <c r="BE348" s="5"/>
      <c r="BG348" s="40"/>
      <c r="BH348" s="5"/>
      <c r="BJ348" s="40"/>
      <c r="BK348" s="5"/>
      <c r="BM348" s="40"/>
      <c r="BN348" s="5"/>
      <c r="BP348" s="40"/>
      <c r="BQ348" s="5"/>
      <c r="BS348" s="40"/>
      <c r="BT348" s="5"/>
      <c r="BV348" s="40"/>
      <c r="BW348" s="5"/>
      <c r="BY348" s="40"/>
      <c r="BZ348" s="5"/>
      <c r="CB348" s="40"/>
      <c r="CC348" s="5"/>
      <c r="CE348" s="40"/>
      <c r="CF348" s="5"/>
      <c r="CH348" s="40"/>
      <c r="CI348" s="5"/>
      <c r="CK348" s="40"/>
      <c r="CL348" s="5"/>
      <c r="CN348" s="40"/>
      <c r="CO348" s="5"/>
      <c r="CQ348" s="40"/>
      <c r="CR348" s="5"/>
    </row>
    <row r="349">
      <c r="AL349" s="40"/>
      <c r="AM349" s="5"/>
      <c r="AO349" s="40"/>
      <c r="AP349" s="5"/>
      <c r="AR349" s="40"/>
      <c r="AS349" s="5"/>
      <c r="AU349" s="40"/>
      <c r="AV349" s="5"/>
      <c r="AX349" s="40"/>
      <c r="AY349" s="5"/>
      <c r="BA349" s="40"/>
      <c r="BB349" s="5"/>
      <c r="BD349" s="40"/>
      <c r="BE349" s="5"/>
      <c r="BG349" s="40"/>
      <c r="BH349" s="5"/>
      <c r="BJ349" s="40"/>
      <c r="BK349" s="5"/>
      <c r="BM349" s="40"/>
      <c r="BN349" s="5"/>
      <c r="BP349" s="40"/>
      <c r="BQ349" s="5"/>
      <c r="BS349" s="40"/>
      <c r="BT349" s="5"/>
      <c r="BV349" s="40"/>
      <c r="BW349" s="5"/>
      <c r="BY349" s="40"/>
      <c r="BZ349" s="5"/>
      <c r="CB349" s="40"/>
      <c r="CC349" s="5"/>
      <c r="CE349" s="40"/>
      <c r="CF349" s="5"/>
      <c r="CH349" s="40"/>
      <c r="CI349" s="5"/>
      <c r="CK349" s="40"/>
      <c r="CL349" s="5"/>
      <c r="CN349" s="40"/>
      <c r="CO349" s="5"/>
      <c r="CQ349" s="40"/>
      <c r="CR349" s="5"/>
    </row>
    <row r="350">
      <c r="AL350" s="40"/>
      <c r="AM350" s="5"/>
      <c r="AO350" s="40"/>
      <c r="AP350" s="5"/>
      <c r="AR350" s="40"/>
      <c r="AS350" s="5"/>
      <c r="AU350" s="40"/>
      <c r="AV350" s="5"/>
      <c r="AX350" s="40"/>
      <c r="AY350" s="5"/>
      <c r="BA350" s="40"/>
      <c r="BB350" s="5"/>
      <c r="BD350" s="40"/>
      <c r="BE350" s="5"/>
      <c r="BG350" s="40"/>
      <c r="BH350" s="5"/>
      <c r="BJ350" s="40"/>
      <c r="BK350" s="5"/>
      <c r="BM350" s="40"/>
      <c r="BN350" s="5"/>
      <c r="BP350" s="40"/>
      <c r="BQ350" s="5"/>
      <c r="BS350" s="40"/>
      <c r="BT350" s="5"/>
      <c r="BV350" s="40"/>
      <c r="BW350" s="5"/>
      <c r="BY350" s="40"/>
      <c r="BZ350" s="5"/>
      <c r="CB350" s="40"/>
      <c r="CC350" s="5"/>
      <c r="CE350" s="40"/>
      <c r="CF350" s="5"/>
      <c r="CH350" s="40"/>
      <c r="CI350" s="5"/>
      <c r="CK350" s="40"/>
      <c r="CL350" s="5"/>
      <c r="CN350" s="40"/>
      <c r="CO350" s="5"/>
      <c r="CQ350" s="40"/>
      <c r="CR350" s="5"/>
    </row>
    <row r="351">
      <c r="AL351" s="40"/>
      <c r="AM351" s="5"/>
      <c r="AO351" s="40"/>
      <c r="AP351" s="5"/>
      <c r="AR351" s="40"/>
      <c r="AS351" s="5"/>
      <c r="AU351" s="40"/>
      <c r="AV351" s="5"/>
      <c r="AX351" s="40"/>
      <c r="AY351" s="5"/>
      <c r="BA351" s="40"/>
      <c r="BB351" s="5"/>
      <c r="BD351" s="40"/>
      <c r="BE351" s="5"/>
      <c r="BG351" s="40"/>
      <c r="BH351" s="5"/>
      <c r="BJ351" s="40"/>
      <c r="BK351" s="5"/>
      <c r="BM351" s="40"/>
      <c r="BN351" s="5"/>
      <c r="BP351" s="40"/>
      <c r="BQ351" s="5"/>
      <c r="BS351" s="40"/>
      <c r="BT351" s="5"/>
      <c r="BV351" s="40"/>
      <c r="BW351" s="5"/>
      <c r="BY351" s="40"/>
      <c r="BZ351" s="5"/>
      <c r="CB351" s="40"/>
      <c r="CC351" s="5"/>
      <c r="CE351" s="40"/>
      <c r="CF351" s="5"/>
      <c r="CH351" s="40"/>
      <c r="CI351" s="5"/>
      <c r="CK351" s="40"/>
      <c r="CL351" s="5"/>
      <c r="CN351" s="40"/>
      <c r="CO351" s="5"/>
      <c r="CQ351" s="40"/>
      <c r="CR351" s="5"/>
    </row>
    <row r="352">
      <c r="AL352" s="40"/>
      <c r="AM352" s="5"/>
      <c r="AO352" s="40"/>
      <c r="AP352" s="5"/>
      <c r="AR352" s="40"/>
      <c r="AS352" s="5"/>
      <c r="AU352" s="40"/>
      <c r="AV352" s="5"/>
      <c r="AX352" s="40"/>
      <c r="AY352" s="5"/>
      <c r="BA352" s="40"/>
      <c r="BB352" s="5"/>
      <c r="BD352" s="40"/>
      <c r="BE352" s="5"/>
      <c r="BG352" s="40"/>
      <c r="BH352" s="5"/>
      <c r="BJ352" s="40"/>
      <c r="BK352" s="5"/>
      <c r="BM352" s="40"/>
      <c r="BN352" s="5"/>
      <c r="BP352" s="40"/>
      <c r="BQ352" s="5"/>
      <c r="BS352" s="40"/>
      <c r="BT352" s="5"/>
      <c r="BV352" s="40"/>
      <c r="BW352" s="5"/>
      <c r="BY352" s="40"/>
      <c r="BZ352" s="5"/>
      <c r="CB352" s="40"/>
      <c r="CC352" s="5"/>
      <c r="CE352" s="40"/>
      <c r="CF352" s="5"/>
      <c r="CH352" s="40"/>
      <c r="CI352" s="5"/>
      <c r="CK352" s="40"/>
      <c r="CL352" s="5"/>
      <c r="CN352" s="40"/>
      <c r="CO352" s="5"/>
      <c r="CQ352" s="40"/>
      <c r="CR352" s="5"/>
    </row>
    <row r="353">
      <c r="AL353" s="40"/>
      <c r="AM353" s="5"/>
      <c r="AO353" s="40"/>
      <c r="AP353" s="5"/>
      <c r="AR353" s="40"/>
      <c r="AS353" s="5"/>
      <c r="AU353" s="40"/>
      <c r="AV353" s="5"/>
      <c r="AX353" s="40"/>
      <c r="AY353" s="5"/>
      <c r="BA353" s="40"/>
      <c r="BB353" s="5"/>
      <c r="BD353" s="40"/>
      <c r="BE353" s="5"/>
      <c r="BG353" s="40"/>
      <c r="BH353" s="5"/>
      <c r="BJ353" s="40"/>
      <c r="BK353" s="5"/>
      <c r="BM353" s="40"/>
      <c r="BN353" s="5"/>
      <c r="BP353" s="40"/>
      <c r="BQ353" s="5"/>
      <c r="BS353" s="40"/>
      <c r="BT353" s="5"/>
      <c r="BV353" s="40"/>
      <c r="BW353" s="5"/>
      <c r="BY353" s="40"/>
      <c r="BZ353" s="5"/>
      <c r="CB353" s="40"/>
      <c r="CC353" s="5"/>
      <c r="CE353" s="40"/>
      <c r="CF353" s="5"/>
      <c r="CH353" s="40"/>
      <c r="CI353" s="5"/>
      <c r="CK353" s="40"/>
      <c r="CL353" s="5"/>
      <c r="CN353" s="40"/>
      <c r="CO353" s="5"/>
      <c r="CQ353" s="40"/>
      <c r="CR353" s="5"/>
    </row>
    <row r="354">
      <c r="AL354" s="40"/>
      <c r="AM354" s="5"/>
      <c r="AO354" s="40"/>
      <c r="AP354" s="5"/>
      <c r="AR354" s="40"/>
      <c r="AS354" s="5"/>
      <c r="AU354" s="40"/>
      <c r="AV354" s="5"/>
      <c r="AX354" s="40"/>
      <c r="AY354" s="5"/>
      <c r="BA354" s="40"/>
      <c r="BB354" s="5"/>
      <c r="BD354" s="40"/>
      <c r="BE354" s="5"/>
      <c r="BG354" s="40"/>
      <c r="BH354" s="5"/>
      <c r="BJ354" s="40"/>
      <c r="BK354" s="5"/>
      <c r="BM354" s="40"/>
      <c r="BN354" s="5"/>
      <c r="BP354" s="40"/>
      <c r="BQ354" s="5"/>
      <c r="BS354" s="40"/>
      <c r="BT354" s="5"/>
      <c r="BV354" s="40"/>
      <c r="BW354" s="5"/>
      <c r="BY354" s="40"/>
      <c r="BZ354" s="5"/>
      <c r="CB354" s="40"/>
      <c r="CC354" s="5"/>
      <c r="CE354" s="40"/>
      <c r="CF354" s="5"/>
      <c r="CH354" s="40"/>
      <c r="CI354" s="5"/>
      <c r="CK354" s="40"/>
      <c r="CL354" s="5"/>
      <c r="CN354" s="40"/>
      <c r="CO354" s="5"/>
      <c r="CQ354" s="40"/>
      <c r="CR354" s="5"/>
    </row>
    <row r="355">
      <c r="AL355" s="40"/>
      <c r="AM355" s="5"/>
      <c r="AO355" s="40"/>
      <c r="AP355" s="5"/>
      <c r="AR355" s="40"/>
      <c r="AS355" s="5"/>
      <c r="AU355" s="40"/>
      <c r="AV355" s="5"/>
      <c r="AX355" s="40"/>
      <c r="AY355" s="5"/>
      <c r="BA355" s="40"/>
      <c r="BB355" s="5"/>
      <c r="BD355" s="40"/>
      <c r="BE355" s="5"/>
      <c r="BG355" s="40"/>
      <c r="BH355" s="5"/>
      <c r="BJ355" s="40"/>
      <c r="BK355" s="5"/>
      <c r="BM355" s="40"/>
      <c r="BN355" s="5"/>
      <c r="BP355" s="40"/>
      <c r="BQ355" s="5"/>
      <c r="BS355" s="40"/>
      <c r="BT355" s="5"/>
      <c r="BV355" s="40"/>
      <c r="BW355" s="5"/>
      <c r="BY355" s="40"/>
      <c r="BZ355" s="5"/>
      <c r="CB355" s="40"/>
      <c r="CC355" s="5"/>
      <c r="CE355" s="40"/>
      <c r="CF355" s="5"/>
      <c r="CH355" s="40"/>
      <c r="CI355" s="5"/>
      <c r="CK355" s="40"/>
      <c r="CL355" s="5"/>
      <c r="CN355" s="40"/>
      <c r="CO355" s="5"/>
      <c r="CQ355" s="40"/>
      <c r="CR355" s="5"/>
    </row>
    <row r="356">
      <c r="AL356" s="40"/>
      <c r="AM356" s="5"/>
      <c r="AO356" s="40"/>
      <c r="AP356" s="5"/>
      <c r="AR356" s="40"/>
      <c r="AS356" s="5"/>
      <c r="AU356" s="40"/>
      <c r="AV356" s="5"/>
      <c r="AX356" s="40"/>
      <c r="AY356" s="5"/>
      <c r="BA356" s="40"/>
      <c r="BB356" s="5"/>
      <c r="BD356" s="40"/>
      <c r="BE356" s="5"/>
      <c r="BG356" s="40"/>
      <c r="BH356" s="5"/>
      <c r="BJ356" s="40"/>
      <c r="BK356" s="5"/>
      <c r="BM356" s="40"/>
      <c r="BN356" s="5"/>
      <c r="BP356" s="40"/>
      <c r="BQ356" s="5"/>
      <c r="BS356" s="40"/>
      <c r="BT356" s="5"/>
      <c r="BV356" s="40"/>
      <c r="BW356" s="5"/>
      <c r="BY356" s="40"/>
      <c r="BZ356" s="5"/>
      <c r="CB356" s="40"/>
      <c r="CC356" s="5"/>
      <c r="CE356" s="40"/>
      <c r="CF356" s="5"/>
      <c r="CH356" s="40"/>
      <c r="CI356" s="5"/>
      <c r="CK356" s="40"/>
      <c r="CL356" s="5"/>
      <c r="CN356" s="40"/>
      <c r="CO356" s="5"/>
      <c r="CQ356" s="40"/>
      <c r="CR356" s="5"/>
    </row>
    <row r="357">
      <c r="AL357" s="40"/>
      <c r="AM357" s="5"/>
      <c r="AO357" s="40"/>
      <c r="AP357" s="5"/>
      <c r="AR357" s="40"/>
      <c r="AS357" s="5"/>
      <c r="AU357" s="40"/>
      <c r="AV357" s="5"/>
      <c r="AX357" s="40"/>
      <c r="AY357" s="5"/>
      <c r="BA357" s="40"/>
      <c r="BB357" s="5"/>
      <c r="BD357" s="40"/>
      <c r="BE357" s="5"/>
      <c r="BG357" s="40"/>
      <c r="BH357" s="5"/>
      <c r="BJ357" s="40"/>
      <c r="BK357" s="5"/>
      <c r="BM357" s="40"/>
      <c r="BN357" s="5"/>
      <c r="BP357" s="40"/>
      <c r="BQ357" s="5"/>
      <c r="BS357" s="40"/>
      <c r="BT357" s="5"/>
      <c r="BV357" s="40"/>
      <c r="BW357" s="5"/>
      <c r="BY357" s="40"/>
      <c r="BZ357" s="5"/>
      <c r="CB357" s="40"/>
      <c r="CC357" s="5"/>
      <c r="CE357" s="40"/>
      <c r="CF357" s="5"/>
      <c r="CH357" s="40"/>
      <c r="CI357" s="5"/>
      <c r="CK357" s="40"/>
      <c r="CL357" s="5"/>
      <c r="CN357" s="40"/>
      <c r="CO357" s="5"/>
      <c r="CQ357" s="40"/>
      <c r="CR357" s="5"/>
    </row>
    <row r="358">
      <c r="AL358" s="40"/>
      <c r="AM358" s="5"/>
      <c r="AO358" s="40"/>
      <c r="AP358" s="5"/>
      <c r="AR358" s="40"/>
      <c r="AS358" s="5"/>
      <c r="AU358" s="40"/>
      <c r="AV358" s="5"/>
      <c r="AX358" s="40"/>
      <c r="AY358" s="5"/>
      <c r="BA358" s="40"/>
      <c r="BB358" s="5"/>
      <c r="BD358" s="40"/>
      <c r="BE358" s="5"/>
      <c r="BG358" s="40"/>
      <c r="BH358" s="5"/>
      <c r="BJ358" s="40"/>
      <c r="BK358" s="5"/>
      <c r="BM358" s="40"/>
      <c r="BN358" s="5"/>
      <c r="BP358" s="40"/>
      <c r="BQ358" s="5"/>
      <c r="BS358" s="40"/>
      <c r="BT358" s="5"/>
      <c r="BV358" s="40"/>
      <c r="BW358" s="5"/>
      <c r="BY358" s="40"/>
      <c r="BZ358" s="5"/>
      <c r="CB358" s="40"/>
      <c r="CC358" s="5"/>
      <c r="CE358" s="40"/>
      <c r="CF358" s="5"/>
      <c r="CH358" s="40"/>
      <c r="CI358" s="5"/>
      <c r="CK358" s="40"/>
      <c r="CL358" s="5"/>
      <c r="CN358" s="40"/>
      <c r="CO358" s="5"/>
      <c r="CQ358" s="40"/>
      <c r="CR358" s="5"/>
    </row>
    <row r="359">
      <c r="AL359" s="40"/>
      <c r="AM359" s="5"/>
      <c r="AO359" s="40"/>
      <c r="AP359" s="5"/>
      <c r="AR359" s="40"/>
      <c r="AS359" s="5"/>
      <c r="AU359" s="40"/>
      <c r="AV359" s="5"/>
      <c r="AX359" s="40"/>
      <c r="AY359" s="5"/>
      <c r="BA359" s="40"/>
      <c r="BB359" s="5"/>
      <c r="BD359" s="40"/>
      <c r="BE359" s="5"/>
      <c r="BG359" s="40"/>
      <c r="BH359" s="5"/>
      <c r="BJ359" s="40"/>
      <c r="BK359" s="5"/>
      <c r="BM359" s="40"/>
      <c r="BN359" s="5"/>
      <c r="BP359" s="40"/>
      <c r="BQ359" s="5"/>
      <c r="BS359" s="40"/>
      <c r="BT359" s="5"/>
      <c r="BV359" s="40"/>
      <c r="BW359" s="5"/>
      <c r="BY359" s="40"/>
      <c r="BZ359" s="5"/>
      <c r="CB359" s="40"/>
      <c r="CC359" s="5"/>
      <c r="CE359" s="40"/>
      <c r="CF359" s="5"/>
      <c r="CH359" s="40"/>
      <c r="CI359" s="5"/>
      <c r="CK359" s="40"/>
      <c r="CL359" s="5"/>
      <c r="CN359" s="40"/>
      <c r="CO359" s="5"/>
      <c r="CQ359" s="40"/>
      <c r="CR359" s="5"/>
    </row>
    <row r="360">
      <c r="AL360" s="40"/>
      <c r="AM360" s="5"/>
      <c r="AO360" s="40"/>
      <c r="AP360" s="5"/>
      <c r="AR360" s="40"/>
      <c r="AS360" s="5"/>
      <c r="AU360" s="40"/>
      <c r="AV360" s="5"/>
      <c r="AX360" s="40"/>
      <c r="AY360" s="5"/>
      <c r="BA360" s="40"/>
      <c r="BB360" s="5"/>
      <c r="BD360" s="40"/>
      <c r="BE360" s="5"/>
      <c r="BG360" s="40"/>
      <c r="BH360" s="5"/>
      <c r="BJ360" s="40"/>
      <c r="BK360" s="5"/>
      <c r="BM360" s="40"/>
      <c r="BN360" s="5"/>
      <c r="BP360" s="40"/>
      <c r="BQ360" s="5"/>
      <c r="BS360" s="40"/>
      <c r="BT360" s="5"/>
      <c r="BV360" s="40"/>
      <c r="BW360" s="5"/>
      <c r="BY360" s="40"/>
      <c r="BZ360" s="5"/>
      <c r="CB360" s="40"/>
      <c r="CC360" s="5"/>
      <c r="CE360" s="40"/>
      <c r="CF360" s="5"/>
      <c r="CH360" s="40"/>
      <c r="CI360" s="5"/>
      <c r="CK360" s="40"/>
      <c r="CL360" s="5"/>
      <c r="CN360" s="40"/>
      <c r="CO360" s="5"/>
      <c r="CQ360" s="40"/>
      <c r="CR360" s="5"/>
    </row>
    <row r="361">
      <c r="AL361" s="40"/>
      <c r="AM361" s="5"/>
      <c r="AO361" s="40"/>
      <c r="AP361" s="5"/>
      <c r="AR361" s="40"/>
      <c r="AS361" s="5"/>
      <c r="AU361" s="40"/>
      <c r="AV361" s="5"/>
      <c r="AX361" s="40"/>
      <c r="AY361" s="5"/>
      <c r="BA361" s="40"/>
      <c r="BB361" s="5"/>
      <c r="BD361" s="40"/>
      <c r="BE361" s="5"/>
      <c r="BG361" s="40"/>
      <c r="BH361" s="5"/>
      <c r="BJ361" s="40"/>
      <c r="BK361" s="5"/>
      <c r="BM361" s="40"/>
      <c r="BN361" s="5"/>
      <c r="BP361" s="40"/>
      <c r="BQ361" s="5"/>
      <c r="BS361" s="40"/>
      <c r="BT361" s="5"/>
      <c r="BV361" s="40"/>
      <c r="BW361" s="5"/>
      <c r="BY361" s="40"/>
      <c r="BZ361" s="5"/>
      <c r="CB361" s="40"/>
      <c r="CC361" s="5"/>
      <c r="CE361" s="40"/>
      <c r="CF361" s="5"/>
      <c r="CH361" s="40"/>
      <c r="CI361" s="5"/>
      <c r="CK361" s="40"/>
      <c r="CL361" s="5"/>
      <c r="CN361" s="40"/>
      <c r="CO361" s="5"/>
      <c r="CQ361" s="40"/>
      <c r="CR361" s="5"/>
    </row>
    <row r="362">
      <c r="AL362" s="40"/>
      <c r="AM362" s="5"/>
      <c r="AO362" s="40"/>
      <c r="AP362" s="5"/>
      <c r="AR362" s="40"/>
      <c r="AS362" s="5"/>
      <c r="AU362" s="40"/>
      <c r="AV362" s="5"/>
      <c r="AX362" s="40"/>
      <c r="AY362" s="5"/>
      <c r="BA362" s="40"/>
      <c r="BB362" s="5"/>
      <c r="BD362" s="40"/>
      <c r="BE362" s="5"/>
      <c r="BG362" s="40"/>
      <c r="BH362" s="5"/>
      <c r="BJ362" s="40"/>
      <c r="BK362" s="5"/>
      <c r="BM362" s="40"/>
      <c r="BN362" s="5"/>
      <c r="BP362" s="40"/>
      <c r="BQ362" s="5"/>
      <c r="BS362" s="40"/>
      <c r="BT362" s="5"/>
      <c r="BV362" s="40"/>
      <c r="BW362" s="5"/>
      <c r="BY362" s="40"/>
      <c r="BZ362" s="5"/>
      <c r="CB362" s="40"/>
      <c r="CC362" s="5"/>
      <c r="CE362" s="40"/>
      <c r="CF362" s="5"/>
      <c r="CH362" s="40"/>
      <c r="CI362" s="5"/>
      <c r="CK362" s="40"/>
      <c r="CL362" s="5"/>
      <c r="CN362" s="40"/>
      <c r="CO362" s="5"/>
      <c r="CQ362" s="40"/>
      <c r="CR362" s="5"/>
    </row>
    <row r="363">
      <c r="AL363" s="40"/>
      <c r="AM363" s="5"/>
      <c r="AO363" s="40"/>
      <c r="AP363" s="5"/>
      <c r="AR363" s="40"/>
      <c r="AS363" s="5"/>
      <c r="AU363" s="40"/>
      <c r="AV363" s="5"/>
      <c r="AX363" s="40"/>
      <c r="AY363" s="5"/>
      <c r="BA363" s="40"/>
      <c r="BB363" s="5"/>
      <c r="BD363" s="40"/>
      <c r="BE363" s="5"/>
      <c r="BG363" s="40"/>
      <c r="BH363" s="5"/>
      <c r="BJ363" s="40"/>
      <c r="BK363" s="5"/>
      <c r="BM363" s="40"/>
      <c r="BN363" s="5"/>
      <c r="BP363" s="40"/>
      <c r="BQ363" s="5"/>
      <c r="BS363" s="40"/>
      <c r="BT363" s="5"/>
      <c r="BV363" s="40"/>
      <c r="BW363" s="5"/>
      <c r="BY363" s="40"/>
      <c r="BZ363" s="5"/>
      <c r="CB363" s="40"/>
      <c r="CC363" s="5"/>
      <c r="CE363" s="40"/>
      <c r="CF363" s="5"/>
      <c r="CH363" s="40"/>
      <c r="CI363" s="5"/>
      <c r="CK363" s="40"/>
      <c r="CL363" s="5"/>
      <c r="CN363" s="40"/>
      <c r="CO363" s="5"/>
      <c r="CQ363" s="40"/>
      <c r="CR363" s="5"/>
    </row>
    <row r="364">
      <c r="AL364" s="40"/>
      <c r="AM364" s="5"/>
      <c r="AO364" s="40"/>
      <c r="AP364" s="5"/>
      <c r="AR364" s="40"/>
      <c r="AS364" s="5"/>
      <c r="AU364" s="40"/>
      <c r="AV364" s="5"/>
      <c r="AX364" s="40"/>
      <c r="AY364" s="5"/>
      <c r="BA364" s="40"/>
      <c r="BB364" s="5"/>
      <c r="BD364" s="40"/>
      <c r="BE364" s="5"/>
      <c r="BG364" s="40"/>
      <c r="BH364" s="5"/>
      <c r="BJ364" s="40"/>
      <c r="BK364" s="5"/>
      <c r="BM364" s="40"/>
      <c r="BN364" s="5"/>
      <c r="BP364" s="40"/>
      <c r="BQ364" s="5"/>
      <c r="BS364" s="40"/>
      <c r="BT364" s="5"/>
      <c r="BV364" s="40"/>
      <c r="BW364" s="5"/>
      <c r="BY364" s="40"/>
      <c r="BZ364" s="5"/>
      <c r="CB364" s="40"/>
      <c r="CC364" s="5"/>
      <c r="CE364" s="40"/>
      <c r="CF364" s="5"/>
      <c r="CH364" s="40"/>
      <c r="CI364" s="5"/>
      <c r="CK364" s="40"/>
      <c r="CL364" s="5"/>
      <c r="CN364" s="40"/>
      <c r="CO364" s="5"/>
      <c r="CQ364" s="40"/>
      <c r="CR364" s="5"/>
    </row>
    <row r="365">
      <c r="AL365" s="40"/>
      <c r="AM365" s="5"/>
      <c r="AO365" s="40"/>
      <c r="AP365" s="5"/>
      <c r="AR365" s="40"/>
      <c r="AS365" s="5"/>
      <c r="AU365" s="40"/>
      <c r="AV365" s="5"/>
      <c r="AX365" s="40"/>
      <c r="AY365" s="5"/>
      <c r="BA365" s="40"/>
      <c r="BB365" s="5"/>
      <c r="BD365" s="40"/>
      <c r="BE365" s="5"/>
      <c r="BG365" s="40"/>
      <c r="BH365" s="5"/>
      <c r="BJ365" s="40"/>
      <c r="BK365" s="5"/>
      <c r="BM365" s="40"/>
      <c r="BN365" s="5"/>
      <c r="BP365" s="40"/>
      <c r="BQ365" s="5"/>
      <c r="BS365" s="40"/>
      <c r="BT365" s="5"/>
      <c r="BV365" s="40"/>
      <c r="BW365" s="5"/>
      <c r="BY365" s="40"/>
      <c r="BZ365" s="5"/>
      <c r="CB365" s="40"/>
      <c r="CC365" s="5"/>
      <c r="CE365" s="40"/>
      <c r="CF365" s="5"/>
      <c r="CH365" s="40"/>
      <c r="CI365" s="5"/>
      <c r="CK365" s="40"/>
      <c r="CL365" s="5"/>
      <c r="CN365" s="40"/>
      <c r="CO365" s="5"/>
      <c r="CQ365" s="40"/>
      <c r="CR365" s="5"/>
    </row>
    <row r="366">
      <c r="AL366" s="40"/>
      <c r="AM366" s="5"/>
      <c r="AO366" s="40"/>
      <c r="AP366" s="5"/>
      <c r="AR366" s="40"/>
      <c r="AS366" s="5"/>
      <c r="AU366" s="40"/>
      <c r="AV366" s="5"/>
      <c r="AX366" s="40"/>
      <c r="AY366" s="5"/>
      <c r="BA366" s="40"/>
      <c r="BB366" s="5"/>
      <c r="BD366" s="40"/>
      <c r="BE366" s="5"/>
      <c r="BG366" s="40"/>
      <c r="BH366" s="5"/>
      <c r="BJ366" s="40"/>
      <c r="BK366" s="5"/>
      <c r="BM366" s="40"/>
      <c r="BN366" s="5"/>
      <c r="BP366" s="40"/>
      <c r="BQ366" s="5"/>
      <c r="BS366" s="40"/>
      <c r="BT366" s="5"/>
      <c r="BV366" s="40"/>
      <c r="BW366" s="5"/>
      <c r="BY366" s="40"/>
      <c r="BZ366" s="5"/>
      <c r="CB366" s="40"/>
      <c r="CC366" s="5"/>
      <c r="CE366" s="40"/>
      <c r="CF366" s="5"/>
      <c r="CH366" s="40"/>
      <c r="CI366" s="5"/>
      <c r="CK366" s="40"/>
      <c r="CL366" s="5"/>
      <c r="CN366" s="40"/>
      <c r="CO366" s="5"/>
      <c r="CQ366" s="40"/>
      <c r="CR366" s="5"/>
    </row>
    <row r="367">
      <c r="AL367" s="40"/>
      <c r="AM367" s="5"/>
      <c r="AO367" s="40"/>
      <c r="AP367" s="5"/>
      <c r="AR367" s="40"/>
      <c r="AS367" s="5"/>
      <c r="AU367" s="40"/>
      <c r="AV367" s="5"/>
      <c r="AX367" s="40"/>
      <c r="AY367" s="5"/>
      <c r="BA367" s="40"/>
      <c r="BB367" s="5"/>
      <c r="BD367" s="40"/>
      <c r="BE367" s="5"/>
      <c r="BG367" s="40"/>
      <c r="BH367" s="5"/>
      <c r="BJ367" s="40"/>
      <c r="BK367" s="5"/>
      <c r="BM367" s="40"/>
      <c r="BN367" s="5"/>
      <c r="BP367" s="40"/>
      <c r="BQ367" s="5"/>
      <c r="BS367" s="40"/>
      <c r="BT367" s="5"/>
      <c r="BV367" s="40"/>
      <c r="BW367" s="5"/>
      <c r="BY367" s="40"/>
      <c r="BZ367" s="5"/>
      <c r="CB367" s="40"/>
      <c r="CC367" s="5"/>
      <c r="CE367" s="40"/>
      <c r="CF367" s="5"/>
      <c r="CH367" s="40"/>
      <c r="CI367" s="5"/>
      <c r="CK367" s="40"/>
      <c r="CL367" s="5"/>
      <c r="CN367" s="40"/>
      <c r="CO367" s="5"/>
      <c r="CQ367" s="40"/>
      <c r="CR367" s="5"/>
    </row>
    <row r="368">
      <c r="AL368" s="40"/>
      <c r="AM368" s="5"/>
      <c r="AO368" s="40"/>
      <c r="AP368" s="5"/>
      <c r="AR368" s="40"/>
      <c r="AS368" s="5"/>
      <c r="AU368" s="40"/>
      <c r="AV368" s="5"/>
      <c r="AX368" s="40"/>
      <c r="AY368" s="5"/>
      <c r="BA368" s="40"/>
      <c r="BB368" s="5"/>
      <c r="BD368" s="40"/>
      <c r="BE368" s="5"/>
      <c r="BG368" s="40"/>
      <c r="BH368" s="5"/>
      <c r="BJ368" s="40"/>
      <c r="BK368" s="5"/>
      <c r="BM368" s="40"/>
      <c r="BN368" s="5"/>
      <c r="BP368" s="40"/>
      <c r="BQ368" s="5"/>
      <c r="BS368" s="40"/>
      <c r="BT368" s="5"/>
      <c r="BV368" s="40"/>
      <c r="BW368" s="5"/>
      <c r="BY368" s="40"/>
      <c r="BZ368" s="5"/>
      <c r="CB368" s="40"/>
      <c r="CC368" s="5"/>
      <c r="CE368" s="40"/>
      <c r="CF368" s="5"/>
      <c r="CH368" s="40"/>
      <c r="CI368" s="5"/>
      <c r="CK368" s="40"/>
      <c r="CL368" s="5"/>
      <c r="CN368" s="40"/>
      <c r="CO368" s="5"/>
      <c r="CQ368" s="40"/>
      <c r="CR368" s="5"/>
    </row>
    <row r="369">
      <c r="AL369" s="40"/>
      <c r="AM369" s="5"/>
      <c r="AO369" s="40"/>
      <c r="AP369" s="5"/>
      <c r="AR369" s="40"/>
      <c r="AS369" s="5"/>
      <c r="AU369" s="40"/>
      <c r="AV369" s="5"/>
      <c r="AX369" s="40"/>
      <c r="AY369" s="5"/>
      <c r="BA369" s="40"/>
      <c r="BB369" s="5"/>
      <c r="BD369" s="40"/>
      <c r="BE369" s="5"/>
      <c r="BG369" s="40"/>
      <c r="BH369" s="5"/>
      <c r="BJ369" s="40"/>
      <c r="BK369" s="5"/>
      <c r="BM369" s="40"/>
      <c r="BN369" s="5"/>
      <c r="BP369" s="40"/>
      <c r="BQ369" s="5"/>
      <c r="BS369" s="40"/>
      <c r="BT369" s="5"/>
      <c r="BV369" s="40"/>
      <c r="BW369" s="5"/>
      <c r="BY369" s="40"/>
      <c r="BZ369" s="5"/>
      <c r="CB369" s="40"/>
      <c r="CC369" s="5"/>
      <c r="CE369" s="40"/>
      <c r="CF369" s="5"/>
      <c r="CH369" s="40"/>
      <c r="CI369" s="5"/>
      <c r="CK369" s="40"/>
      <c r="CL369" s="5"/>
      <c r="CN369" s="40"/>
      <c r="CO369" s="5"/>
      <c r="CQ369" s="40"/>
      <c r="CR369" s="5"/>
    </row>
    <row r="370">
      <c r="AL370" s="40"/>
      <c r="AM370" s="5"/>
      <c r="AO370" s="40"/>
      <c r="AP370" s="5"/>
      <c r="AR370" s="40"/>
      <c r="AS370" s="5"/>
      <c r="AU370" s="40"/>
      <c r="AV370" s="5"/>
      <c r="AX370" s="40"/>
      <c r="AY370" s="5"/>
      <c r="BA370" s="40"/>
      <c r="BB370" s="5"/>
      <c r="BD370" s="40"/>
      <c r="BE370" s="5"/>
      <c r="BG370" s="40"/>
      <c r="BH370" s="5"/>
      <c r="BJ370" s="40"/>
      <c r="BK370" s="5"/>
      <c r="BM370" s="40"/>
      <c r="BN370" s="5"/>
      <c r="BP370" s="40"/>
      <c r="BQ370" s="5"/>
      <c r="BS370" s="40"/>
      <c r="BT370" s="5"/>
      <c r="BV370" s="40"/>
      <c r="BW370" s="5"/>
      <c r="BY370" s="40"/>
      <c r="BZ370" s="5"/>
      <c r="CB370" s="40"/>
      <c r="CC370" s="5"/>
      <c r="CE370" s="40"/>
      <c r="CF370" s="5"/>
      <c r="CH370" s="40"/>
      <c r="CI370" s="5"/>
      <c r="CK370" s="40"/>
      <c r="CL370" s="5"/>
      <c r="CN370" s="40"/>
      <c r="CO370" s="5"/>
      <c r="CQ370" s="40"/>
      <c r="CR370" s="5"/>
    </row>
    <row r="371">
      <c r="AL371" s="40"/>
      <c r="AM371" s="5"/>
      <c r="AO371" s="40"/>
      <c r="AP371" s="5"/>
      <c r="AR371" s="40"/>
      <c r="AS371" s="5"/>
      <c r="AU371" s="40"/>
      <c r="AV371" s="5"/>
      <c r="AX371" s="40"/>
      <c r="AY371" s="5"/>
      <c r="BA371" s="40"/>
      <c r="BB371" s="5"/>
      <c r="BD371" s="40"/>
      <c r="BE371" s="5"/>
      <c r="BG371" s="40"/>
      <c r="BH371" s="5"/>
      <c r="BJ371" s="40"/>
      <c r="BK371" s="5"/>
      <c r="BM371" s="40"/>
      <c r="BN371" s="5"/>
      <c r="BP371" s="40"/>
      <c r="BQ371" s="5"/>
      <c r="BS371" s="40"/>
      <c r="BT371" s="5"/>
      <c r="BV371" s="40"/>
      <c r="BW371" s="5"/>
      <c r="BY371" s="40"/>
      <c r="BZ371" s="5"/>
      <c r="CB371" s="40"/>
      <c r="CC371" s="5"/>
      <c r="CE371" s="40"/>
      <c r="CF371" s="5"/>
      <c r="CH371" s="40"/>
      <c r="CI371" s="5"/>
      <c r="CK371" s="40"/>
      <c r="CL371" s="5"/>
      <c r="CN371" s="40"/>
      <c r="CO371" s="5"/>
      <c r="CQ371" s="40"/>
      <c r="CR371" s="5"/>
    </row>
    <row r="372">
      <c r="AL372" s="40"/>
      <c r="AM372" s="5"/>
      <c r="AO372" s="40"/>
      <c r="AP372" s="5"/>
      <c r="AR372" s="40"/>
      <c r="AS372" s="5"/>
      <c r="AU372" s="40"/>
      <c r="AV372" s="5"/>
      <c r="AX372" s="40"/>
      <c r="AY372" s="5"/>
      <c r="BA372" s="40"/>
      <c r="BB372" s="5"/>
      <c r="BD372" s="40"/>
      <c r="BE372" s="5"/>
      <c r="BG372" s="40"/>
      <c r="BH372" s="5"/>
      <c r="BJ372" s="40"/>
      <c r="BK372" s="5"/>
      <c r="BM372" s="40"/>
      <c r="BN372" s="5"/>
      <c r="BP372" s="40"/>
      <c r="BQ372" s="5"/>
      <c r="BS372" s="40"/>
      <c r="BT372" s="5"/>
      <c r="BV372" s="40"/>
      <c r="BW372" s="5"/>
      <c r="BY372" s="40"/>
      <c r="BZ372" s="5"/>
      <c r="CB372" s="40"/>
      <c r="CC372" s="5"/>
      <c r="CE372" s="40"/>
      <c r="CF372" s="5"/>
      <c r="CH372" s="40"/>
      <c r="CI372" s="5"/>
      <c r="CK372" s="40"/>
      <c r="CL372" s="5"/>
      <c r="CN372" s="40"/>
      <c r="CO372" s="5"/>
      <c r="CQ372" s="40"/>
      <c r="CR372" s="5"/>
    </row>
    <row r="373">
      <c r="AL373" s="40"/>
      <c r="AM373" s="5"/>
      <c r="AO373" s="40"/>
      <c r="AP373" s="5"/>
      <c r="AR373" s="40"/>
      <c r="AS373" s="5"/>
      <c r="AU373" s="40"/>
      <c r="AV373" s="5"/>
      <c r="AX373" s="40"/>
      <c r="AY373" s="5"/>
      <c r="BA373" s="40"/>
      <c r="BB373" s="5"/>
      <c r="BD373" s="40"/>
      <c r="BE373" s="5"/>
      <c r="BG373" s="40"/>
      <c r="BH373" s="5"/>
      <c r="BJ373" s="40"/>
      <c r="BK373" s="5"/>
      <c r="BM373" s="40"/>
      <c r="BN373" s="5"/>
      <c r="BP373" s="40"/>
      <c r="BQ373" s="5"/>
      <c r="BS373" s="40"/>
      <c r="BT373" s="5"/>
      <c r="BV373" s="40"/>
      <c r="BW373" s="5"/>
      <c r="BY373" s="40"/>
      <c r="BZ373" s="5"/>
      <c r="CB373" s="40"/>
      <c r="CC373" s="5"/>
      <c r="CE373" s="40"/>
      <c r="CF373" s="5"/>
      <c r="CH373" s="40"/>
      <c r="CI373" s="5"/>
      <c r="CK373" s="40"/>
      <c r="CL373" s="5"/>
      <c r="CN373" s="40"/>
      <c r="CO373" s="5"/>
      <c r="CQ373" s="40"/>
      <c r="CR373" s="5"/>
    </row>
    <row r="374">
      <c r="AL374" s="40"/>
      <c r="AM374" s="5"/>
      <c r="AO374" s="40"/>
      <c r="AP374" s="5"/>
      <c r="AR374" s="40"/>
      <c r="AS374" s="5"/>
      <c r="AU374" s="40"/>
      <c r="AV374" s="5"/>
      <c r="AX374" s="40"/>
      <c r="AY374" s="5"/>
      <c r="BA374" s="40"/>
      <c r="BB374" s="5"/>
      <c r="BD374" s="40"/>
      <c r="BE374" s="5"/>
      <c r="BG374" s="40"/>
      <c r="BH374" s="5"/>
      <c r="BJ374" s="40"/>
      <c r="BK374" s="5"/>
      <c r="BM374" s="40"/>
      <c r="BN374" s="5"/>
      <c r="BP374" s="40"/>
      <c r="BQ374" s="5"/>
      <c r="BS374" s="40"/>
      <c r="BT374" s="5"/>
      <c r="BV374" s="40"/>
      <c r="BW374" s="5"/>
      <c r="BY374" s="40"/>
      <c r="BZ374" s="5"/>
      <c r="CB374" s="40"/>
      <c r="CC374" s="5"/>
      <c r="CE374" s="40"/>
      <c r="CF374" s="5"/>
      <c r="CH374" s="40"/>
      <c r="CI374" s="5"/>
      <c r="CK374" s="40"/>
      <c r="CL374" s="5"/>
      <c r="CN374" s="40"/>
      <c r="CO374" s="5"/>
      <c r="CQ374" s="40"/>
      <c r="CR374" s="5"/>
    </row>
    <row r="375">
      <c r="AL375" s="40"/>
      <c r="AM375" s="5"/>
      <c r="AO375" s="40"/>
      <c r="AP375" s="5"/>
      <c r="AR375" s="40"/>
      <c r="AS375" s="5"/>
      <c r="AU375" s="40"/>
      <c r="AV375" s="5"/>
      <c r="AX375" s="40"/>
      <c r="AY375" s="5"/>
      <c r="BA375" s="40"/>
      <c r="BB375" s="5"/>
      <c r="BD375" s="40"/>
      <c r="BE375" s="5"/>
      <c r="BG375" s="40"/>
      <c r="BH375" s="5"/>
      <c r="BJ375" s="40"/>
      <c r="BK375" s="5"/>
      <c r="BM375" s="40"/>
      <c r="BN375" s="5"/>
      <c r="BP375" s="40"/>
      <c r="BQ375" s="5"/>
      <c r="BS375" s="40"/>
      <c r="BT375" s="5"/>
      <c r="BV375" s="40"/>
      <c r="BW375" s="5"/>
      <c r="BY375" s="40"/>
      <c r="BZ375" s="5"/>
      <c r="CB375" s="40"/>
      <c r="CC375" s="5"/>
      <c r="CE375" s="40"/>
      <c r="CF375" s="5"/>
      <c r="CH375" s="40"/>
      <c r="CI375" s="5"/>
      <c r="CK375" s="40"/>
      <c r="CL375" s="5"/>
      <c r="CN375" s="40"/>
      <c r="CO375" s="5"/>
      <c r="CQ375" s="40"/>
      <c r="CR375" s="5"/>
    </row>
    <row r="376">
      <c r="AL376" s="40"/>
      <c r="AM376" s="5"/>
      <c r="AO376" s="40"/>
      <c r="AP376" s="5"/>
      <c r="AR376" s="40"/>
      <c r="AS376" s="5"/>
      <c r="AU376" s="40"/>
      <c r="AV376" s="5"/>
      <c r="AX376" s="40"/>
      <c r="AY376" s="5"/>
      <c r="BA376" s="40"/>
      <c r="BB376" s="5"/>
      <c r="BD376" s="40"/>
      <c r="BE376" s="5"/>
      <c r="BG376" s="40"/>
      <c r="BH376" s="5"/>
      <c r="BJ376" s="40"/>
      <c r="BK376" s="5"/>
      <c r="BM376" s="40"/>
      <c r="BN376" s="5"/>
      <c r="BP376" s="40"/>
      <c r="BQ376" s="5"/>
      <c r="BS376" s="40"/>
      <c r="BT376" s="5"/>
      <c r="BV376" s="40"/>
      <c r="BW376" s="5"/>
      <c r="BY376" s="40"/>
      <c r="BZ376" s="5"/>
      <c r="CB376" s="40"/>
      <c r="CC376" s="5"/>
      <c r="CE376" s="40"/>
      <c r="CF376" s="5"/>
      <c r="CH376" s="40"/>
      <c r="CI376" s="5"/>
      <c r="CK376" s="40"/>
      <c r="CL376" s="5"/>
      <c r="CN376" s="40"/>
      <c r="CO376" s="5"/>
      <c r="CQ376" s="40"/>
      <c r="CR376" s="5"/>
    </row>
    <row r="377">
      <c r="AL377" s="40"/>
      <c r="AM377" s="5"/>
      <c r="AO377" s="40"/>
      <c r="AP377" s="5"/>
      <c r="AR377" s="40"/>
      <c r="AS377" s="5"/>
      <c r="AU377" s="40"/>
      <c r="AV377" s="5"/>
      <c r="AX377" s="40"/>
      <c r="AY377" s="5"/>
      <c r="BA377" s="40"/>
      <c r="BB377" s="5"/>
      <c r="BD377" s="40"/>
      <c r="BE377" s="5"/>
      <c r="BG377" s="40"/>
      <c r="BH377" s="5"/>
      <c r="BJ377" s="40"/>
      <c r="BK377" s="5"/>
      <c r="BM377" s="40"/>
      <c r="BN377" s="5"/>
      <c r="BP377" s="40"/>
      <c r="BQ377" s="5"/>
      <c r="BS377" s="40"/>
      <c r="BT377" s="5"/>
      <c r="BV377" s="40"/>
      <c r="BW377" s="5"/>
      <c r="BY377" s="40"/>
      <c r="BZ377" s="5"/>
      <c r="CB377" s="40"/>
      <c r="CC377" s="5"/>
      <c r="CE377" s="40"/>
      <c r="CF377" s="5"/>
      <c r="CH377" s="40"/>
      <c r="CI377" s="5"/>
      <c r="CK377" s="40"/>
      <c r="CL377" s="5"/>
      <c r="CN377" s="40"/>
      <c r="CO377" s="5"/>
      <c r="CQ377" s="40"/>
      <c r="CR377" s="5"/>
    </row>
    <row r="378">
      <c r="AL378" s="40"/>
      <c r="AM378" s="5"/>
      <c r="AO378" s="40"/>
      <c r="AP378" s="5"/>
      <c r="AR378" s="40"/>
      <c r="AS378" s="5"/>
      <c r="AU378" s="40"/>
      <c r="AV378" s="5"/>
      <c r="AX378" s="40"/>
      <c r="AY378" s="5"/>
      <c r="BA378" s="40"/>
      <c r="BB378" s="5"/>
      <c r="BD378" s="40"/>
      <c r="BE378" s="5"/>
      <c r="BG378" s="40"/>
      <c r="BH378" s="5"/>
      <c r="BJ378" s="40"/>
      <c r="BK378" s="5"/>
      <c r="BM378" s="40"/>
      <c r="BN378" s="5"/>
      <c r="BP378" s="40"/>
      <c r="BQ378" s="5"/>
      <c r="BS378" s="40"/>
      <c r="BT378" s="5"/>
      <c r="BV378" s="40"/>
      <c r="BW378" s="5"/>
      <c r="BY378" s="40"/>
      <c r="BZ378" s="5"/>
      <c r="CB378" s="40"/>
      <c r="CC378" s="5"/>
      <c r="CE378" s="40"/>
      <c r="CF378" s="5"/>
      <c r="CH378" s="40"/>
      <c r="CI378" s="5"/>
      <c r="CK378" s="40"/>
      <c r="CL378" s="5"/>
      <c r="CN378" s="40"/>
      <c r="CO378" s="5"/>
      <c r="CQ378" s="40"/>
      <c r="CR378" s="5"/>
    </row>
    <row r="379">
      <c r="AL379" s="40"/>
      <c r="AM379" s="5"/>
      <c r="AO379" s="40"/>
      <c r="AP379" s="5"/>
      <c r="AR379" s="40"/>
      <c r="AS379" s="5"/>
      <c r="AU379" s="40"/>
      <c r="AV379" s="5"/>
      <c r="AX379" s="40"/>
      <c r="AY379" s="5"/>
      <c r="BA379" s="40"/>
      <c r="BB379" s="5"/>
      <c r="BD379" s="40"/>
      <c r="BE379" s="5"/>
      <c r="BG379" s="40"/>
      <c r="BH379" s="5"/>
      <c r="BJ379" s="40"/>
      <c r="BK379" s="5"/>
      <c r="BM379" s="40"/>
      <c r="BN379" s="5"/>
      <c r="BP379" s="40"/>
      <c r="BQ379" s="5"/>
      <c r="BS379" s="40"/>
      <c r="BT379" s="5"/>
      <c r="BV379" s="40"/>
      <c r="BW379" s="5"/>
      <c r="BY379" s="40"/>
      <c r="BZ379" s="5"/>
      <c r="CB379" s="40"/>
      <c r="CC379" s="5"/>
      <c r="CE379" s="40"/>
      <c r="CF379" s="5"/>
      <c r="CH379" s="40"/>
      <c r="CI379" s="5"/>
      <c r="CK379" s="40"/>
      <c r="CL379" s="5"/>
      <c r="CN379" s="40"/>
      <c r="CO379" s="5"/>
      <c r="CQ379" s="40"/>
      <c r="CR379" s="5"/>
    </row>
    <row r="380">
      <c r="AL380" s="40"/>
      <c r="AM380" s="5"/>
      <c r="AO380" s="40"/>
      <c r="AP380" s="5"/>
      <c r="AR380" s="40"/>
      <c r="AS380" s="5"/>
      <c r="AU380" s="40"/>
      <c r="AV380" s="5"/>
      <c r="AX380" s="40"/>
      <c r="AY380" s="5"/>
      <c r="BA380" s="40"/>
      <c r="BB380" s="5"/>
      <c r="BD380" s="40"/>
      <c r="BE380" s="5"/>
      <c r="BG380" s="40"/>
      <c r="BH380" s="5"/>
      <c r="BJ380" s="40"/>
      <c r="BK380" s="5"/>
      <c r="BM380" s="40"/>
      <c r="BN380" s="5"/>
      <c r="BP380" s="40"/>
      <c r="BQ380" s="5"/>
      <c r="BS380" s="40"/>
      <c r="BT380" s="5"/>
      <c r="BV380" s="40"/>
      <c r="BW380" s="5"/>
      <c r="BY380" s="40"/>
      <c r="BZ380" s="5"/>
      <c r="CB380" s="40"/>
      <c r="CC380" s="5"/>
      <c r="CE380" s="40"/>
      <c r="CF380" s="5"/>
      <c r="CH380" s="40"/>
      <c r="CI380" s="5"/>
      <c r="CK380" s="40"/>
      <c r="CL380" s="5"/>
      <c r="CN380" s="40"/>
      <c r="CO380" s="5"/>
      <c r="CQ380" s="40"/>
      <c r="CR380" s="5"/>
    </row>
    <row r="381">
      <c r="AL381" s="40"/>
      <c r="AM381" s="5"/>
      <c r="AO381" s="40"/>
      <c r="AP381" s="5"/>
      <c r="AR381" s="40"/>
      <c r="AS381" s="5"/>
      <c r="AU381" s="40"/>
      <c r="AV381" s="5"/>
      <c r="AX381" s="40"/>
      <c r="AY381" s="5"/>
      <c r="BA381" s="40"/>
      <c r="BB381" s="5"/>
      <c r="BD381" s="40"/>
      <c r="BE381" s="5"/>
      <c r="BG381" s="40"/>
      <c r="BH381" s="5"/>
      <c r="BJ381" s="40"/>
      <c r="BK381" s="5"/>
      <c r="BM381" s="40"/>
      <c r="BN381" s="5"/>
      <c r="BP381" s="40"/>
      <c r="BQ381" s="5"/>
      <c r="BS381" s="40"/>
      <c r="BT381" s="5"/>
      <c r="BV381" s="40"/>
      <c r="BW381" s="5"/>
      <c r="BY381" s="40"/>
      <c r="BZ381" s="5"/>
      <c r="CB381" s="40"/>
      <c r="CC381" s="5"/>
      <c r="CE381" s="40"/>
      <c r="CF381" s="5"/>
      <c r="CH381" s="40"/>
      <c r="CI381" s="5"/>
      <c r="CK381" s="40"/>
      <c r="CL381" s="5"/>
      <c r="CN381" s="40"/>
      <c r="CO381" s="5"/>
      <c r="CQ381" s="40"/>
      <c r="CR381" s="5"/>
    </row>
    <row r="382">
      <c r="AL382" s="40"/>
      <c r="AM382" s="5"/>
      <c r="AO382" s="40"/>
      <c r="AP382" s="5"/>
      <c r="AR382" s="40"/>
      <c r="AS382" s="5"/>
      <c r="AU382" s="40"/>
      <c r="AV382" s="5"/>
      <c r="AX382" s="40"/>
      <c r="AY382" s="5"/>
      <c r="BA382" s="40"/>
      <c r="BB382" s="5"/>
      <c r="BD382" s="40"/>
      <c r="BE382" s="5"/>
      <c r="BG382" s="40"/>
      <c r="BH382" s="5"/>
      <c r="BJ382" s="40"/>
      <c r="BK382" s="5"/>
      <c r="BM382" s="40"/>
      <c r="BN382" s="5"/>
      <c r="BP382" s="40"/>
      <c r="BQ382" s="5"/>
      <c r="BS382" s="40"/>
      <c r="BT382" s="5"/>
      <c r="BV382" s="40"/>
      <c r="BW382" s="5"/>
      <c r="BY382" s="40"/>
      <c r="BZ382" s="5"/>
      <c r="CB382" s="40"/>
      <c r="CC382" s="5"/>
      <c r="CE382" s="40"/>
      <c r="CF382" s="5"/>
      <c r="CH382" s="40"/>
      <c r="CI382" s="5"/>
      <c r="CK382" s="40"/>
      <c r="CL382" s="5"/>
      <c r="CN382" s="40"/>
      <c r="CO382" s="5"/>
      <c r="CQ382" s="40"/>
      <c r="CR382" s="5"/>
    </row>
    <row r="383">
      <c r="AL383" s="40"/>
      <c r="AM383" s="5"/>
      <c r="AO383" s="40"/>
      <c r="AP383" s="5"/>
      <c r="AR383" s="40"/>
      <c r="AS383" s="5"/>
      <c r="AU383" s="40"/>
      <c r="AV383" s="5"/>
      <c r="AX383" s="40"/>
      <c r="AY383" s="5"/>
      <c r="BA383" s="40"/>
      <c r="BB383" s="5"/>
      <c r="BD383" s="40"/>
      <c r="BE383" s="5"/>
      <c r="BG383" s="40"/>
      <c r="BH383" s="5"/>
      <c r="BJ383" s="40"/>
      <c r="BK383" s="5"/>
      <c r="BM383" s="40"/>
      <c r="BN383" s="5"/>
      <c r="BP383" s="40"/>
      <c r="BQ383" s="5"/>
      <c r="BS383" s="40"/>
      <c r="BT383" s="5"/>
      <c r="BV383" s="40"/>
      <c r="BW383" s="5"/>
      <c r="BY383" s="40"/>
      <c r="BZ383" s="5"/>
      <c r="CB383" s="40"/>
      <c r="CC383" s="5"/>
      <c r="CE383" s="40"/>
      <c r="CF383" s="5"/>
      <c r="CH383" s="40"/>
      <c r="CI383" s="5"/>
      <c r="CK383" s="40"/>
      <c r="CL383" s="5"/>
      <c r="CN383" s="40"/>
      <c r="CO383" s="5"/>
      <c r="CQ383" s="40"/>
      <c r="CR383" s="5"/>
    </row>
    <row r="384">
      <c r="AL384" s="40"/>
      <c r="AM384" s="5"/>
      <c r="AO384" s="40"/>
      <c r="AP384" s="5"/>
      <c r="AR384" s="40"/>
      <c r="AS384" s="5"/>
      <c r="AU384" s="40"/>
      <c r="AV384" s="5"/>
      <c r="AX384" s="40"/>
      <c r="AY384" s="5"/>
      <c r="BA384" s="40"/>
      <c r="BB384" s="5"/>
      <c r="BD384" s="40"/>
      <c r="BE384" s="5"/>
      <c r="BG384" s="40"/>
      <c r="BH384" s="5"/>
      <c r="BJ384" s="40"/>
      <c r="BK384" s="5"/>
      <c r="BM384" s="40"/>
      <c r="BN384" s="5"/>
      <c r="BP384" s="40"/>
      <c r="BQ384" s="5"/>
      <c r="BS384" s="40"/>
      <c r="BT384" s="5"/>
      <c r="BV384" s="40"/>
      <c r="BW384" s="5"/>
      <c r="BY384" s="40"/>
      <c r="BZ384" s="5"/>
      <c r="CB384" s="40"/>
      <c r="CC384" s="5"/>
      <c r="CE384" s="40"/>
      <c r="CF384" s="5"/>
      <c r="CH384" s="40"/>
      <c r="CI384" s="5"/>
      <c r="CK384" s="40"/>
      <c r="CL384" s="5"/>
      <c r="CN384" s="40"/>
      <c r="CO384" s="5"/>
      <c r="CQ384" s="40"/>
      <c r="CR384" s="5"/>
    </row>
    <row r="385">
      <c r="AL385" s="40"/>
      <c r="AM385" s="5"/>
      <c r="AO385" s="40"/>
      <c r="AP385" s="5"/>
      <c r="AR385" s="40"/>
      <c r="AS385" s="5"/>
      <c r="AU385" s="40"/>
      <c r="AV385" s="5"/>
      <c r="AX385" s="40"/>
      <c r="AY385" s="5"/>
      <c r="BA385" s="40"/>
      <c r="BB385" s="5"/>
      <c r="BD385" s="40"/>
      <c r="BE385" s="5"/>
      <c r="BG385" s="40"/>
      <c r="BH385" s="5"/>
      <c r="BJ385" s="40"/>
      <c r="BK385" s="5"/>
      <c r="BM385" s="40"/>
      <c r="BN385" s="5"/>
      <c r="BP385" s="40"/>
      <c r="BQ385" s="5"/>
      <c r="BS385" s="40"/>
      <c r="BT385" s="5"/>
      <c r="BV385" s="40"/>
      <c r="BW385" s="5"/>
      <c r="BY385" s="40"/>
      <c r="BZ385" s="5"/>
      <c r="CB385" s="40"/>
      <c r="CC385" s="5"/>
      <c r="CE385" s="40"/>
      <c r="CF385" s="5"/>
      <c r="CH385" s="40"/>
      <c r="CI385" s="5"/>
      <c r="CK385" s="40"/>
      <c r="CL385" s="5"/>
      <c r="CN385" s="40"/>
      <c r="CO385" s="5"/>
      <c r="CQ385" s="40"/>
      <c r="CR385" s="5"/>
    </row>
    <row r="386">
      <c r="AL386" s="40"/>
      <c r="AM386" s="5"/>
      <c r="AO386" s="40"/>
      <c r="AP386" s="5"/>
      <c r="AR386" s="40"/>
      <c r="AS386" s="5"/>
      <c r="AU386" s="40"/>
      <c r="AV386" s="5"/>
      <c r="AX386" s="40"/>
      <c r="AY386" s="5"/>
      <c r="BA386" s="40"/>
      <c r="BB386" s="5"/>
      <c r="BD386" s="40"/>
      <c r="BE386" s="5"/>
      <c r="BG386" s="40"/>
      <c r="BH386" s="5"/>
      <c r="BJ386" s="40"/>
      <c r="BK386" s="5"/>
      <c r="BM386" s="40"/>
      <c r="BN386" s="5"/>
      <c r="BP386" s="40"/>
      <c r="BQ386" s="5"/>
      <c r="BS386" s="40"/>
      <c r="BT386" s="5"/>
      <c r="BV386" s="40"/>
      <c r="BW386" s="5"/>
      <c r="BY386" s="40"/>
      <c r="BZ386" s="5"/>
      <c r="CB386" s="40"/>
      <c r="CC386" s="5"/>
      <c r="CE386" s="40"/>
      <c r="CF386" s="5"/>
      <c r="CH386" s="40"/>
      <c r="CI386" s="5"/>
      <c r="CK386" s="40"/>
      <c r="CL386" s="5"/>
      <c r="CN386" s="40"/>
      <c r="CO386" s="5"/>
      <c r="CQ386" s="40"/>
      <c r="CR386" s="5"/>
    </row>
    <row r="387">
      <c r="AL387" s="40"/>
      <c r="AM387" s="5"/>
      <c r="AO387" s="40"/>
      <c r="AP387" s="5"/>
      <c r="AR387" s="40"/>
      <c r="AS387" s="5"/>
      <c r="AU387" s="40"/>
      <c r="AV387" s="5"/>
      <c r="AX387" s="40"/>
      <c r="AY387" s="5"/>
      <c r="BA387" s="40"/>
      <c r="BB387" s="5"/>
      <c r="BD387" s="40"/>
      <c r="BE387" s="5"/>
      <c r="BG387" s="40"/>
      <c r="BH387" s="5"/>
      <c r="BJ387" s="40"/>
      <c r="BK387" s="5"/>
      <c r="BM387" s="40"/>
      <c r="BN387" s="5"/>
      <c r="BP387" s="40"/>
      <c r="BQ387" s="5"/>
      <c r="BS387" s="40"/>
      <c r="BT387" s="5"/>
      <c r="BV387" s="40"/>
      <c r="BW387" s="5"/>
      <c r="BY387" s="40"/>
      <c r="BZ387" s="5"/>
      <c r="CB387" s="40"/>
      <c r="CC387" s="5"/>
      <c r="CE387" s="40"/>
      <c r="CF387" s="5"/>
      <c r="CH387" s="40"/>
      <c r="CI387" s="5"/>
      <c r="CK387" s="40"/>
      <c r="CL387" s="5"/>
      <c r="CN387" s="40"/>
      <c r="CO387" s="5"/>
      <c r="CQ387" s="40"/>
      <c r="CR387" s="5"/>
    </row>
    <row r="388">
      <c r="AL388" s="40"/>
      <c r="AM388" s="5"/>
      <c r="AO388" s="40"/>
      <c r="AP388" s="5"/>
      <c r="AR388" s="40"/>
      <c r="AS388" s="5"/>
      <c r="AU388" s="40"/>
      <c r="AV388" s="5"/>
      <c r="AX388" s="40"/>
      <c r="AY388" s="5"/>
      <c r="BA388" s="40"/>
      <c r="BB388" s="5"/>
      <c r="BD388" s="40"/>
      <c r="BE388" s="5"/>
      <c r="BG388" s="40"/>
      <c r="BH388" s="5"/>
      <c r="BJ388" s="40"/>
      <c r="BK388" s="5"/>
      <c r="BM388" s="40"/>
      <c r="BN388" s="5"/>
      <c r="BP388" s="40"/>
      <c r="BQ388" s="5"/>
      <c r="BS388" s="40"/>
      <c r="BT388" s="5"/>
      <c r="BV388" s="40"/>
      <c r="BW388" s="5"/>
      <c r="BY388" s="40"/>
      <c r="BZ388" s="5"/>
      <c r="CB388" s="40"/>
      <c r="CC388" s="5"/>
      <c r="CE388" s="40"/>
      <c r="CF388" s="5"/>
      <c r="CH388" s="40"/>
      <c r="CI388" s="5"/>
      <c r="CK388" s="40"/>
      <c r="CL388" s="5"/>
      <c r="CN388" s="40"/>
      <c r="CO388" s="5"/>
      <c r="CQ388" s="40"/>
      <c r="CR388" s="5"/>
    </row>
    <row r="389">
      <c r="AL389" s="40"/>
      <c r="AM389" s="5"/>
      <c r="AO389" s="40"/>
      <c r="AP389" s="5"/>
      <c r="AR389" s="40"/>
      <c r="AS389" s="5"/>
      <c r="AU389" s="40"/>
      <c r="AV389" s="5"/>
      <c r="AX389" s="40"/>
      <c r="AY389" s="5"/>
      <c r="BA389" s="40"/>
      <c r="BB389" s="5"/>
      <c r="BD389" s="40"/>
      <c r="BE389" s="5"/>
      <c r="BG389" s="40"/>
      <c r="BH389" s="5"/>
      <c r="BJ389" s="40"/>
      <c r="BK389" s="5"/>
      <c r="BM389" s="40"/>
      <c r="BN389" s="5"/>
      <c r="BP389" s="40"/>
      <c r="BQ389" s="5"/>
      <c r="BS389" s="40"/>
      <c r="BT389" s="5"/>
      <c r="BV389" s="40"/>
      <c r="BW389" s="5"/>
      <c r="BY389" s="40"/>
      <c r="BZ389" s="5"/>
      <c r="CB389" s="40"/>
      <c r="CC389" s="5"/>
      <c r="CE389" s="40"/>
      <c r="CF389" s="5"/>
      <c r="CH389" s="40"/>
      <c r="CI389" s="5"/>
      <c r="CK389" s="40"/>
      <c r="CL389" s="5"/>
      <c r="CN389" s="40"/>
      <c r="CO389" s="5"/>
      <c r="CQ389" s="40"/>
      <c r="CR389" s="5"/>
    </row>
    <row r="390">
      <c r="AL390" s="40"/>
      <c r="AM390" s="5"/>
      <c r="AO390" s="40"/>
      <c r="AP390" s="5"/>
      <c r="AR390" s="40"/>
      <c r="AS390" s="5"/>
      <c r="AU390" s="40"/>
      <c r="AV390" s="5"/>
      <c r="AX390" s="40"/>
      <c r="AY390" s="5"/>
      <c r="BA390" s="40"/>
      <c r="BB390" s="5"/>
      <c r="BD390" s="40"/>
      <c r="BE390" s="5"/>
      <c r="BG390" s="40"/>
      <c r="BH390" s="5"/>
      <c r="BJ390" s="40"/>
      <c r="BK390" s="5"/>
      <c r="BM390" s="40"/>
      <c r="BN390" s="5"/>
      <c r="BP390" s="40"/>
      <c r="BQ390" s="5"/>
      <c r="BS390" s="40"/>
      <c r="BT390" s="5"/>
      <c r="BV390" s="40"/>
      <c r="BW390" s="5"/>
      <c r="BY390" s="40"/>
      <c r="BZ390" s="5"/>
      <c r="CB390" s="40"/>
      <c r="CC390" s="5"/>
      <c r="CE390" s="40"/>
      <c r="CF390" s="5"/>
      <c r="CH390" s="40"/>
      <c r="CI390" s="5"/>
      <c r="CK390" s="40"/>
      <c r="CL390" s="5"/>
      <c r="CN390" s="40"/>
      <c r="CO390" s="5"/>
      <c r="CQ390" s="40"/>
      <c r="CR390" s="5"/>
    </row>
    <row r="391">
      <c r="AL391" s="40"/>
      <c r="AM391" s="5"/>
      <c r="AO391" s="40"/>
      <c r="AP391" s="5"/>
      <c r="AR391" s="40"/>
      <c r="AS391" s="5"/>
      <c r="AU391" s="40"/>
      <c r="AV391" s="5"/>
      <c r="AX391" s="40"/>
      <c r="AY391" s="5"/>
      <c r="BA391" s="40"/>
      <c r="BB391" s="5"/>
      <c r="BD391" s="40"/>
      <c r="BE391" s="5"/>
      <c r="BG391" s="40"/>
      <c r="BH391" s="5"/>
      <c r="BJ391" s="40"/>
      <c r="BK391" s="5"/>
      <c r="BM391" s="40"/>
      <c r="BN391" s="5"/>
      <c r="BP391" s="40"/>
      <c r="BQ391" s="5"/>
      <c r="BS391" s="40"/>
      <c r="BT391" s="5"/>
      <c r="BV391" s="40"/>
      <c r="BW391" s="5"/>
      <c r="BY391" s="40"/>
      <c r="BZ391" s="5"/>
      <c r="CB391" s="40"/>
      <c r="CC391" s="5"/>
      <c r="CE391" s="40"/>
      <c r="CF391" s="5"/>
      <c r="CH391" s="40"/>
      <c r="CI391" s="5"/>
      <c r="CK391" s="40"/>
      <c r="CL391" s="5"/>
      <c r="CN391" s="40"/>
      <c r="CO391" s="5"/>
      <c r="CQ391" s="40"/>
      <c r="CR391" s="5"/>
    </row>
    <row r="392">
      <c r="AL392" s="40"/>
      <c r="AM392" s="5"/>
      <c r="AO392" s="40"/>
      <c r="AP392" s="5"/>
      <c r="AR392" s="40"/>
      <c r="AS392" s="5"/>
      <c r="AU392" s="40"/>
      <c r="AV392" s="5"/>
      <c r="AX392" s="40"/>
      <c r="AY392" s="5"/>
      <c r="BA392" s="40"/>
      <c r="BB392" s="5"/>
      <c r="BD392" s="40"/>
      <c r="BE392" s="5"/>
      <c r="BG392" s="40"/>
      <c r="BH392" s="5"/>
      <c r="BJ392" s="40"/>
      <c r="BK392" s="5"/>
      <c r="BM392" s="40"/>
      <c r="BN392" s="5"/>
      <c r="BP392" s="40"/>
      <c r="BQ392" s="5"/>
      <c r="BS392" s="40"/>
      <c r="BT392" s="5"/>
      <c r="BV392" s="40"/>
      <c r="BW392" s="5"/>
      <c r="BY392" s="40"/>
      <c r="BZ392" s="5"/>
      <c r="CB392" s="40"/>
      <c r="CC392" s="5"/>
      <c r="CE392" s="40"/>
      <c r="CF392" s="5"/>
      <c r="CH392" s="40"/>
      <c r="CI392" s="5"/>
      <c r="CK392" s="40"/>
      <c r="CL392" s="5"/>
      <c r="CN392" s="40"/>
      <c r="CO392" s="5"/>
      <c r="CQ392" s="40"/>
      <c r="CR392" s="5"/>
    </row>
    <row r="393">
      <c r="AL393" s="40"/>
      <c r="AM393" s="5"/>
      <c r="AO393" s="40"/>
      <c r="AP393" s="5"/>
      <c r="AR393" s="40"/>
      <c r="AS393" s="5"/>
      <c r="AU393" s="40"/>
      <c r="AV393" s="5"/>
      <c r="AX393" s="40"/>
      <c r="AY393" s="5"/>
      <c r="BA393" s="40"/>
      <c r="BB393" s="5"/>
      <c r="BD393" s="40"/>
      <c r="BE393" s="5"/>
      <c r="BG393" s="40"/>
      <c r="BH393" s="5"/>
      <c r="BJ393" s="40"/>
      <c r="BK393" s="5"/>
      <c r="BM393" s="40"/>
      <c r="BN393" s="5"/>
      <c r="BP393" s="40"/>
      <c r="BQ393" s="5"/>
      <c r="BS393" s="40"/>
      <c r="BT393" s="5"/>
      <c r="BV393" s="40"/>
      <c r="BW393" s="5"/>
      <c r="BY393" s="40"/>
      <c r="BZ393" s="5"/>
      <c r="CB393" s="40"/>
      <c r="CC393" s="5"/>
      <c r="CE393" s="40"/>
      <c r="CF393" s="5"/>
      <c r="CH393" s="40"/>
      <c r="CI393" s="5"/>
      <c r="CK393" s="40"/>
      <c r="CL393" s="5"/>
      <c r="CN393" s="40"/>
      <c r="CO393" s="5"/>
      <c r="CQ393" s="40"/>
      <c r="CR393" s="5"/>
    </row>
    <row r="394">
      <c r="AL394" s="40"/>
      <c r="AM394" s="5"/>
      <c r="AO394" s="40"/>
      <c r="AP394" s="5"/>
      <c r="AR394" s="40"/>
      <c r="AS394" s="5"/>
      <c r="AU394" s="40"/>
      <c r="AV394" s="5"/>
      <c r="AX394" s="40"/>
      <c r="AY394" s="5"/>
      <c r="BA394" s="40"/>
      <c r="BB394" s="5"/>
      <c r="BD394" s="40"/>
      <c r="BE394" s="5"/>
      <c r="BG394" s="40"/>
      <c r="BH394" s="5"/>
      <c r="BJ394" s="40"/>
      <c r="BK394" s="5"/>
      <c r="BM394" s="40"/>
      <c r="BN394" s="5"/>
      <c r="BP394" s="40"/>
      <c r="BQ394" s="5"/>
      <c r="BS394" s="40"/>
      <c r="BT394" s="5"/>
      <c r="BV394" s="40"/>
      <c r="BW394" s="5"/>
      <c r="BY394" s="40"/>
      <c r="BZ394" s="5"/>
      <c r="CB394" s="40"/>
      <c r="CC394" s="5"/>
      <c r="CE394" s="40"/>
      <c r="CF394" s="5"/>
      <c r="CH394" s="40"/>
      <c r="CI394" s="5"/>
      <c r="CK394" s="40"/>
      <c r="CL394" s="5"/>
      <c r="CN394" s="40"/>
      <c r="CO394" s="5"/>
      <c r="CQ394" s="40"/>
      <c r="CR394" s="5"/>
    </row>
    <row r="395">
      <c r="AL395" s="40"/>
      <c r="AM395" s="5"/>
      <c r="AO395" s="40"/>
      <c r="AP395" s="5"/>
      <c r="AR395" s="40"/>
      <c r="AS395" s="5"/>
      <c r="AU395" s="40"/>
      <c r="AV395" s="5"/>
      <c r="AX395" s="40"/>
      <c r="AY395" s="5"/>
      <c r="BA395" s="40"/>
      <c r="BB395" s="5"/>
      <c r="BD395" s="40"/>
      <c r="BE395" s="5"/>
      <c r="BG395" s="40"/>
      <c r="BH395" s="5"/>
      <c r="BJ395" s="40"/>
      <c r="BK395" s="5"/>
      <c r="BM395" s="40"/>
      <c r="BN395" s="5"/>
      <c r="BP395" s="40"/>
      <c r="BQ395" s="5"/>
      <c r="BS395" s="40"/>
      <c r="BT395" s="5"/>
      <c r="BV395" s="40"/>
      <c r="BW395" s="5"/>
      <c r="BY395" s="40"/>
      <c r="BZ395" s="5"/>
      <c r="CB395" s="40"/>
      <c r="CC395" s="5"/>
      <c r="CE395" s="40"/>
      <c r="CF395" s="5"/>
      <c r="CH395" s="40"/>
      <c r="CI395" s="5"/>
      <c r="CK395" s="40"/>
      <c r="CL395" s="5"/>
      <c r="CN395" s="40"/>
      <c r="CO395" s="5"/>
      <c r="CQ395" s="40"/>
      <c r="CR395" s="5"/>
    </row>
    <row r="396">
      <c r="AL396" s="40"/>
      <c r="AM396" s="5"/>
      <c r="AO396" s="40"/>
      <c r="AP396" s="5"/>
      <c r="AR396" s="40"/>
      <c r="AS396" s="5"/>
      <c r="AU396" s="40"/>
      <c r="AV396" s="5"/>
      <c r="AX396" s="40"/>
      <c r="AY396" s="5"/>
      <c r="BA396" s="40"/>
      <c r="BB396" s="5"/>
      <c r="BD396" s="40"/>
      <c r="BE396" s="5"/>
      <c r="BG396" s="40"/>
      <c r="BH396" s="5"/>
      <c r="BJ396" s="40"/>
      <c r="BK396" s="5"/>
      <c r="BM396" s="40"/>
      <c r="BN396" s="5"/>
      <c r="BP396" s="40"/>
      <c r="BQ396" s="5"/>
      <c r="BS396" s="40"/>
      <c r="BT396" s="5"/>
      <c r="BV396" s="40"/>
      <c r="BW396" s="5"/>
      <c r="BY396" s="40"/>
      <c r="BZ396" s="5"/>
      <c r="CB396" s="40"/>
      <c r="CC396" s="5"/>
      <c r="CE396" s="40"/>
      <c r="CF396" s="5"/>
      <c r="CH396" s="40"/>
      <c r="CI396" s="5"/>
      <c r="CK396" s="40"/>
      <c r="CL396" s="5"/>
      <c r="CN396" s="40"/>
      <c r="CO396" s="5"/>
      <c r="CQ396" s="40"/>
      <c r="CR396" s="5"/>
    </row>
    <row r="397">
      <c r="AL397" s="40"/>
      <c r="AM397" s="5"/>
      <c r="AO397" s="40"/>
      <c r="AP397" s="5"/>
      <c r="AR397" s="40"/>
      <c r="AS397" s="5"/>
      <c r="AU397" s="40"/>
      <c r="AV397" s="5"/>
      <c r="AX397" s="40"/>
      <c r="AY397" s="5"/>
      <c r="BA397" s="40"/>
      <c r="BB397" s="5"/>
      <c r="BD397" s="40"/>
      <c r="BE397" s="5"/>
      <c r="BG397" s="40"/>
      <c r="BH397" s="5"/>
      <c r="BJ397" s="40"/>
      <c r="BK397" s="5"/>
      <c r="BM397" s="40"/>
      <c r="BN397" s="5"/>
      <c r="BP397" s="40"/>
      <c r="BQ397" s="5"/>
      <c r="BS397" s="40"/>
      <c r="BT397" s="5"/>
      <c r="BV397" s="40"/>
      <c r="BW397" s="5"/>
      <c r="BY397" s="40"/>
      <c r="BZ397" s="5"/>
      <c r="CB397" s="40"/>
      <c r="CC397" s="5"/>
      <c r="CE397" s="40"/>
      <c r="CF397" s="5"/>
      <c r="CH397" s="40"/>
      <c r="CI397" s="5"/>
      <c r="CK397" s="40"/>
      <c r="CL397" s="5"/>
      <c r="CN397" s="40"/>
      <c r="CO397" s="5"/>
      <c r="CQ397" s="40"/>
      <c r="CR397" s="5"/>
    </row>
    <row r="398">
      <c r="AL398" s="40"/>
      <c r="AM398" s="5"/>
      <c r="AO398" s="40"/>
      <c r="AP398" s="5"/>
      <c r="AR398" s="40"/>
      <c r="AS398" s="5"/>
      <c r="AU398" s="40"/>
      <c r="AV398" s="5"/>
      <c r="AX398" s="40"/>
      <c r="AY398" s="5"/>
      <c r="BA398" s="40"/>
      <c r="BB398" s="5"/>
      <c r="BD398" s="40"/>
      <c r="BE398" s="5"/>
      <c r="BG398" s="40"/>
      <c r="BH398" s="5"/>
      <c r="BJ398" s="40"/>
      <c r="BK398" s="5"/>
      <c r="BM398" s="40"/>
      <c r="BN398" s="5"/>
      <c r="BP398" s="40"/>
      <c r="BQ398" s="5"/>
      <c r="BS398" s="40"/>
      <c r="BT398" s="5"/>
      <c r="BV398" s="40"/>
      <c r="BW398" s="5"/>
      <c r="BY398" s="40"/>
      <c r="BZ398" s="5"/>
      <c r="CB398" s="40"/>
      <c r="CC398" s="5"/>
      <c r="CE398" s="40"/>
      <c r="CF398" s="5"/>
      <c r="CH398" s="40"/>
      <c r="CI398" s="5"/>
      <c r="CK398" s="40"/>
      <c r="CL398" s="5"/>
      <c r="CN398" s="40"/>
      <c r="CO398" s="5"/>
      <c r="CQ398" s="40"/>
      <c r="CR398" s="5"/>
    </row>
    <row r="399">
      <c r="AL399" s="40"/>
      <c r="AM399" s="5"/>
      <c r="AO399" s="40"/>
      <c r="AP399" s="5"/>
      <c r="AR399" s="40"/>
      <c r="AS399" s="5"/>
      <c r="AU399" s="40"/>
      <c r="AV399" s="5"/>
      <c r="AX399" s="40"/>
      <c r="AY399" s="5"/>
      <c r="BA399" s="40"/>
      <c r="BB399" s="5"/>
      <c r="BD399" s="40"/>
      <c r="BE399" s="5"/>
      <c r="BG399" s="40"/>
      <c r="BH399" s="5"/>
      <c r="BJ399" s="40"/>
      <c r="BK399" s="5"/>
      <c r="BM399" s="40"/>
      <c r="BN399" s="5"/>
      <c r="BP399" s="40"/>
      <c r="BQ399" s="5"/>
      <c r="BS399" s="40"/>
      <c r="BT399" s="5"/>
      <c r="BV399" s="40"/>
      <c r="BW399" s="5"/>
      <c r="BY399" s="40"/>
      <c r="BZ399" s="5"/>
      <c r="CB399" s="40"/>
      <c r="CC399" s="5"/>
      <c r="CE399" s="40"/>
      <c r="CF399" s="5"/>
      <c r="CH399" s="40"/>
      <c r="CI399" s="5"/>
      <c r="CK399" s="40"/>
      <c r="CL399" s="5"/>
      <c r="CN399" s="40"/>
      <c r="CO399" s="5"/>
      <c r="CQ399" s="40"/>
      <c r="CR399" s="5"/>
    </row>
    <row r="400">
      <c r="AL400" s="40"/>
      <c r="AM400" s="5"/>
      <c r="AO400" s="40"/>
      <c r="AP400" s="5"/>
      <c r="AR400" s="40"/>
      <c r="AS400" s="5"/>
      <c r="AU400" s="40"/>
      <c r="AV400" s="5"/>
      <c r="AX400" s="40"/>
      <c r="AY400" s="5"/>
      <c r="BA400" s="40"/>
      <c r="BB400" s="5"/>
      <c r="BD400" s="40"/>
      <c r="BE400" s="5"/>
      <c r="BG400" s="40"/>
      <c r="BH400" s="5"/>
      <c r="BJ400" s="40"/>
      <c r="BK400" s="5"/>
      <c r="BM400" s="40"/>
      <c r="BN400" s="5"/>
      <c r="BP400" s="40"/>
      <c r="BQ400" s="5"/>
      <c r="BS400" s="40"/>
      <c r="BT400" s="5"/>
      <c r="BV400" s="40"/>
      <c r="BW400" s="5"/>
      <c r="BY400" s="40"/>
      <c r="BZ400" s="5"/>
      <c r="CB400" s="40"/>
      <c r="CC400" s="5"/>
      <c r="CE400" s="40"/>
      <c r="CF400" s="5"/>
      <c r="CH400" s="40"/>
      <c r="CI400" s="5"/>
      <c r="CK400" s="40"/>
      <c r="CL400" s="5"/>
      <c r="CN400" s="40"/>
      <c r="CO400" s="5"/>
      <c r="CQ400" s="40"/>
      <c r="CR400" s="5"/>
    </row>
    <row r="401">
      <c r="AL401" s="40"/>
      <c r="AM401" s="5"/>
      <c r="AO401" s="40"/>
      <c r="AP401" s="5"/>
      <c r="AR401" s="40"/>
      <c r="AS401" s="5"/>
      <c r="AU401" s="40"/>
      <c r="AV401" s="5"/>
      <c r="AX401" s="40"/>
      <c r="AY401" s="5"/>
      <c r="BA401" s="40"/>
      <c r="BB401" s="5"/>
      <c r="BD401" s="40"/>
      <c r="BE401" s="5"/>
      <c r="BG401" s="40"/>
      <c r="BH401" s="5"/>
      <c r="BJ401" s="40"/>
      <c r="BK401" s="5"/>
      <c r="BM401" s="40"/>
      <c r="BN401" s="5"/>
      <c r="BP401" s="40"/>
      <c r="BQ401" s="5"/>
      <c r="BS401" s="40"/>
      <c r="BT401" s="5"/>
      <c r="BV401" s="40"/>
      <c r="BW401" s="5"/>
      <c r="BY401" s="40"/>
      <c r="BZ401" s="5"/>
      <c r="CB401" s="40"/>
      <c r="CC401" s="5"/>
      <c r="CE401" s="40"/>
      <c r="CF401" s="5"/>
      <c r="CH401" s="40"/>
      <c r="CI401" s="5"/>
      <c r="CK401" s="40"/>
      <c r="CL401" s="5"/>
      <c r="CN401" s="40"/>
      <c r="CO401" s="5"/>
      <c r="CQ401" s="40"/>
      <c r="CR401" s="5"/>
    </row>
    <row r="402">
      <c r="AL402" s="40"/>
      <c r="AM402" s="5"/>
      <c r="AO402" s="40"/>
      <c r="AP402" s="5"/>
      <c r="AR402" s="40"/>
      <c r="AS402" s="5"/>
      <c r="AU402" s="40"/>
      <c r="AV402" s="5"/>
      <c r="AX402" s="40"/>
      <c r="AY402" s="5"/>
      <c r="BA402" s="40"/>
      <c r="BB402" s="5"/>
      <c r="BD402" s="40"/>
      <c r="BE402" s="5"/>
      <c r="BG402" s="40"/>
      <c r="BH402" s="5"/>
      <c r="BJ402" s="40"/>
      <c r="BK402" s="5"/>
      <c r="BM402" s="40"/>
      <c r="BN402" s="5"/>
      <c r="BP402" s="40"/>
      <c r="BQ402" s="5"/>
      <c r="BS402" s="40"/>
      <c r="BT402" s="5"/>
      <c r="BV402" s="40"/>
      <c r="BW402" s="5"/>
      <c r="BY402" s="40"/>
      <c r="BZ402" s="5"/>
      <c r="CB402" s="40"/>
      <c r="CC402" s="5"/>
      <c r="CE402" s="40"/>
      <c r="CF402" s="5"/>
      <c r="CH402" s="40"/>
      <c r="CI402" s="5"/>
      <c r="CK402" s="40"/>
      <c r="CL402" s="5"/>
      <c r="CN402" s="40"/>
      <c r="CO402" s="5"/>
      <c r="CQ402" s="40"/>
      <c r="CR402" s="5"/>
    </row>
    <row r="403">
      <c r="AL403" s="40"/>
      <c r="AM403" s="5"/>
      <c r="AO403" s="40"/>
      <c r="AP403" s="5"/>
      <c r="AR403" s="40"/>
      <c r="AS403" s="5"/>
      <c r="AU403" s="40"/>
      <c r="AV403" s="5"/>
      <c r="AX403" s="40"/>
      <c r="AY403" s="5"/>
      <c r="BA403" s="40"/>
      <c r="BB403" s="5"/>
      <c r="BD403" s="40"/>
      <c r="BE403" s="5"/>
      <c r="BG403" s="40"/>
      <c r="BH403" s="5"/>
      <c r="BJ403" s="40"/>
      <c r="BK403" s="5"/>
      <c r="BM403" s="40"/>
      <c r="BN403" s="5"/>
      <c r="BP403" s="40"/>
      <c r="BQ403" s="5"/>
      <c r="BS403" s="40"/>
      <c r="BT403" s="5"/>
      <c r="BV403" s="40"/>
      <c r="BW403" s="5"/>
      <c r="BY403" s="40"/>
      <c r="BZ403" s="5"/>
      <c r="CB403" s="40"/>
      <c r="CC403" s="5"/>
      <c r="CE403" s="40"/>
      <c r="CF403" s="5"/>
      <c r="CH403" s="40"/>
      <c r="CI403" s="5"/>
      <c r="CK403" s="40"/>
      <c r="CL403" s="5"/>
      <c r="CN403" s="40"/>
      <c r="CO403" s="5"/>
      <c r="CQ403" s="40"/>
      <c r="CR403" s="5"/>
    </row>
    <row r="404">
      <c r="AL404" s="40"/>
      <c r="AM404" s="5"/>
      <c r="AO404" s="40"/>
      <c r="AP404" s="5"/>
      <c r="AR404" s="40"/>
      <c r="AS404" s="5"/>
      <c r="AU404" s="40"/>
      <c r="AV404" s="5"/>
      <c r="AX404" s="40"/>
      <c r="AY404" s="5"/>
      <c r="BA404" s="40"/>
      <c r="BB404" s="5"/>
      <c r="BD404" s="40"/>
      <c r="BE404" s="5"/>
      <c r="BG404" s="40"/>
      <c r="BH404" s="5"/>
      <c r="BJ404" s="40"/>
      <c r="BK404" s="5"/>
      <c r="BM404" s="40"/>
      <c r="BN404" s="5"/>
      <c r="BP404" s="40"/>
      <c r="BQ404" s="5"/>
      <c r="BS404" s="40"/>
      <c r="BT404" s="5"/>
      <c r="BV404" s="40"/>
      <c r="BW404" s="5"/>
      <c r="BY404" s="40"/>
      <c r="BZ404" s="5"/>
      <c r="CB404" s="40"/>
      <c r="CC404" s="5"/>
      <c r="CE404" s="40"/>
      <c r="CF404" s="5"/>
      <c r="CH404" s="40"/>
      <c r="CI404" s="5"/>
      <c r="CK404" s="40"/>
      <c r="CL404" s="5"/>
      <c r="CN404" s="40"/>
      <c r="CO404" s="5"/>
      <c r="CQ404" s="40"/>
      <c r="CR404" s="5"/>
    </row>
    <row r="405">
      <c r="AL405" s="40"/>
      <c r="AM405" s="5"/>
      <c r="AO405" s="40"/>
      <c r="AP405" s="5"/>
      <c r="AR405" s="40"/>
      <c r="AS405" s="5"/>
      <c r="AU405" s="40"/>
      <c r="AV405" s="5"/>
      <c r="AX405" s="40"/>
      <c r="AY405" s="5"/>
      <c r="BA405" s="40"/>
      <c r="BB405" s="5"/>
      <c r="BD405" s="40"/>
      <c r="BE405" s="5"/>
      <c r="BG405" s="40"/>
      <c r="BH405" s="5"/>
      <c r="BJ405" s="40"/>
      <c r="BK405" s="5"/>
      <c r="BM405" s="40"/>
      <c r="BN405" s="5"/>
      <c r="BP405" s="40"/>
      <c r="BQ405" s="5"/>
      <c r="BS405" s="40"/>
      <c r="BT405" s="5"/>
      <c r="BV405" s="40"/>
      <c r="BW405" s="5"/>
      <c r="BY405" s="40"/>
      <c r="BZ405" s="5"/>
      <c r="CB405" s="40"/>
      <c r="CC405" s="5"/>
      <c r="CE405" s="40"/>
      <c r="CF405" s="5"/>
      <c r="CH405" s="40"/>
      <c r="CI405" s="5"/>
      <c r="CK405" s="40"/>
      <c r="CL405" s="5"/>
      <c r="CN405" s="40"/>
      <c r="CO405" s="5"/>
      <c r="CQ405" s="40"/>
      <c r="CR405" s="5"/>
    </row>
    <row r="406">
      <c r="AL406" s="40"/>
      <c r="AM406" s="5"/>
      <c r="AO406" s="40"/>
      <c r="AP406" s="5"/>
      <c r="AR406" s="40"/>
      <c r="AS406" s="5"/>
      <c r="AU406" s="40"/>
      <c r="AV406" s="5"/>
      <c r="AX406" s="40"/>
      <c r="AY406" s="5"/>
      <c r="BA406" s="40"/>
      <c r="BB406" s="5"/>
      <c r="BD406" s="40"/>
      <c r="BE406" s="5"/>
      <c r="BG406" s="40"/>
      <c r="BH406" s="5"/>
      <c r="BJ406" s="40"/>
      <c r="BK406" s="5"/>
      <c r="BM406" s="40"/>
      <c r="BN406" s="5"/>
      <c r="BP406" s="40"/>
      <c r="BQ406" s="5"/>
      <c r="BS406" s="40"/>
      <c r="BT406" s="5"/>
      <c r="BV406" s="40"/>
      <c r="BW406" s="5"/>
      <c r="BY406" s="40"/>
      <c r="BZ406" s="5"/>
      <c r="CB406" s="40"/>
      <c r="CC406" s="5"/>
      <c r="CE406" s="40"/>
      <c r="CF406" s="5"/>
      <c r="CH406" s="40"/>
      <c r="CI406" s="5"/>
      <c r="CK406" s="40"/>
      <c r="CL406" s="5"/>
      <c r="CN406" s="40"/>
      <c r="CO406" s="5"/>
      <c r="CQ406" s="40"/>
      <c r="CR406" s="5"/>
    </row>
    <row r="407">
      <c r="AL407" s="40"/>
      <c r="AM407" s="5"/>
      <c r="AO407" s="40"/>
      <c r="AP407" s="5"/>
      <c r="AR407" s="40"/>
      <c r="AS407" s="5"/>
      <c r="AU407" s="40"/>
      <c r="AV407" s="5"/>
      <c r="AX407" s="40"/>
      <c r="AY407" s="5"/>
      <c r="BA407" s="40"/>
      <c r="BB407" s="5"/>
      <c r="BD407" s="40"/>
      <c r="BE407" s="5"/>
      <c r="BG407" s="40"/>
      <c r="BH407" s="5"/>
      <c r="BJ407" s="40"/>
      <c r="BK407" s="5"/>
      <c r="BM407" s="40"/>
      <c r="BN407" s="5"/>
      <c r="BP407" s="40"/>
      <c r="BQ407" s="5"/>
      <c r="BS407" s="40"/>
      <c r="BT407" s="5"/>
      <c r="BV407" s="40"/>
      <c r="BW407" s="5"/>
      <c r="BY407" s="40"/>
      <c r="BZ407" s="5"/>
      <c r="CB407" s="40"/>
      <c r="CC407" s="5"/>
      <c r="CE407" s="40"/>
      <c r="CF407" s="5"/>
      <c r="CH407" s="40"/>
      <c r="CI407" s="5"/>
      <c r="CK407" s="40"/>
      <c r="CL407" s="5"/>
      <c r="CN407" s="40"/>
      <c r="CO407" s="5"/>
      <c r="CQ407" s="40"/>
      <c r="CR407" s="5"/>
    </row>
    <row r="408">
      <c r="AL408" s="40"/>
      <c r="AM408" s="5"/>
      <c r="AO408" s="40"/>
      <c r="AP408" s="5"/>
      <c r="AR408" s="40"/>
      <c r="AS408" s="5"/>
      <c r="AU408" s="40"/>
      <c r="AV408" s="5"/>
      <c r="AX408" s="40"/>
      <c r="AY408" s="5"/>
      <c r="BA408" s="40"/>
      <c r="BB408" s="5"/>
      <c r="BD408" s="40"/>
      <c r="BE408" s="5"/>
      <c r="BG408" s="40"/>
      <c r="BH408" s="5"/>
      <c r="BJ408" s="40"/>
      <c r="BK408" s="5"/>
      <c r="BM408" s="40"/>
      <c r="BN408" s="5"/>
      <c r="BP408" s="40"/>
      <c r="BQ408" s="5"/>
      <c r="BS408" s="40"/>
      <c r="BT408" s="5"/>
      <c r="BV408" s="40"/>
      <c r="BW408" s="5"/>
      <c r="BY408" s="40"/>
      <c r="BZ408" s="5"/>
      <c r="CB408" s="40"/>
      <c r="CC408" s="5"/>
      <c r="CE408" s="40"/>
      <c r="CF408" s="5"/>
      <c r="CH408" s="40"/>
      <c r="CI408" s="5"/>
      <c r="CK408" s="40"/>
      <c r="CL408" s="5"/>
      <c r="CN408" s="40"/>
      <c r="CO408" s="5"/>
      <c r="CQ408" s="40"/>
      <c r="CR408" s="5"/>
    </row>
    <row r="409">
      <c r="AL409" s="40"/>
      <c r="AM409" s="5"/>
      <c r="AO409" s="40"/>
      <c r="AP409" s="5"/>
      <c r="AR409" s="40"/>
      <c r="AS409" s="5"/>
      <c r="AU409" s="40"/>
      <c r="AV409" s="5"/>
      <c r="AX409" s="40"/>
      <c r="AY409" s="5"/>
      <c r="BA409" s="40"/>
      <c r="BB409" s="5"/>
      <c r="BD409" s="40"/>
      <c r="BE409" s="5"/>
      <c r="BG409" s="40"/>
      <c r="BH409" s="5"/>
      <c r="BJ409" s="40"/>
      <c r="BK409" s="5"/>
      <c r="BM409" s="40"/>
      <c r="BN409" s="5"/>
      <c r="BP409" s="40"/>
      <c r="BQ409" s="5"/>
      <c r="BS409" s="40"/>
      <c r="BT409" s="5"/>
      <c r="BV409" s="40"/>
      <c r="BW409" s="5"/>
      <c r="BY409" s="40"/>
      <c r="BZ409" s="5"/>
      <c r="CB409" s="40"/>
      <c r="CC409" s="5"/>
      <c r="CE409" s="40"/>
      <c r="CF409" s="5"/>
      <c r="CH409" s="40"/>
      <c r="CI409" s="5"/>
      <c r="CK409" s="40"/>
      <c r="CL409" s="5"/>
      <c r="CN409" s="40"/>
      <c r="CO409" s="5"/>
      <c r="CQ409" s="40"/>
      <c r="CR409" s="5"/>
    </row>
    <row r="410">
      <c r="AL410" s="40"/>
      <c r="AM410" s="5"/>
      <c r="AO410" s="40"/>
      <c r="AP410" s="5"/>
      <c r="AR410" s="40"/>
      <c r="AS410" s="5"/>
      <c r="AU410" s="40"/>
      <c r="AV410" s="5"/>
      <c r="AX410" s="40"/>
      <c r="AY410" s="5"/>
      <c r="BA410" s="40"/>
      <c r="BB410" s="5"/>
      <c r="BD410" s="40"/>
      <c r="BE410" s="5"/>
      <c r="BG410" s="40"/>
      <c r="BH410" s="5"/>
      <c r="BJ410" s="40"/>
      <c r="BK410" s="5"/>
      <c r="BM410" s="40"/>
      <c r="BN410" s="5"/>
      <c r="BP410" s="40"/>
      <c r="BQ410" s="5"/>
      <c r="BS410" s="40"/>
      <c r="BT410" s="5"/>
      <c r="BV410" s="40"/>
      <c r="BW410" s="5"/>
      <c r="BY410" s="40"/>
      <c r="BZ410" s="5"/>
      <c r="CB410" s="40"/>
      <c r="CC410" s="5"/>
      <c r="CE410" s="40"/>
      <c r="CF410" s="5"/>
      <c r="CH410" s="40"/>
      <c r="CI410" s="5"/>
      <c r="CK410" s="40"/>
      <c r="CL410" s="5"/>
      <c r="CN410" s="40"/>
      <c r="CO410" s="5"/>
      <c r="CQ410" s="40"/>
      <c r="CR410" s="5"/>
    </row>
    <row r="411">
      <c r="AL411" s="40"/>
      <c r="AM411" s="5"/>
      <c r="AO411" s="40"/>
      <c r="AP411" s="5"/>
      <c r="AR411" s="40"/>
      <c r="AS411" s="5"/>
      <c r="AU411" s="40"/>
      <c r="AV411" s="5"/>
      <c r="AX411" s="40"/>
      <c r="AY411" s="5"/>
      <c r="BA411" s="40"/>
      <c r="BB411" s="5"/>
      <c r="BD411" s="40"/>
      <c r="BE411" s="5"/>
      <c r="BG411" s="40"/>
      <c r="BH411" s="5"/>
      <c r="BJ411" s="40"/>
      <c r="BK411" s="5"/>
      <c r="BM411" s="40"/>
      <c r="BN411" s="5"/>
      <c r="BP411" s="40"/>
      <c r="BQ411" s="5"/>
      <c r="BS411" s="40"/>
      <c r="BT411" s="5"/>
      <c r="BV411" s="40"/>
      <c r="BW411" s="5"/>
      <c r="BY411" s="40"/>
      <c r="BZ411" s="5"/>
      <c r="CB411" s="40"/>
      <c r="CC411" s="5"/>
      <c r="CE411" s="40"/>
      <c r="CF411" s="5"/>
      <c r="CH411" s="40"/>
      <c r="CI411" s="5"/>
      <c r="CK411" s="40"/>
      <c r="CL411" s="5"/>
      <c r="CN411" s="40"/>
      <c r="CO411" s="5"/>
      <c r="CQ411" s="40"/>
      <c r="CR411" s="5"/>
    </row>
    <row r="412">
      <c r="AL412" s="40"/>
      <c r="AM412" s="5"/>
      <c r="AO412" s="40"/>
      <c r="AP412" s="5"/>
      <c r="AR412" s="40"/>
      <c r="AS412" s="5"/>
      <c r="AU412" s="40"/>
      <c r="AV412" s="5"/>
      <c r="AX412" s="40"/>
      <c r="AY412" s="5"/>
      <c r="BA412" s="40"/>
      <c r="BB412" s="5"/>
      <c r="BD412" s="40"/>
      <c r="BE412" s="5"/>
      <c r="BG412" s="40"/>
      <c r="BH412" s="5"/>
      <c r="BJ412" s="40"/>
      <c r="BK412" s="5"/>
      <c r="BM412" s="40"/>
      <c r="BN412" s="5"/>
      <c r="BP412" s="40"/>
      <c r="BQ412" s="5"/>
      <c r="BS412" s="40"/>
      <c r="BT412" s="5"/>
      <c r="BV412" s="40"/>
      <c r="BW412" s="5"/>
      <c r="BY412" s="40"/>
      <c r="BZ412" s="5"/>
      <c r="CB412" s="40"/>
      <c r="CC412" s="5"/>
      <c r="CE412" s="40"/>
      <c r="CF412" s="5"/>
      <c r="CH412" s="40"/>
      <c r="CI412" s="5"/>
      <c r="CK412" s="40"/>
      <c r="CL412" s="5"/>
      <c r="CN412" s="40"/>
      <c r="CO412" s="5"/>
      <c r="CQ412" s="40"/>
      <c r="CR412" s="5"/>
    </row>
    <row r="413">
      <c r="AL413" s="40"/>
      <c r="AM413" s="5"/>
      <c r="AO413" s="40"/>
      <c r="AP413" s="5"/>
      <c r="AR413" s="40"/>
      <c r="AS413" s="5"/>
      <c r="AU413" s="40"/>
      <c r="AV413" s="5"/>
      <c r="AX413" s="40"/>
      <c r="AY413" s="5"/>
      <c r="BA413" s="40"/>
      <c r="BB413" s="5"/>
      <c r="BD413" s="40"/>
      <c r="BE413" s="5"/>
      <c r="BG413" s="40"/>
      <c r="BH413" s="5"/>
      <c r="BJ413" s="40"/>
      <c r="BK413" s="5"/>
      <c r="BM413" s="40"/>
      <c r="BN413" s="5"/>
      <c r="BP413" s="40"/>
      <c r="BQ413" s="5"/>
      <c r="BS413" s="40"/>
      <c r="BT413" s="5"/>
      <c r="BV413" s="40"/>
      <c r="BW413" s="5"/>
      <c r="BY413" s="40"/>
      <c r="BZ413" s="5"/>
      <c r="CB413" s="40"/>
      <c r="CC413" s="5"/>
      <c r="CE413" s="40"/>
      <c r="CF413" s="5"/>
      <c r="CH413" s="40"/>
      <c r="CI413" s="5"/>
      <c r="CK413" s="40"/>
      <c r="CL413" s="5"/>
      <c r="CN413" s="40"/>
      <c r="CO413" s="5"/>
      <c r="CQ413" s="40"/>
      <c r="CR413" s="5"/>
    </row>
    <row r="414">
      <c r="AL414" s="40"/>
      <c r="AM414" s="5"/>
      <c r="AO414" s="40"/>
      <c r="AP414" s="5"/>
      <c r="AR414" s="40"/>
      <c r="AS414" s="5"/>
      <c r="AU414" s="40"/>
      <c r="AV414" s="5"/>
      <c r="AX414" s="40"/>
      <c r="AY414" s="5"/>
      <c r="BA414" s="40"/>
      <c r="BB414" s="5"/>
      <c r="BD414" s="40"/>
      <c r="BE414" s="5"/>
      <c r="BG414" s="40"/>
      <c r="BH414" s="5"/>
      <c r="BJ414" s="40"/>
      <c r="BK414" s="5"/>
      <c r="BM414" s="40"/>
      <c r="BN414" s="5"/>
      <c r="BP414" s="40"/>
      <c r="BQ414" s="5"/>
      <c r="BS414" s="40"/>
      <c r="BT414" s="5"/>
      <c r="BV414" s="40"/>
      <c r="BW414" s="5"/>
      <c r="BY414" s="40"/>
      <c r="BZ414" s="5"/>
      <c r="CB414" s="40"/>
      <c r="CC414" s="5"/>
      <c r="CE414" s="40"/>
      <c r="CF414" s="5"/>
      <c r="CH414" s="40"/>
      <c r="CI414" s="5"/>
      <c r="CK414" s="40"/>
      <c r="CL414" s="5"/>
      <c r="CN414" s="40"/>
      <c r="CO414" s="5"/>
      <c r="CQ414" s="40"/>
      <c r="CR414" s="5"/>
    </row>
    <row r="415">
      <c r="AL415" s="40"/>
      <c r="AM415" s="5"/>
      <c r="AO415" s="40"/>
      <c r="AP415" s="5"/>
      <c r="AR415" s="40"/>
      <c r="AS415" s="5"/>
      <c r="AU415" s="40"/>
      <c r="AV415" s="5"/>
      <c r="AX415" s="40"/>
      <c r="AY415" s="5"/>
      <c r="BA415" s="40"/>
      <c r="BB415" s="5"/>
      <c r="BD415" s="40"/>
      <c r="BE415" s="5"/>
      <c r="BG415" s="40"/>
      <c r="BH415" s="5"/>
      <c r="BJ415" s="40"/>
      <c r="BK415" s="5"/>
      <c r="BM415" s="40"/>
      <c r="BN415" s="5"/>
      <c r="BP415" s="40"/>
      <c r="BQ415" s="5"/>
      <c r="BS415" s="40"/>
      <c r="BT415" s="5"/>
      <c r="BV415" s="40"/>
      <c r="BW415" s="5"/>
      <c r="BY415" s="40"/>
      <c r="BZ415" s="5"/>
      <c r="CB415" s="40"/>
      <c r="CC415" s="5"/>
      <c r="CE415" s="40"/>
      <c r="CF415" s="5"/>
      <c r="CH415" s="40"/>
      <c r="CI415" s="5"/>
      <c r="CK415" s="40"/>
      <c r="CL415" s="5"/>
      <c r="CN415" s="40"/>
      <c r="CO415" s="5"/>
      <c r="CQ415" s="40"/>
      <c r="CR415" s="5"/>
    </row>
    <row r="416">
      <c r="AL416" s="40"/>
      <c r="AM416" s="5"/>
      <c r="AO416" s="40"/>
      <c r="AP416" s="5"/>
      <c r="AR416" s="40"/>
      <c r="AS416" s="5"/>
      <c r="AU416" s="40"/>
      <c r="AV416" s="5"/>
      <c r="AX416" s="40"/>
      <c r="AY416" s="5"/>
      <c r="BA416" s="40"/>
      <c r="BB416" s="5"/>
      <c r="BD416" s="40"/>
      <c r="BE416" s="5"/>
      <c r="BG416" s="40"/>
      <c r="BH416" s="5"/>
      <c r="BJ416" s="40"/>
      <c r="BK416" s="5"/>
      <c r="BM416" s="40"/>
      <c r="BN416" s="5"/>
      <c r="BP416" s="40"/>
      <c r="BQ416" s="5"/>
      <c r="BS416" s="40"/>
      <c r="BT416" s="5"/>
      <c r="BV416" s="40"/>
      <c r="BW416" s="5"/>
      <c r="BY416" s="40"/>
      <c r="BZ416" s="5"/>
      <c r="CB416" s="40"/>
      <c r="CC416" s="5"/>
      <c r="CE416" s="40"/>
      <c r="CF416" s="5"/>
      <c r="CH416" s="40"/>
      <c r="CI416" s="5"/>
      <c r="CK416" s="40"/>
      <c r="CL416" s="5"/>
      <c r="CN416" s="40"/>
      <c r="CO416" s="5"/>
      <c r="CQ416" s="40"/>
      <c r="CR416" s="5"/>
    </row>
    <row r="417">
      <c r="AL417" s="40"/>
      <c r="AM417" s="5"/>
      <c r="AO417" s="40"/>
      <c r="AP417" s="5"/>
      <c r="AR417" s="40"/>
      <c r="AS417" s="5"/>
      <c r="AU417" s="40"/>
      <c r="AV417" s="5"/>
      <c r="AX417" s="40"/>
      <c r="AY417" s="5"/>
      <c r="BA417" s="40"/>
      <c r="BB417" s="5"/>
      <c r="BD417" s="40"/>
      <c r="BE417" s="5"/>
      <c r="BG417" s="40"/>
      <c r="BH417" s="5"/>
      <c r="BJ417" s="40"/>
      <c r="BK417" s="5"/>
      <c r="BM417" s="40"/>
      <c r="BN417" s="5"/>
      <c r="BP417" s="40"/>
      <c r="BQ417" s="5"/>
      <c r="BS417" s="40"/>
      <c r="BT417" s="5"/>
      <c r="BV417" s="40"/>
      <c r="BW417" s="5"/>
      <c r="BY417" s="40"/>
      <c r="BZ417" s="5"/>
      <c r="CB417" s="40"/>
      <c r="CC417" s="5"/>
      <c r="CE417" s="40"/>
      <c r="CF417" s="5"/>
      <c r="CH417" s="40"/>
      <c r="CI417" s="5"/>
      <c r="CK417" s="40"/>
      <c r="CL417" s="5"/>
      <c r="CN417" s="40"/>
      <c r="CO417" s="5"/>
      <c r="CQ417" s="40"/>
      <c r="CR417" s="5"/>
    </row>
    <row r="418">
      <c r="AL418" s="40"/>
      <c r="AM418" s="5"/>
      <c r="AO418" s="40"/>
      <c r="AP418" s="5"/>
      <c r="AR418" s="40"/>
      <c r="AS418" s="5"/>
      <c r="AU418" s="40"/>
      <c r="AV418" s="5"/>
      <c r="AX418" s="40"/>
      <c r="AY418" s="5"/>
      <c r="BA418" s="40"/>
      <c r="BB418" s="5"/>
      <c r="BD418" s="40"/>
      <c r="BE418" s="5"/>
      <c r="BG418" s="40"/>
      <c r="BH418" s="5"/>
      <c r="BJ418" s="40"/>
      <c r="BK418" s="5"/>
      <c r="BM418" s="40"/>
      <c r="BN418" s="5"/>
      <c r="BP418" s="40"/>
      <c r="BQ418" s="5"/>
      <c r="BS418" s="40"/>
      <c r="BT418" s="5"/>
      <c r="BV418" s="40"/>
      <c r="BW418" s="5"/>
      <c r="BY418" s="40"/>
      <c r="BZ418" s="5"/>
      <c r="CB418" s="40"/>
      <c r="CC418" s="5"/>
      <c r="CE418" s="40"/>
      <c r="CF418" s="5"/>
      <c r="CH418" s="40"/>
      <c r="CI418" s="5"/>
      <c r="CK418" s="40"/>
      <c r="CL418" s="5"/>
      <c r="CN418" s="40"/>
      <c r="CO418" s="5"/>
      <c r="CQ418" s="40"/>
      <c r="CR418" s="5"/>
    </row>
    <row r="419">
      <c r="AL419" s="40"/>
      <c r="AM419" s="5"/>
      <c r="AO419" s="40"/>
      <c r="AP419" s="5"/>
      <c r="AR419" s="40"/>
      <c r="AS419" s="5"/>
      <c r="AU419" s="40"/>
      <c r="AV419" s="5"/>
      <c r="AX419" s="40"/>
      <c r="AY419" s="5"/>
      <c r="BA419" s="40"/>
      <c r="BB419" s="5"/>
      <c r="BD419" s="40"/>
      <c r="BE419" s="5"/>
      <c r="BG419" s="40"/>
      <c r="BH419" s="5"/>
      <c r="BJ419" s="40"/>
      <c r="BK419" s="5"/>
      <c r="BM419" s="40"/>
      <c r="BN419" s="5"/>
      <c r="BP419" s="40"/>
      <c r="BQ419" s="5"/>
      <c r="BS419" s="40"/>
      <c r="BT419" s="5"/>
      <c r="BV419" s="40"/>
      <c r="BW419" s="5"/>
      <c r="BY419" s="40"/>
      <c r="BZ419" s="5"/>
      <c r="CB419" s="40"/>
      <c r="CC419" s="5"/>
      <c r="CE419" s="40"/>
      <c r="CF419" s="5"/>
      <c r="CH419" s="40"/>
      <c r="CI419" s="5"/>
      <c r="CK419" s="40"/>
      <c r="CL419" s="5"/>
      <c r="CN419" s="40"/>
      <c r="CO419" s="5"/>
      <c r="CQ419" s="40"/>
      <c r="CR419" s="5"/>
    </row>
    <row r="420">
      <c r="AL420" s="40"/>
      <c r="AM420" s="5"/>
      <c r="AO420" s="40"/>
      <c r="AP420" s="5"/>
      <c r="AR420" s="40"/>
      <c r="AS420" s="5"/>
      <c r="AU420" s="40"/>
      <c r="AV420" s="5"/>
      <c r="AX420" s="40"/>
      <c r="AY420" s="5"/>
      <c r="BA420" s="40"/>
      <c r="BB420" s="5"/>
      <c r="BD420" s="40"/>
      <c r="BE420" s="5"/>
      <c r="BG420" s="40"/>
      <c r="BH420" s="5"/>
      <c r="BJ420" s="40"/>
      <c r="BK420" s="5"/>
      <c r="BM420" s="40"/>
      <c r="BN420" s="5"/>
      <c r="BP420" s="40"/>
      <c r="BQ420" s="5"/>
      <c r="BS420" s="40"/>
      <c r="BT420" s="5"/>
      <c r="BV420" s="40"/>
      <c r="BW420" s="5"/>
      <c r="BY420" s="40"/>
      <c r="BZ420" s="5"/>
      <c r="CB420" s="40"/>
      <c r="CC420" s="5"/>
      <c r="CE420" s="40"/>
      <c r="CF420" s="5"/>
      <c r="CH420" s="40"/>
      <c r="CI420" s="5"/>
      <c r="CK420" s="40"/>
      <c r="CL420" s="5"/>
      <c r="CN420" s="40"/>
      <c r="CO420" s="5"/>
      <c r="CQ420" s="40"/>
      <c r="CR420" s="5"/>
    </row>
    <row r="421">
      <c r="AL421" s="40"/>
      <c r="AM421" s="5"/>
      <c r="AO421" s="40"/>
      <c r="AP421" s="5"/>
      <c r="AR421" s="40"/>
      <c r="AS421" s="5"/>
      <c r="AU421" s="40"/>
      <c r="AV421" s="5"/>
      <c r="AX421" s="40"/>
      <c r="AY421" s="5"/>
      <c r="BA421" s="40"/>
      <c r="BB421" s="5"/>
      <c r="BD421" s="40"/>
      <c r="BE421" s="5"/>
      <c r="BG421" s="40"/>
      <c r="BH421" s="5"/>
      <c r="BJ421" s="40"/>
      <c r="BK421" s="5"/>
      <c r="BM421" s="40"/>
      <c r="BN421" s="5"/>
      <c r="BP421" s="40"/>
      <c r="BQ421" s="5"/>
      <c r="BS421" s="40"/>
      <c r="BT421" s="5"/>
      <c r="BV421" s="40"/>
      <c r="BW421" s="5"/>
      <c r="BY421" s="40"/>
      <c r="BZ421" s="5"/>
      <c r="CB421" s="40"/>
      <c r="CC421" s="5"/>
      <c r="CE421" s="40"/>
      <c r="CF421" s="5"/>
      <c r="CH421" s="40"/>
      <c r="CI421" s="5"/>
      <c r="CK421" s="40"/>
      <c r="CL421" s="5"/>
      <c r="CN421" s="40"/>
      <c r="CO421" s="5"/>
      <c r="CQ421" s="40"/>
      <c r="CR421" s="5"/>
    </row>
    <row r="422">
      <c r="AL422" s="40"/>
      <c r="AM422" s="5"/>
      <c r="AO422" s="40"/>
      <c r="AP422" s="5"/>
      <c r="AR422" s="40"/>
      <c r="AS422" s="5"/>
      <c r="AU422" s="40"/>
      <c r="AV422" s="5"/>
      <c r="AX422" s="40"/>
      <c r="AY422" s="5"/>
      <c r="BA422" s="40"/>
      <c r="BB422" s="5"/>
      <c r="BD422" s="40"/>
      <c r="BE422" s="5"/>
      <c r="BG422" s="40"/>
      <c r="BH422" s="5"/>
      <c r="BJ422" s="40"/>
      <c r="BK422" s="5"/>
      <c r="BM422" s="40"/>
      <c r="BN422" s="5"/>
      <c r="BP422" s="40"/>
      <c r="BQ422" s="5"/>
      <c r="BS422" s="40"/>
      <c r="BT422" s="5"/>
      <c r="BV422" s="40"/>
      <c r="BW422" s="5"/>
      <c r="BY422" s="40"/>
      <c r="BZ422" s="5"/>
      <c r="CB422" s="40"/>
      <c r="CC422" s="5"/>
      <c r="CE422" s="40"/>
      <c r="CF422" s="5"/>
      <c r="CH422" s="40"/>
      <c r="CI422" s="5"/>
      <c r="CK422" s="40"/>
      <c r="CL422" s="5"/>
      <c r="CN422" s="40"/>
      <c r="CO422" s="5"/>
      <c r="CQ422" s="40"/>
      <c r="CR422" s="5"/>
    </row>
    <row r="423">
      <c r="AL423" s="40"/>
      <c r="AM423" s="5"/>
      <c r="AO423" s="40"/>
      <c r="AP423" s="5"/>
      <c r="AR423" s="40"/>
      <c r="AS423" s="5"/>
      <c r="AU423" s="40"/>
      <c r="AV423" s="5"/>
      <c r="AX423" s="40"/>
      <c r="AY423" s="5"/>
      <c r="BA423" s="40"/>
      <c r="BB423" s="5"/>
      <c r="BD423" s="40"/>
      <c r="BE423" s="5"/>
      <c r="BG423" s="40"/>
      <c r="BH423" s="5"/>
      <c r="BJ423" s="40"/>
      <c r="BK423" s="5"/>
      <c r="BM423" s="40"/>
      <c r="BN423" s="5"/>
      <c r="BP423" s="40"/>
      <c r="BQ423" s="5"/>
      <c r="BS423" s="40"/>
      <c r="BT423" s="5"/>
      <c r="BV423" s="40"/>
      <c r="BW423" s="5"/>
      <c r="BY423" s="40"/>
      <c r="BZ423" s="5"/>
      <c r="CB423" s="40"/>
      <c r="CC423" s="5"/>
      <c r="CE423" s="40"/>
      <c r="CF423" s="5"/>
      <c r="CH423" s="40"/>
      <c r="CI423" s="5"/>
      <c r="CK423" s="40"/>
      <c r="CL423" s="5"/>
      <c r="CN423" s="40"/>
      <c r="CO423" s="5"/>
      <c r="CQ423" s="40"/>
      <c r="CR423" s="5"/>
    </row>
    <row r="424">
      <c r="AL424" s="40"/>
      <c r="AM424" s="5"/>
      <c r="AO424" s="40"/>
      <c r="AP424" s="5"/>
      <c r="AR424" s="40"/>
      <c r="AS424" s="5"/>
      <c r="AU424" s="40"/>
      <c r="AV424" s="5"/>
      <c r="AX424" s="40"/>
      <c r="AY424" s="5"/>
      <c r="BA424" s="40"/>
      <c r="BB424" s="5"/>
      <c r="BD424" s="40"/>
      <c r="BE424" s="5"/>
      <c r="BG424" s="40"/>
      <c r="BH424" s="5"/>
      <c r="BJ424" s="40"/>
      <c r="BK424" s="5"/>
      <c r="BM424" s="40"/>
      <c r="BN424" s="5"/>
      <c r="BP424" s="40"/>
      <c r="BQ424" s="5"/>
      <c r="BS424" s="40"/>
      <c r="BT424" s="5"/>
      <c r="BV424" s="40"/>
      <c r="BW424" s="5"/>
      <c r="BY424" s="40"/>
      <c r="BZ424" s="5"/>
      <c r="CB424" s="40"/>
      <c r="CC424" s="5"/>
      <c r="CE424" s="40"/>
      <c r="CF424" s="5"/>
      <c r="CH424" s="40"/>
      <c r="CI424" s="5"/>
      <c r="CK424" s="40"/>
      <c r="CL424" s="5"/>
      <c r="CN424" s="40"/>
      <c r="CO424" s="5"/>
      <c r="CQ424" s="40"/>
      <c r="CR424" s="5"/>
    </row>
    <row r="425">
      <c r="AL425" s="40"/>
      <c r="AM425" s="5"/>
      <c r="AO425" s="40"/>
      <c r="AP425" s="5"/>
      <c r="AR425" s="40"/>
      <c r="AS425" s="5"/>
      <c r="AU425" s="40"/>
      <c r="AV425" s="5"/>
      <c r="AX425" s="40"/>
      <c r="AY425" s="5"/>
      <c r="BA425" s="40"/>
      <c r="BB425" s="5"/>
      <c r="BD425" s="40"/>
      <c r="BE425" s="5"/>
      <c r="BG425" s="40"/>
      <c r="BH425" s="5"/>
      <c r="BJ425" s="40"/>
      <c r="BK425" s="5"/>
      <c r="BM425" s="40"/>
      <c r="BN425" s="5"/>
      <c r="BP425" s="40"/>
      <c r="BQ425" s="5"/>
      <c r="BS425" s="40"/>
      <c r="BT425" s="5"/>
      <c r="BV425" s="40"/>
      <c r="BW425" s="5"/>
      <c r="BY425" s="40"/>
      <c r="BZ425" s="5"/>
      <c r="CB425" s="40"/>
      <c r="CC425" s="5"/>
      <c r="CE425" s="40"/>
      <c r="CF425" s="5"/>
      <c r="CH425" s="40"/>
      <c r="CI425" s="5"/>
      <c r="CK425" s="40"/>
      <c r="CL425" s="5"/>
      <c r="CN425" s="40"/>
      <c r="CO425" s="5"/>
      <c r="CQ425" s="40"/>
      <c r="CR425" s="5"/>
    </row>
    <row r="426">
      <c r="AL426" s="40"/>
      <c r="AM426" s="5"/>
      <c r="AO426" s="40"/>
      <c r="AP426" s="5"/>
      <c r="AR426" s="40"/>
      <c r="AS426" s="5"/>
      <c r="AU426" s="40"/>
      <c r="AV426" s="5"/>
      <c r="AX426" s="40"/>
      <c r="AY426" s="5"/>
      <c r="BA426" s="40"/>
      <c r="BB426" s="5"/>
      <c r="BD426" s="40"/>
      <c r="BE426" s="5"/>
      <c r="BG426" s="40"/>
      <c r="BH426" s="5"/>
      <c r="BJ426" s="40"/>
      <c r="BK426" s="5"/>
      <c r="BM426" s="40"/>
      <c r="BN426" s="5"/>
      <c r="BP426" s="40"/>
      <c r="BQ426" s="5"/>
      <c r="BS426" s="40"/>
      <c r="BT426" s="5"/>
      <c r="BV426" s="40"/>
      <c r="BW426" s="5"/>
      <c r="BY426" s="40"/>
      <c r="BZ426" s="5"/>
      <c r="CB426" s="40"/>
      <c r="CC426" s="5"/>
      <c r="CE426" s="40"/>
      <c r="CF426" s="5"/>
      <c r="CH426" s="40"/>
      <c r="CI426" s="5"/>
      <c r="CK426" s="40"/>
      <c r="CL426" s="5"/>
      <c r="CN426" s="40"/>
      <c r="CO426" s="5"/>
      <c r="CQ426" s="40"/>
      <c r="CR426" s="5"/>
    </row>
    <row r="427">
      <c r="AL427" s="40"/>
      <c r="AM427" s="5"/>
      <c r="AO427" s="40"/>
      <c r="AP427" s="5"/>
      <c r="AR427" s="40"/>
      <c r="AS427" s="5"/>
      <c r="AU427" s="40"/>
      <c r="AV427" s="5"/>
      <c r="AX427" s="40"/>
      <c r="AY427" s="5"/>
      <c r="BA427" s="40"/>
      <c r="BB427" s="5"/>
      <c r="BD427" s="40"/>
      <c r="BE427" s="5"/>
      <c r="BG427" s="40"/>
      <c r="BH427" s="5"/>
      <c r="BJ427" s="40"/>
      <c r="BK427" s="5"/>
      <c r="BM427" s="40"/>
      <c r="BN427" s="5"/>
      <c r="BP427" s="40"/>
      <c r="BQ427" s="5"/>
      <c r="BS427" s="40"/>
      <c r="BT427" s="5"/>
      <c r="BV427" s="40"/>
      <c r="BW427" s="5"/>
      <c r="BY427" s="40"/>
      <c r="BZ427" s="5"/>
      <c r="CB427" s="40"/>
      <c r="CC427" s="5"/>
      <c r="CE427" s="40"/>
      <c r="CF427" s="5"/>
      <c r="CH427" s="40"/>
      <c r="CI427" s="5"/>
      <c r="CK427" s="40"/>
      <c r="CL427" s="5"/>
      <c r="CN427" s="40"/>
      <c r="CO427" s="5"/>
      <c r="CQ427" s="40"/>
      <c r="CR427" s="5"/>
    </row>
    <row r="428">
      <c r="AL428" s="40"/>
      <c r="AM428" s="5"/>
      <c r="AO428" s="40"/>
      <c r="AP428" s="5"/>
      <c r="AR428" s="40"/>
      <c r="AS428" s="5"/>
      <c r="AU428" s="40"/>
      <c r="AV428" s="5"/>
      <c r="AX428" s="40"/>
      <c r="AY428" s="5"/>
      <c r="BA428" s="40"/>
      <c r="BB428" s="5"/>
      <c r="BD428" s="40"/>
      <c r="BE428" s="5"/>
      <c r="BG428" s="40"/>
      <c r="BH428" s="5"/>
      <c r="BJ428" s="40"/>
      <c r="BK428" s="5"/>
      <c r="BM428" s="40"/>
      <c r="BN428" s="5"/>
      <c r="BP428" s="40"/>
      <c r="BQ428" s="5"/>
      <c r="BS428" s="40"/>
      <c r="BT428" s="5"/>
      <c r="BV428" s="40"/>
      <c r="BW428" s="5"/>
      <c r="BY428" s="40"/>
      <c r="BZ428" s="5"/>
      <c r="CB428" s="40"/>
      <c r="CC428" s="5"/>
      <c r="CE428" s="40"/>
      <c r="CF428" s="5"/>
      <c r="CH428" s="40"/>
      <c r="CI428" s="5"/>
      <c r="CK428" s="40"/>
      <c r="CL428" s="5"/>
      <c r="CN428" s="40"/>
      <c r="CO428" s="5"/>
      <c r="CQ428" s="40"/>
      <c r="CR428" s="5"/>
    </row>
    <row r="429">
      <c r="AL429" s="40"/>
      <c r="AM429" s="5"/>
      <c r="AO429" s="40"/>
      <c r="AP429" s="5"/>
      <c r="AR429" s="40"/>
      <c r="AS429" s="5"/>
      <c r="AU429" s="40"/>
      <c r="AV429" s="5"/>
      <c r="AX429" s="40"/>
      <c r="AY429" s="5"/>
      <c r="BA429" s="40"/>
      <c r="BB429" s="5"/>
      <c r="BD429" s="40"/>
      <c r="BE429" s="5"/>
      <c r="BG429" s="40"/>
      <c r="BH429" s="5"/>
      <c r="BJ429" s="40"/>
      <c r="BK429" s="5"/>
      <c r="BM429" s="40"/>
      <c r="BN429" s="5"/>
      <c r="BP429" s="40"/>
      <c r="BQ429" s="5"/>
      <c r="BS429" s="40"/>
      <c r="BT429" s="5"/>
      <c r="BV429" s="40"/>
      <c r="BW429" s="5"/>
      <c r="BY429" s="40"/>
      <c r="BZ429" s="5"/>
      <c r="CB429" s="40"/>
      <c r="CC429" s="5"/>
      <c r="CE429" s="40"/>
      <c r="CF429" s="5"/>
      <c r="CH429" s="40"/>
      <c r="CI429" s="5"/>
      <c r="CK429" s="40"/>
      <c r="CL429" s="5"/>
      <c r="CN429" s="40"/>
      <c r="CO429" s="5"/>
      <c r="CQ429" s="40"/>
      <c r="CR429" s="5"/>
    </row>
    <row r="430">
      <c r="AL430" s="40"/>
      <c r="AM430" s="5"/>
      <c r="AO430" s="40"/>
      <c r="AP430" s="5"/>
      <c r="AR430" s="40"/>
      <c r="AS430" s="5"/>
      <c r="AU430" s="40"/>
      <c r="AV430" s="5"/>
      <c r="AX430" s="40"/>
      <c r="AY430" s="5"/>
      <c r="BA430" s="40"/>
      <c r="BB430" s="5"/>
      <c r="BD430" s="40"/>
      <c r="BE430" s="5"/>
      <c r="BG430" s="40"/>
      <c r="BH430" s="5"/>
      <c r="BJ430" s="40"/>
      <c r="BK430" s="5"/>
      <c r="BM430" s="40"/>
      <c r="BN430" s="5"/>
      <c r="BP430" s="40"/>
      <c r="BQ430" s="5"/>
      <c r="BS430" s="40"/>
      <c r="BT430" s="5"/>
      <c r="BV430" s="40"/>
      <c r="BW430" s="5"/>
      <c r="BY430" s="40"/>
      <c r="BZ430" s="5"/>
      <c r="CB430" s="40"/>
      <c r="CC430" s="5"/>
      <c r="CE430" s="40"/>
      <c r="CF430" s="5"/>
      <c r="CH430" s="40"/>
      <c r="CI430" s="5"/>
      <c r="CK430" s="40"/>
      <c r="CL430" s="5"/>
      <c r="CN430" s="40"/>
      <c r="CO430" s="5"/>
      <c r="CQ430" s="40"/>
      <c r="CR430" s="5"/>
    </row>
    <row r="431">
      <c r="AL431" s="40"/>
      <c r="AM431" s="5"/>
      <c r="AO431" s="40"/>
      <c r="AP431" s="5"/>
      <c r="AR431" s="40"/>
      <c r="AS431" s="5"/>
      <c r="AU431" s="40"/>
      <c r="AV431" s="5"/>
      <c r="AX431" s="40"/>
      <c r="AY431" s="5"/>
      <c r="BA431" s="40"/>
      <c r="BB431" s="5"/>
      <c r="BD431" s="40"/>
      <c r="BE431" s="5"/>
      <c r="BG431" s="40"/>
      <c r="BH431" s="5"/>
      <c r="BJ431" s="40"/>
      <c r="BK431" s="5"/>
      <c r="BM431" s="40"/>
      <c r="BN431" s="5"/>
      <c r="BP431" s="40"/>
      <c r="BQ431" s="5"/>
      <c r="BS431" s="40"/>
      <c r="BT431" s="5"/>
      <c r="BV431" s="40"/>
      <c r="BW431" s="5"/>
      <c r="BY431" s="40"/>
      <c r="BZ431" s="5"/>
      <c r="CB431" s="40"/>
      <c r="CC431" s="5"/>
      <c r="CE431" s="40"/>
      <c r="CF431" s="5"/>
      <c r="CH431" s="40"/>
      <c r="CI431" s="5"/>
      <c r="CK431" s="40"/>
      <c r="CL431" s="5"/>
      <c r="CN431" s="40"/>
      <c r="CO431" s="5"/>
      <c r="CQ431" s="40"/>
      <c r="CR431" s="5"/>
    </row>
    <row r="432">
      <c r="AL432" s="40"/>
      <c r="AM432" s="5"/>
      <c r="AO432" s="40"/>
      <c r="AP432" s="5"/>
      <c r="AR432" s="40"/>
      <c r="AS432" s="5"/>
      <c r="AU432" s="40"/>
      <c r="AV432" s="5"/>
      <c r="AX432" s="40"/>
      <c r="AY432" s="5"/>
      <c r="BA432" s="40"/>
      <c r="BB432" s="5"/>
      <c r="BD432" s="40"/>
      <c r="BE432" s="5"/>
      <c r="BG432" s="40"/>
      <c r="BH432" s="5"/>
      <c r="BJ432" s="40"/>
      <c r="BK432" s="5"/>
      <c r="BM432" s="40"/>
      <c r="BN432" s="5"/>
      <c r="BP432" s="40"/>
      <c r="BQ432" s="5"/>
      <c r="BS432" s="40"/>
      <c r="BT432" s="5"/>
      <c r="BV432" s="40"/>
      <c r="BW432" s="5"/>
      <c r="BY432" s="40"/>
      <c r="BZ432" s="5"/>
      <c r="CB432" s="40"/>
      <c r="CC432" s="5"/>
      <c r="CE432" s="40"/>
      <c r="CF432" s="5"/>
      <c r="CH432" s="40"/>
      <c r="CI432" s="5"/>
      <c r="CK432" s="40"/>
      <c r="CL432" s="5"/>
      <c r="CN432" s="40"/>
      <c r="CO432" s="5"/>
      <c r="CQ432" s="40"/>
      <c r="CR432" s="5"/>
    </row>
    <row r="433">
      <c r="AL433" s="40"/>
      <c r="AM433" s="5"/>
      <c r="AO433" s="40"/>
      <c r="AP433" s="5"/>
      <c r="AR433" s="40"/>
      <c r="AS433" s="5"/>
      <c r="AU433" s="40"/>
      <c r="AV433" s="5"/>
      <c r="AX433" s="40"/>
      <c r="AY433" s="5"/>
      <c r="BA433" s="40"/>
      <c r="BB433" s="5"/>
      <c r="BD433" s="40"/>
      <c r="BE433" s="5"/>
      <c r="BG433" s="40"/>
      <c r="BH433" s="5"/>
      <c r="BJ433" s="40"/>
      <c r="BK433" s="5"/>
      <c r="BM433" s="40"/>
      <c r="BN433" s="5"/>
      <c r="BP433" s="40"/>
      <c r="BQ433" s="5"/>
      <c r="BS433" s="40"/>
      <c r="BT433" s="5"/>
      <c r="BV433" s="40"/>
      <c r="BW433" s="5"/>
      <c r="BY433" s="40"/>
      <c r="BZ433" s="5"/>
      <c r="CB433" s="40"/>
      <c r="CC433" s="5"/>
      <c r="CE433" s="40"/>
      <c r="CF433" s="5"/>
      <c r="CH433" s="40"/>
      <c r="CI433" s="5"/>
      <c r="CK433" s="40"/>
      <c r="CL433" s="5"/>
      <c r="CN433" s="40"/>
      <c r="CO433" s="5"/>
      <c r="CQ433" s="40"/>
      <c r="CR433" s="5"/>
    </row>
    <row r="434">
      <c r="AL434" s="40"/>
      <c r="AM434" s="5"/>
      <c r="AO434" s="40"/>
      <c r="AP434" s="5"/>
      <c r="AR434" s="40"/>
      <c r="AS434" s="5"/>
      <c r="AU434" s="40"/>
      <c r="AV434" s="5"/>
      <c r="AX434" s="40"/>
      <c r="AY434" s="5"/>
      <c r="BA434" s="40"/>
      <c r="BB434" s="5"/>
      <c r="BD434" s="40"/>
      <c r="BE434" s="5"/>
      <c r="BG434" s="40"/>
      <c r="BH434" s="5"/>
      <c r="BJ434" s="40"/>
      <c r="BK434" s="5"/>
      <c r="BM434" s="40"/>
      <c r="BN434" s="5"/>
      <c r="BP434" s="40"/>
      <c r="BQ434" s="5"/>
      <c r="BS434" s="40"/>
      <c r="BT434" s="5"/>
      <c r="BV434" s="40"/>
      <c r="BW434" s="5"/>
      <c r="BY434" s="40"/>
      <c r="BZ434" s="5"/>
      <c r="CB434" s="40"/>
      <c r="CC434" s="5"/>
      <c r="CE434" s="40"/>
      <c r="CF434" s="5"/>
      <c r="CH434" s="40"/>
      <c r="CI434" s="5"/>
      <c r="CK434" s="40"/>
      <c r="CL434" s="5"/>
      <c r="CN434" s="40"/>
      <c r="CO434" s="5"/>
      <c r="CQ434" s="40"/>
      <c r="CR434" s="5"/>
    </row>
    <row r="435">
      <c r="AL435" s="40"/>
      <c r="AM435" s="5"/>
      <c r="AO435" s="40"/>
      <c r="AP435" s="5"/>
      <c r="AR435" s="40"/>
      <c r="AS435" s="5"/>
      <c r="AU435" s="40"/>
      <c r="AV435" s="5"/>
      <c r="AX435" s="40"/>
      <c r="AY435" s="5"/>
      <c r="BA435" s="40"/>
      <c r="BB435" s="5"/>
      <c r="BD435" s="40"/>
      <c r="BE435" s="5"/>
      <c r="BG435" s="40"/>
      <c r="BH435" s="5"/>
      <c r="BJ435" s="40"/>
      <c r="BK435" s="5"/>
      <c r="BM435" s="40"/>
      <c r="BN435" s="5"/>
      <c r="BP435" s="40"/>
      <c r="BQ435" s="5"/>
      <c r="BS435" s="40"/>
      <c r="BT435" s="5"/>
      <c r="BV435" s="40"/>
      <c r="BW435" s="5"/>
      <c r="BY435" s="40"/>
      <c r="BZ435" s="5"/>
      <c r="CB435" s="40"/>
      <c r="CC435" s="5"/>
      <c r="CE435" s="40"/>
      <c r="CF435" s="5"/>
      <c r="CH435" s="40"/>
      <c r="CI435" s="5"/>
      <c r="CK435" s="40"/>
      <c r="CL435" s="5"/>
      <c r="CN435" s="40"/>
      <c r="CO435" s="5"/>
      <c r="CQ435" s="40"/>
      <c r="CR435" s="5"/>
    </row>
    <row r="436">
      <c r="AL436" s="40"/>
      <c r="AM436" s="5"/>
      <c r="AO436" s="40"/>
      <c r="AP436" s="5"/>
      <c r="AR436" s="40"/>
      <c r="AS436" s="5"/>
      <c r="AU436" s="40"/>
      <c r="AV436" s="5"/>
      <c r="AX436" s="40"/>
      <c r="AY436" s="5"/>
      <c r="BA436" s="40"/>
      <c r="BB436" s="5"/>
      <c r="BD436" s="40"/>
      <c r="BE436" s="5"/>
      <c r="BG436" s="40"/>
      <c r="BH436" s="5"/>
      <c r="BJ436" s="40"/>
      <c r="BK436" s="5"/>
      <c r="BM436" s="40"/>
      <c r="BN436" s="5"/>
      <c r="BP436" s="40"/>
      <c r="BQ436" s="5"/>
      <c r="BS436" s="40"/>
      <c r="BT436" s="5"/>
      <c r="BV436" s="40"/>
      <c r="BW436" s="5"/>
      <c r="BY436" s="40"/>
      <c r="BZ436" s="5"/>
      <c r="CB436" s="40"/>
      <c r="CC436" s="5"/>
      <c r="CE436" s="40"/>
      <c r="CF436" s="5"/>
      <c r="CH436" s="40"/>
      <c r="CI436" s="5"/>
      <c r="CK436" s="40"/>
      <c r="CL436" s="5"/>
      <c r="CN436" s="40"/>
      <c r="CO436" s="5"/>
      <c r="CQ436" s="40"/>
      <c r="CR436" s="5"/>
    </row>
    <row r="437">
      <c r="AL437" s="40"/>
      <c r="AM437" s="5"/>
      <c r="AO437" s="40"/>
      <c r="AP437" s="5"/>
      <c r="AR437" s="40"/>
      <c r="AS437" s="5"/>
      <c r="AU437" s="40"/>
      <c r="AV437" s="5"/>
      <c r="AX437" s="40"/>
      <c r="AY437" s="5"/>
      <c r="BA437" s="40"/>
      <c r="BB437" s="5"/>
      <c r="BD437" s="40"/>
      <c r="BE437" s="5"/>
      <c r="BG437" s="40"/>
      <c r="BH437" s="5"/>
      <c r="BJ437" s="40"/>
      <c r="BK437" s="5"/>
      <c r="BM437" s="40"/>
      <c r="BN437" s="5"/>
      <c r="BP437" s="40"/>
      <c r="BQ437" s="5"/>
      <c r="BS437" s="40"/>
      <c r="BT437" s="5"/>
      <c r="BV437" s="40"/>
      <c r="BW437" s="5"/>
      <c r="BY437" s="40"/>
      <c r="BZ437" s="5"/>
      <c r="CB437" s="40"/>
      <c r="CC437" s="5"/>
      <c r="CE437" s="40"/>
      <c r="CF437" s="5"/>
      <c r="CH437" s="40"/>
      <c r="CI437" s="5"/>
      <c r="CK437" s="40"/>
      <c r="CL437" s="5"/>
      <c r="CN437" s="40"/>
      <c r="CO437" s="5"/>
      <c r="CQ437" s="40"/>
      <c r="CR437" s="5"/>
    </row>
    <row r="438">
      <c r="AL438" s="40"/>
      <c r="AM438" s="5"/>
      <c r="AO438" s="40"/>
      <c r="AP438" s="5"/>
      <c r="AR438" s="40"/>
      <c r="AS438" s="5"/>
      <c r="AU438" s="40"/>
      <c r="AV438" s="5"/>
      <c r="AX438" s="40"/>
      <c r="AY438" s="5"/>
      <c r="BA438" s="40"/>
      <c r="BB438" s="5"/>
      <c r="BD438" s="40"/>
      <c r="BE438" s="5"/>
      <c r="BG438" s="40"/>
      <c r="BH438" s="5"/>
      <c r="BJ438" s="40"/>
      <c r="BK438" s="5"/>
      <c r="BM438" s="40"/>
      <c r="BN438" s="5"/>
      <c r="BP438" s="40"/>
      <c r="BQ438" s="5"/>
      <c r="BS438" s="40"/>
      <c r="BT438" s="5"/>
      <c r="BV438" s="40"/>
      <c r="BW438" s="5"/>
      <c r="BY438" s="40"/>
      <c r="BZ438" s="5"/>
      <c r="CB438" s="40"/>
      <c r="CC438" s="5"/>
      <c r="CE438" s="40"/>
      <c r="CF438" s="5"/>
      <c r="CH438" s="40"/>
      <c r="CI438" s="5"/>
      <c r="CK438" s="40"/>
      <c r="CL438" s="5"/>
      <c r="CN438" s="40"/>
      <c r="CO438" s="5"/>
      <c r="CQ438" s="40"/>
      <c r="CR438" s="5"/>
    </row>
    <row r="439">
      <c r="AL439" s="40"/>
      <c r="AM439" s="5"/>
      <c r="AO439" s="40"/>
      <c r="AP439" s="5"/>
      <c r="AR439" s="40"/>
      <c r="AS439" s="5"/>
      <c r="AU439" s="40"/>
      <c r="AV439" s="5"/>
      <c r="AX439" s="40"/>
      <c r="AY439" s="5"/>
      <c r="BA439" s="40"/>
      <c r="BB439" s="5"/>
      <c r="BD439" s="40"/>
      <c r="BE439" s="5"/>
      <c r="BG439" s="40"/>
      <c r="BH439" s="5"/>
      <c r="BJ439" s="40"/>
      <c r="BK439" s="5"/>
      <c r="BM439" s="40"/>
      <c r="BN439" s="5"/>
      <c r="BP439" s="40"/>
      <c r="BQ439" s="5"/>
      <c r="BS439" s="40"/>
      <c r="BT439" s="5"/>
      <c r="BV439" s="40"/>
      <c r="BW439" s="5"/>
      <c r="BY439" s="40"/>
      <c r="BZ439" s="5"/>
      <c r="CB439" s="40"/>
      <c r="CC439" s="5"/>
      <c r="CE439" s="40"/>
      <c r="CF439" s="5"/>
      <c r="CH439" s="40"/>
      <c r="CI439" s="5"/>
      <c r="CK439" s="40"/>
      <c r="CL439" s="5"/>
      <c r="CN439" s="40"/>
      <c r="CO439" s="5"/>
      <c r="CQ439" s="40"/>
      <c r="CR439" s="5"/>
    </row>
    <row r="440">
      <c r="AL440" s="40"/>
      <c r="AM440" s="5"/>
      <c r="AO440" s="40"/>
      <c r="AP440" s="5"/>
      <c r="AR440" s="40"/>
      <c r="AS440" s="5"/>
      <c r="AU440" s="40"/>
      <c r="AV440" s="5"/>
      <c r="AX440" s="40"/>
      <c r="AY440" s="5"/>
      <c r="BA440" s="40"/>
      <c r="BB440" s="5"/>
      <c r="BD440" s="40"/>
      <c r="BE440" s="5"/>
      <c r="BG440" s="40"/>
      <c r="BH440" s="5"/>
      <c r="BJ440" s="40"/>
      <c r="BK440" s="5"/>
      <c r="BM440" s="40"/>
      <c r="BN440" s="5"/>
      <c r="BP440" s="40"/>
      <c r="BQ440" s="5"/>
      <c r="BS440" s="40"/>
      <c r="BT440" s="5"/>
      <c r="BV440" s="40"/>
      <c r="BW440" s="5"/>
      <c r="BY440" s="40"/>
      <c r="BZ440" s="5"/>
      <c r="CB440" s="40"/>
      <c r="CC440" s="5"/>
      <c r="CE440" s="40"/>
      <c r="CF440" s="5"/>
      <c r="CH440" s="40"/>
      <c r="CI440" s="5"/>
      <c r="CK440" s="40"/>
      <c r="CL440" s="5"/>
      <c r="CN440" s="40"/>
      <c r="CO440" s="5"/>
      <c r="CQ440" s="40"/>
      <c r="CR440" s="5"/>
    </row>
    <row r="441">
      <c r="AL441" s="40"/>
      <c r="AM441" s="5"/>
      <c r="AO441" s="40"/>
      <c r="AP441" s="5"/>
      <c r="AR441" s="40"/>
      <c r="AS441" s="5"/>
      <c r="AU441" s="40"/>
      <c r="AV441" s="5"/>
      <c r="AX441" s="40"/>
      <c r="AY441" s="5"/>
      <c r="BA441" s="40"/>
      <c r="BB441" s="5"/>
      <c r="BD441" s="40"/>
      <c r="BE441" s="5"/>
      <c r="BG441" s="40"/>
      <c r="BH441" s="5"/>
      <c r="BJ441" s="40"/>
      <c r="BK441" s="5"/>
      <c r="BM441" s="40"/>
      <c r="BN441" s="5"/>
      <c r="BP441" s="40"/>
      <c r="BQ441" s="5"/>
      <c r="BS441" s="40"/>
      <c r="BT441" s="5"/>
      <c r="BV441" s="40"/>
      <c r="BW441" s="5"/>
      <c r="BY441" s="40"/>
      <c r="BZ441" s="5"/>
      <c r="CB441" s="40"/>
      <c r="CC441" s="5"/>
      <c r="CE441" s="40"/>
      <c r="CF441" s="5"/>
      <c r="CH441" s="40"/>
      <c r="CI441" s="5"/>
      <c r="CK441" s="40"/>
      <c r="CL441" s="5"/>
      <c r="CN441" s="40"/>
      <c r="CO441" s="5"/>
      <c r="CQ441" s="40"/>
      <c r="CR441" s="5"/>
    </row>
    <row r="442">
      <c r="AL442" s="40"/>
      <c r="AM442" s="5"/>
      <c r="AO442" s="40"/>
      <c r="AP442" s="5"/>
      <c r="AR442" s="40"/>
      <c r="AS442" s="5"/>
      <c r="AU442" s="40"/>
      <c r="AV442" s="5"/>
      <c r="AX442" s="40"/>
      <c r="AY442" s="5"/>
      <c r="BA442" s="40"/>
      <c r="BB442" s="5"/>
      <c r="BD442" s="40"/>
      <c r="BE442" s="5"/>
      <c r="BG442" s="40"/>
      <c r="BH442" s="5"/>
      <c r="BJ442" s="40"/>
      <c r="BK442" s="5"/>
      <c r="BM442" s="40"/>
      <c r="BN442" s="5"/>
      <c r="BP442" s="40"/>
      <c r="BQ442" s="5"/>
      <c r="BS442" s="40"/>
      <c r="BT442" s="5"/>
      <c r="BV442" s="40"/>
      <c r="BW442" s="5"/>
      <c r="BY442" s="40"/>
      <c r="BZ442" s="5"/>
      <c r="CB442" s="40"/>
      <c r="CC442" s="5"/>
      <c r="CE442" s="40"/>
      <c r="CF442" s="5"/>
      <c r="CH442" s="40"/>
      <c r="CI442" s="5"/>
      <c r="CK442" s="40"/>
      <c r="CL442" s="5"/>
      <c r="CN442" s="40"/>
      <c r="CO442" s="5"/>
      <c r="CQ442" s="40"/>
      <c r="CR442" s="5"/>
    </row>
    <row r="443">
      <c r="AL443" s="40"/>
      <c r="AM443" s="5"/>
      <c r="AO443" s="40"/>
      <c r="AP443" s="5"/>
      <c r="AR443" s="40"/>
      <c r="AS443" s="5"/>
      <c r="AU443" s="40"/>
      <c r="AV443" s="5"/>
      <c r="AX443" s="40"/>
      <c r="AY443" s="5"/>
      <c r="BA443" s="40"/>
      <c r="BB443" s="5"/>
      <c r="BD443" s="40"/>
      <c r="BE443" s="5"/>
      <c r="BG443" s="40"/>
      <c r="BH443" s="5"/>
      <c r="BJ443" s="40"/>
      <c r="BK443" s="5"/>
      <c r="BM443" s="40"/>
      <c r="BN443" s="5"/>
      <c r="BP443" s="40"/>
      <c r="BQ443" s="5"/>
      <c r="BS443" s="40"/>
      <c r="BT443" s="5"/>
      <c r="BV443" s="40"/>
      <c r="BW443" s="5"/>
      <c r="BY443" s="40"/>
      <c r="BZ443" s="5"/>
      <c r="CB443" s="40"/>
      <c r="CC443" s="5"/>
      <c r="CE443" s="40"/>
      <c r="CF443" s="5"/>
      <c r="CH443" s="40"/>
      <c r="CI443" s="5"/>
      <c r="CK443" s="40"/>
      <c r="CL443" s="5"/>
      <c r="CN443" s="40"/>
      <c r="CO443" s="5"/>
      <c r="CQ443" s="40"/>
      <c r="CR443" s="5"/>
    </row>
    <row r="444">
      <c r="AL444" s="40"/>
      <c r="AM444" s="5"/>
      <c r="AO444" s="40"/>
      <c r="AP444" s="5"/>
      <c r="AR444" s="40"/>
      <c r="AS444" s="5"/>
      <c r="AU444" s="40"/>
      <c r="AV444" s="5"/>
      <c r="AX444" s="40"/>
      <c r="AY444" s="5"/>
      <c r="BA444" s="40"/>
      <c r="BB444" s="5"/>
      <c r="BD444" s="40"/>
      <c r="BE444" s="5"/>
      <c r="BG444" s="40"/>
      <c r="BH444" s="5"/>
      <c r="BJ444" s="40"/>
      <c r="BK444" s="5"/>
      <c r="BM444" s="40"/>
      <c r="BN444" s="5"/>
      <c r="BP444" s="40"/>
      <c r="BQ444" s="5"/>
      <c r="BS444" s="40"/>
      <c r="BT444" s="5"/>
      <c r="BV444" s="40"/>
      <c r="BW444" s="5"/>
      <c r="BY444" s="40"/>
      <c r="BZ444" s="5"/>
      <c r="CB444" s="40"/>
      <c r="CC444" s="5"/>
      <c r="CE444" s="40"/>
      <c r="CF444" s="5"/>
      <c r="CH444" s="40"/>
      <c r="CI444" s="5"/>
      <c r="CK444" s="40"/>
      <c r="CL444" s="5"/>
      <c r="CN444" s="40"/>
      <c r="CO444" s="5"/>
      <c r="CQ444" s="40"/>
      <c r="CR444" s="5"/>
    </row>
    <row r="445">
      <c r="AL445" s="40"/>
      <c r="AM445" s="5"/>
      <c r="AO445" s="40"/>
      <c r="AP445" s="5"/>
      <c r="AR445" s="40"/>
      <c r="AS445" s="5"/>
      <c r="AU445" s="40"/>
      <c r="AV445" s="5"/>
      <c r="AX445" s="40"/>
      <c r="AY445" s="5"/>
      <c r="BA445" s="40"/>
      <c r="BB445" s="5"/>
      <c r="BD445" s="40"/>
      <c r="BE445" s="5"/>
      <c r="BG445" s="40"/>
      <c r="BH445" s="5"/>
      <c r="BJ445" s="40"/>
      <c r="BK445" s="5"/>
      <c r="BM445" s="40"/>
      <c r="BN445" s="5"/>
      <c r="BP445" s="40"/>
      <c r="BQ445" s="5"/>
      <c r="BS445" s="40"/>
      <c r="BT445" s="5"/>
      <c r="BV445" s="40"/>
      <c r="BW445" s="5"/>
      <c r="BY445" s="40"/>
      <c r="BZ445" s="5"/>
      <c r="CB445" s="40"/>
      <c r="CC445" s="5"/>
      <c r="CE445" s="40"/>
      <c r="CF445" s="5"/>
      <c r="CH445" s="40"/>
      <c r="CI445" s="5"/>
      <c r="CK445" s="40"/>
      <c r="CL445" s="5"/>
      <c r="CN445" s="40"/>
      <c r="CO445" s="5"/>
      <c r="CQ445" s="40"/>
      <c r="CR445" s="5"/>
    </row>
    <row r="446">
      <c r="AL446" s="40"/>
      <c r="AM446" s="5"/>
      <c r="AO446" s="40"/>
      <c r="AP446" s="5"/>
      <c r="AR446" s="40"/>
      <c r="AS446" s="5"/>
      <c r="AU446" s="40"/>
      <c r="AV446" s="5"/>
      <c r="AX446" s="40"/>
      <c r="AY446" s="5"/>
      <c r="BA446" s="40"/>
      <c r="BB446" s="5"/>
      <c r="BD446" s="40"/>
      <c r="BE446" s="5"/>
      <c r="BG446" s="40"/>
      <c r="BH446" s="5"/>
      <c r="BJ446" s="40"/>
      <c r="BK446" s="5"/>
      <c r="BM446" s="40"/>
      <c r="BN446" s="5"/>
      <c r="BP446" s="40"/>
      <c r="BQ446" s="5"/>
      <c r="BS446" s="40"/>
      <c r="BT446" s="5"/>
      <c r="BV446" s="40"/>
      <c r="BW446" s="5"/>
      <c r="BY446" s="40"/>
      <c r="BZ446" s="5"/>
      <c r="CB446" s="40"/>
      <c r="CC446" s="5"/>
      <c r="CE446" s="40"/>
      <c r="CF446" s="5"/>
      <c r="CH446" s="40"/>
      <c r="CI446" s="5"/>
      <c r="CK446" s="40"/>
      <c r="CL446" s="5"/>
      <c r="CN446" s="40"/>
      <c r="CO446" s="5"/>
      <c r="CQ446" s="40"/>
      <c r="CR446" s="5"/>
    </row>
    <row r="447">
      <c r="AL447" s="40"/>
      <c r="AM447" s="5"/>
      <c r="AO447" s="40"/>
      <c r="AP447" s="5"/>
      <c r="AR447" s="40"/>
      <c r="AS447" s="5"/>
      <c r="AU447" s="40"/>
      <c r="AV447" s="5"/>
      <c r="AX447" s="40"/>
      <c r="AY447" s="5"/>
      <c r="BA447" s="40"/>
      <c r="BB447" s="5"/>
      <c r="BD447" s="40"/>
      <c r="BE447" s="5"/>
      <c r="BG447" s="40"/>
      <c r="BH447" s="5"/>
      <c r="BJ447" s="40"/>
      <c r="BK447" s="5"/>
      <c r="BM447" s="40"/>
      <c r="BN447" s="5"/>
      <c r="BP447" s="40"/>
      <c r="BQ447" s="5"/>
      <c r="BS447" s="40"/>
      <c r="BT447" s="5"/>
      <c r="BV447" s="40"/>
      <c r="BW447" s="5"/>
      <c r="BY447" s="40"/>
      <c r="BZ447" s="5"/>
      <c r="CB447" s="40"/>
      <c r="CC447" s="5"/>
      <c r="CE447" s="40"/>
      <c r="CF447" s="5"/>
      <c r="CH447" s="40"/>
      <c r="CI447" s="5"/>
      <c r="CK447" s="40"/>
      <c r="CL447" s="5"/>
      <c r="CN447" s="40"/>
      <c r="CO447" s="5"/>
      <c r="CQ447" s="40"/>
      <c r="CR447" s="5"/>
    </row>
    <row r="448">
      <c r="AL448" s="40"/>
      <c r="AM448" s="5"/>
      <c r="AO448" s="40"/>
      <c r="AP448" s="5"/>
      <c r="AR448" s="40"/>
      <c r="AS448" s="5"/>
      <c r="AU448" s="40"/>
      <c r="AV448" s="5"/>
      <c r="AX448" s="40"/>
      <c r="AY448" s="5"/>
      <c r="BA448" s="40"/>
      <c r="BB448" s="5"/>
      <c r="BD448" s="40"/>
      <c r="BE448" s="5"/>
      <c r="BG448" s="40"/>
      <c r="BH448" s="5"/>
      <c r="BJ448" s="40"/>
      <c r="BK448" s="5"/>
      <c r="BM448" s="40"/>
      <c r="BN448" s="5"/>
      <c r="BP448" s="40"/>
      <c r="BQ448" s="5"/>
      <c r="BS448" s="40"/>
      <c r="BT448" s="5"/>
      <c r="BV448" s="40"/>
      <c r="BW448" s="5"/>
      <c r="BY448" s="40"/>
      <c r="BZ448" s="5"/>
      <c r="CB448" s="40"/>
      <c r="CC448" s="5"/>
      <c r="CE448" s="40"/>
      <c r="CF448" s="5"/>
      <c r="CH448" s="40"/>
      <c r="CI448" s="5"/>
      <c r="CK448" s="40"/>
      <c r="CL448" s="5"/>
      <c r="CN448" s="40"/>
      <c r="CO448" s="5"/>
      <c r="CQ448" s="40"/>
      <c r="CR448" s="5"/>
    </row>
    <row r="449">
      <c r="AL449" s="40"/>
      <c r="AM449" s="5"/>
      <c r="AO449" s="40"/>
      <c r="AP449" s="5"/>
      <c r="AR449" s="40"/>
      <c r="AS449" s="5"/>
      <c r="AU449" s="40"/>
      <c r="AV449" s="5"/>
      <c r="AX449" s="40"/>
      <c r="AY449" s="5"/>
      <c r="BA449" s="40"/>
      <c r="BB449" s="5"/>
      <c r="BD449" s="40"/>
      <c r="BE449" s="5"/>
      <c r="BG449" s="40"/>
      <c r="BH449" s="5"/>
      <c r="BJ449" s="40"/>
      <c r="BK449" s="5"/>
      <c r="BM449" s="40"/>
      <c r="BN449" s="5"/>
      <c r="BP449" s="40"/>
      <c r="BQ449" s="5"/>
      <c r="BS449" s="40"/>
      <c r="BT449" s="5"/>
      <c r="BV449" s="40"/>
      <c r="BW449" s="5"/>
      <c r="BY449" s="40"/>
      <c r="BZ449" s="5"/>
      <c r="CB449" s="40"/>
      <c r="CC449" s="5"/>
      <c r="CE449" s="40"/>
      <c r="CF449" s="5"/>
      <c r="CH449" s="40"/>
      <c r="CI449" s="5"/>
      <c r="CK449" s="40"/>
      <c r="CL449" s="5"/>
      <c r="CN449" s="40"/>
      <c r="CO449" s="5"/>
      <c r="CQ449" s="40"/>
      <c r="CR449" s="5"/>
    </row>
    <row r="450">
      <c r="AL450" s="40"/>
      <c r="AM450" s="5"/>
      <c r="AO450" s="40"/>
      <c r="AP450" s="5"/>
      <c r="AR450" s="40"/>
      <c r="AS450" s="5"/>
      <c r="AU450" s="40"/>
      <c r="AV450" s="5"/>
      <c r="AX450" s="40"/>
      <c r="AY450" s="5"/>
      <c r="BA450" s="40"/>
      <c r="BB450" s="5"/>
      <c r="BD450" s="40"/>
      <c r="BE450" s="5"/>
      <c r="BG450" s="40"/>
      <c r="BH450" s="5"/>
      <c r="BJ450" s="40"/>
      <c r="BK450" s="5"/>
      <c r="BM450" s="40"/>
      <c r="BN450" s="5"/>
      <c r="BP450" s="40"/>
      <c r="BQ450" s="5"/>
      <c r="BS450" s="40"/>
      <c r="BT450" s="5"/>
      <c r="BV450" s="40"/>
      <c r="BW450" s="5"/>
      <c r="BY450" s="40"/>
      <c r="BZ450" s="5"/>
      <c r="CB450" s="40"/>
      <c r="CC450" s="5"/>
      <c r="CE450" s="40"/>
      <c r="CF450" s="5"/>
      <c r="CH450" s="40"/>
      <c r="CI450" s="5"/>
      <c r="CK450" s="40"/>
      <c r="CL450" s="5"/>
      <c r="CN450" s="40"/>
      <c r="CO450" s="5"/>
      <c r="CQ450" s="40"/>
      <c r="CR450" s="5"/>
    </row>
    <row r="451">
      <c r="AL451" s="40"/>
      <c r="AM451" s="5"/>
      <c r="AO451" s="40"/>
      <c r="AP451" s="5"/>
      <c r="AR451" s="40"/>
      <c r="AS451" s="5"/>
      <c r="AU451" s="40"/>
      <c r="AV451" s="5"/>
      <c r="AX451" s="40"/>
      <c r="AY451" s="5"/>
      <c r="BA451" s="40"/>
      <c r="BB451" s="5"/>
      <c r="BD451" s="40"/>
      <c r="BE451" s="5"/>
      <c r="BG451" s="40"/>
      <c r="BH451" s="5"/>
      <c r="BJ451" s="40"/>
      <c r="BK451" s="5"/>
      <c r="BM451" s="40"/>
      <c r="BN451" s="5"/>
      <c r="BP451" s="40"/>
      <c r="BQ451" s="5"/>
      <c r="BS451" s="40"/>
      <c r="BT451" s="5"/>
      <c r="BV451" s="40"/>
      <c r="BW451" s="5"/>
      <c r="BY451" s="40"/>
      <c r="BZ451" s="5"/>
      <c r="CB451" s="40"/>
      <c r="CC451" s="5"/>
      <c r="CE451" s="40"/>
      <c r="CF451" s="5"/>
      <c r="CH451" s="40"/>
      <c r="CI451" s="5"/>
      <c r="CK451" s="40"/>
      <c r="CL451" s="5"/>
      <c r="CN451" s="40"/>
      <c r="CO451" s="5"/>
      <c r="CQ451" s="40"/>
      <c r="CR451" s="5"/>
    </row>
    <row r="452">
      <c r="AL452" s="40"/>
      <c r="AM452" s="5"/>
      <c r="AO452" s="40"/>
      <c r="AP452" s="5"/>
      <c r="AR452" s="40"/>
      <c r="AS452" s="5"/>
      <c r="AU452" s="40"/>
      <c r="AV452" s="5"/>
      <c r="AX452" s="40"/>
      <c r="AY452" s="5"/>
      <c r="BA452" s="40"/>
      <c r="BB452" s="5"/>
      <c r="BD452" s="40"/>
      <c r="BE452" s="5"/>
      <c r="BG452" s="40"/>
      <c r="BH452" s="5"/>
      <c r="BJ452" s="40"/>
      <c r="BK452" s="5"/>
      <c r="BM452" s="40"/>
      <c r="BN452" s="5"/>
      <c r="BP452" s="40"/>
      <c r="BQ452" s="5"/>
      <c r="BS452" s="40"/>
      <c r="BT452" s="5"/>
      <c r="BV452" s="40"/>
      <c r="BW452" s="5"/>
      <c r="BY452" s="40"/>
      <c r="BZ452" s="5"/>
      <c r="CB452" s="40"/>
      <c r="CC452" s="5"/>
      <c r="CE452" s="40"/>
      <c r="CF452" s="5"/>
      <c r="CH452" s="40"/>
      <c r="CI452" s="5"/>
      <c r="CK452" s="40"/>
      <c r="CL452" s="5"/>
      <c r="CN452" s="40"/>
      <c r="CO452" s="5"/>
      <c r="CQ452" s="40"/>
      <c r="CR452" s="5"/>
    </row>
    <row r="453">
      <c r="AL453" s="40"/>
      <c r="AM453" s="5"/>
      <c r="AO453" s="40"/>
      <c r="AP453" s="5"/>
      <c r="AR453" s="40"/>
      <c r="AS453" s="5"/>
      <c r="AU453" s="40"/>
      <c r="AV453" s="5"/>
      <c r="AX453" s="40"/>
      <c r="AY453" s="5"/>
      <c r="BA453" s="40"/>
      <c r="BB453" s="5"/>
      <c r="BD453" s="40"/>
      <c r="BE453" s="5"/>
      <c r="BG453" s="40"/>
      <c r="BH453" s="5"/>
      <c r="BJ453" s="40"/>
      <c r="BK453" s="5"/>
      <c r="BM453" s="40"/>
      <c r="BN453" s="5"/>
      <c r="BP453" s="40"/>
      <c r="BQ453" s="5"/>
      <c r="BS453" s="40"/>
      <c r="BT453" s="5"/>
      <c r="BV453" s="40"/>
      <c r="BW453" s="5"/>
      <c r="BY453" s="40"/>
      <c r="BZ453" s="5"/>
      <c r="CB453" s="40"/>
      <c r="CC453" s="5"/>
      <c r="CE453" s="40"/>
      <c r="CF453" s="5"/>
      <c r="CH453" s="40"/>
      <c r="CI453" s="5"/>
      <c r="CK453" s="40"/>
      <c r="CL453" s="5"/>
      <c r="CN453" s="40"/>
      <c r="CO453" s="5"/>
      <c r="CQ453" s="40"/>
      <c r="CR453" s="5"/>
    </row>
    <row r="454">
      <c r="AL454" s="40"/>
      <c r="AM454" s="5"/>
      <c r="AO454" s="40"/>
      <c r="AP454" s="5"/>
      <c r="AR454" s="40"/>
      <c r="AS454" s="5"/>
      <c r="AU454" s="40"/>
      <c r="AV454" s="5"/>
      <c r="AX454" s="40"/>
      <c r="AY454" s="5"/>
      <c r="BA454" s="40"/>
      <c r="BB454" s="5"/>
      <c r="BD454" s="40"/>
      <c r="BE454" s="5"/>
      <c r="BG454" s="40"/>
      <c r="BH454" s="5"/>
      <c r="BJ454" s="40"/>
      <c r="BK454" s="5"/>
      <c r="BM454" s="40"/>
      <c r="BN454" s="5"/>
      <c r="BP454" s="40"/>
      <c r="BQ454" s="5"/>
      <c r="BS454" s="40"/>
      <c r="BT454" s="5"/>
      <c r="BV454" s="40"/>
      <c r="BW454" s="5"/>
      <c r="BY454" s="40"/>
      <c r="BZ454" s="5"/>
      <c r="CB454" s="40"/>
      <c r="CC454" s="5"/>
      <c r="CE454" s="40"/>
      <c r="CF454" s="5"/>
      <c r="CH454" s="40"/>
      <c r="CI454" s="5"/>
      <c r="CK454" s="40"/>
      <c r="CL454" s="5"/>
      <c r="CN454" s="40"/>
      <c r="CO454" s="5"/>
      <c r="CQ454" s="40"/>
      <c r="CR454" s="5"/>
    </row>
    <row r="455">
      <c r="AL455" s="40"/>
      <c r="AM455" s="5"/>
      <c r="AO455" s="40"/>
      <c r="AP455" s="5"/>
      <c r="AR455" s="40"/>
      <c r="AS455" s="5"/>
      <c r="AU455" s="40"/>
      <c r="AV455" s="5"/>
      <c r="AX455" s="40"/>
      <c r="AY455" s="5"/>
      <c r="BA455" s="40"/>
      <c r="BB455" s="5"/>
      <c r="BD455" s="40"/>
      <c r="BE455" s="5"/>
      <c r="BG455" s="40"/>
      <c r="BH455" s="5"/>
      <c r="BJ455" s="40"/>
      <c r="BK455" s="5"/>
      <c r="BM455" s="40"/>
      <c r="BN455" s="5"/>
      <c r="BP455" s="40"/>
      <c r="BQ455" s="5"/>
      <c r="BS455" s="40"/>
      <c r="BT455" s="5"/>
      <c r="BV455" s="40"/>
      <c r="BW455" s="5"/>
      <c r="BY455" s="40"/>
      <c r="BZ455" s="5"/>
      <c r="CB455" s="40"/>
      <c r="CC455" s="5"/>
      <c r="CE455" s="40"/>
      <c r="CF455" s="5"/>
      <c r="CH455" s="40"/>
      <c r="CI455" s="5"/>
      <c r="CK455" s="40"/>
      <c r="CL455" s="5"/>
      <c r="CN455" s="40"/>
      <c r="CO455" s="5"/>
      <c r="CQ455" s="40"/>
      <c r="CR455" s="5"/>
    </row>
    <row r="456">
      <c r="AL456" s="40"/>
      <c r="AM456" s="5"/>
      <c r="AO456" s="40"/>
      <c r="AP456" s="5"/>
      <c r="AR456" s="40"/>
      <c r="AS456" s="5"/>
      <c r="AU456" s="40"/>
      <c r="AV456" s="5"/>
      <c r="AX456" s="40"/>
      <c r="AY456" s="5"/>
      <c r="BA456" s="40"/>
      <c r="BB456" s="5"/>
      <c r="BD456" s="40"/>
      <c r="BE456" s="5"/>
      <c r="BG456" s="40"/>
      <c r="BH456" s="5"/>
      <c r="BJ456" s="40"/>
      <c r="BK456" s="5"/>
      <c r="BM456" s="40"/>
      <c r="BN456" s="5"/>
      <c r="BP456" s="40"/>
      <c r="BQ456" s="5"/>
      <c r="BS456" s="40"/>
      <c r="BT456" s="5"/>
      <c r="BV456" s="40"/>
      <c r="BW456" s="5"/>
      <c r="BY456" s="40"/>
      <c r="BZ456" s="5"/>
      <c r="CB456" s="40"/>
      <c r="CC456" s="5"/>
      <c r="CE456" s="40"/>
      <c r="CF456" s="5"/>
      <c r="CH456" s="40"/>
      <c r="CI456" s="5"/>
      <c r="CK456" s="40"/>
      <c r="CL456" s="5"/>
      <c r="CN456" s="40"/>
      <c r="CO456" s="5"/>
      <c r="CQ456" s="40"/>
      <c r="CR456" s="5"/>
    </row>
    <row r="457">
      <c r="AL457" s="40"/>
      <c r="AM457" s="5"/>
      <c r="AO457" s="40"/>
      <c r="AP457" s="5"/>
      <c r="AR457" s="40"/>
      <c r="AS457" s="5"/>
      <c r="AU457" s="40"/>
      <c r="AV457" s="5"/>
      <c r="AX457" s="40"/>
      <c r="AY457" s="5"/>
      <c r="BA457" s="40"/>
      <c r="BB457" s="5"/>
      <c r="BD457" s="40"/>
      <c r="BE457" s="5"/>
      <c r="BG457" s="40"/>
      <c r="BH457" s="5"/>
      <c r="BJ457" s="40"/>
      <c r="BK457" s="5"/>
      <c r="BM457" s="40"/>
      <c r="BN457" s="5"/>
      <c r="BP457" s="40"/>
      <c r="BQ457" s="5"/>
      <c r="BS457" s="40"/>
      <c r="BT457" s="5"/>
      <c r="BV457" s="40"/>
      <c r="BW457" s="5"/>
      <c r="BY457" s="40"/>
      <c r="BZ457" s="5"/>
      <c r="CB457" s="40"/>
      <c r="CC457" s="5"/>
      <c r="CE457" s="40"/>
      <c r="CF457" s="5"/>
      <c r="CH457" s="40"/>
      <c r="CI457" s="5"/>
      <c r="CK457" s="40"/>
      <c r="CL457" s="5"/>
      <c r="CN457" s="40"/>
      <c r="CO457" s="5"/>
      <c r="CQ457" s="40"/>
      <c r="CR457" s="5"/>
    </row>
    <row r="458">
      <c r="AL458" s="40"/>
      <c r="AM458" s="5"/>
      <c r="AO458" s="40"/>
      <c r="AP458" s="5"/>
      <c r="AR458" s="40"/>
      <c r="AS458" s="5"/>
      <c r="AU458" s="40"/>
      <c r="AV458" s="5"/>
      <c r="AX458" s="40"/>
      <c r="AY458" s="5"/>
      <c r="BA458" s="40"/>
      <c r="BB458" s="5"/>
      <c r="BD458" s="40"/>
      <c r="BE458" s="5"/>
      <c r="BG458" s="40"/>
      <c r="BH458" s="5"/>
      <c r="BJ458" s="40"/>
      <c r="BK458" s="5"/>
      <c r="BM458" s="40"/>
      <c r="BN458" s="5"/>
      <c r="BP458" s="40"/>
      <c r="BQ458" s="5"/>
      <c r="BS458" s="40"/>
      <c r="BT458" s="5"/>
      <c r="BV458" s="40"/>
      <c r="BW458" s="5"/>
      <c r="BY458" s="40"/>
      <c r="BZ458" s="5"/>
      <c r="CB458" s="40"/>
      <c r="CC458" s="5"/>
      <c r="CE458" s="40"/>
      <c r="CF458" s="5"/>
      <c r="CH458" s="40"/>
      <c r="CI458" s="5"/>
      <c r="CK458" s="40"/>
      <c r="CL458" s="5"/>
      <c r="CN458" s="40"/>
      <c r="CO458" s="5"/>
      <c r="CQ458" s="40"/>
      <c r="CR458" s="5"/>
    </row>
    <row r="459">
      <c r="AL459" s="40"/>
      <c r="AM459" s="5"/>
      <c r="AO459" s="40"/>
      <c r="AP459" s="5"/>
      <c r="AR459" s="40"/>
      <c r="AS459" s="5"/>
      <c r="AU459" s="40"/>
      <c r="AV459" s="5"/>
      <c r="AX459" s="40"/>
      <c r="AY459" s="5"/>
      <c r="BA459" s="40"/>
      <c r="BB459" s="5"/>
      <c r="BD459" s="40"/>
      <c r="BE459" s="5"/>
      <c r="BG459" s="40"/>
      <c r="BH459" s="5"/>
      <c r="BJ459" s="40"/>
      <c r="BK459" s="5"/>
      <c r="BM459" s="40"/>
      <c r="BN459" s="5"/>
      <c r="BP459" s="40"/>
      <c r="BQ459" s="5"/>
      <c r="BS459" s="40"/>
      <c r="BT459" s="5"/>
      <c r="BV459" s="40"/>
      <c r="BW459" s="5"/>
      <c r="BY459" s="40"/>
      <c r="BZ459" s="5"/>
      <c r="CB459" s="40"/>
      <c r="CC459" s="5"/>
      <c r="CE459" s="40"/>
      <c r="CF459" s="5"/>
      <c r="CH459" s="40"/>
      <c r="CI459" s="5"/>
      <c r="CK459" s="40"/>
      <c r="CL459" s="5"/>
      <c r="CN459" s="40"/>
      <c r="CO459" s="5"/>
      <c r="CQ459" s="40"/>
      <c r="CR459" s="5"/>
    </row>
    <row r="460">
      <c r="AL460" s="40"/>
      <c r="AM460" s="5"/>
      <c r="AO460" s="40"/>
      <c r="AP460" s="5"/>
      <c r="AR460" s="40"/>
      <c r="AS460" s="5"/>
      <c r="AU460" s="40"/>
      <c r="AV460" s="5"/>
      <c r="AX460" s="40"/>
      <c r="AY460" s="5"/>
      <c r="BA460" s="40"/>
      <c r="BB460" s="5"/>
      <c r="BD460" s="40"/>
      <c r="BE460" s="5"/>
      <c r="BG460" s="40"/>
      <c r="BH460" s="5"/>
      <c r="BJ460" s="40"/>
      <c r="BK460" s="5"/>
      <c r="BM460" s="40"/>
      <c r="BN460" s="5"/>
      <c r="BP460" s="40"/>
      <c r="BQ460" s="5"/>
      <c r="BS460" s="40"/>
      <c r="BT460" s="5"/>
      <c r="BV460" s="40"/>
      <c r="BW460" s="5"/>
      <c r="BY460" s="40"/>
      <c r="BZ460" s="5"/>
      <c r="CB460" s="40"/>
      <c r="CC460" s="5"/>
      <c r="CE460" s="40"/>
      <c r="CF460" s="5"/>
      <c r="CH460" s="40"/>
      <c r="CI460" s="5"/>
      <c r="CK460" s="40"/>
      <c r="CL460" s="5"/>
      <c r="CN460" s="40"/>
      <c r="CO460" s="5"/>
      <c r="CQ460" s="40"/>
      <c r="CR460" s="5"/>
    </row>
    <row r="461">
      <c r="AL461" s="40"/>
      <c r="AM461" s="5"/>
      <c r="AO461" s="40"/>
      <c r="AP461" s="5"/>
      <c r="AR461" s="40"/>
      <c r="AS461" s="5"/>
      <c r="AU461" s="40"/>
      <c r="AV461" s="5"/>
      <c r="AX461" s="40"/>
      <c r="AY461" s="5"/>
      <c r="BA461" s="40"/>
      <c r="BB461" s="5"/>
      <c r="BD461" s="40"/>
      <c r="BE461" s="5"/>
      <c r="BG461" s="40"/>
      <c r="BH461" s="5"/>
      <c r="BJ461" s="40"/>
      <c r="BK461" s="5"/>
      <c r="BM461" s="40"/>
      <c r="BN461" s="5"/>
      <c r="BP461" s="40"/>
      <c r="BQ461" s="5"/>
      <c r="BS461" s="40"/>
      <c r="BT461" s="5"/>
      <c r="BV461" s="40"/>
      <c r="BW461" s="5"/>
      <c r="BY461" s="40"/>
      <c r="BZ461" s="5"/>
      <c r="CB461" s="40"/>
      <c r="CC461" s="5"/>
      <c r="CE461" s="40"/>
      <c r="CF461" s="5"/>
      <c r="CH461" s="40"/>
      <c r="CI461" s="5"/>
      <c r="CK461" s="40"/>
      <c r="CL461" s="5"/>
      <c r="CN461" s="40"/>
      <c r="CO461" s="5"/>
      <c r="CQ461" s="40"/>
      <c r="CR461" s="5"/>
    </row>
    <row r="462">
      <c r="AL462" s="40"/>
      <c r="AM462" s="5"/>
      <c r="AO462" s="40"/>
      <c r="AP462" s="5"/>
      <c r="AR462" s="40"/>
      <c r="AS462" s="5"/>
      <c r="AU462" s="40"/>
      <c r="AV462" s="5"/>
      <c r="AX462" s="40"/>
      <c r="AY462" s="5"/>
      <c r="BA462" s="40"/>
      <c r="BB462" s="5"/>
      <c r="BD462" s="40"/>
      <c r="BE462" s="5"/>
      <c r="BG462" s="40"/>
      <c r="BH462" s="5"/>
      <c r="BJ462" s="40"/>
      <c r="BK462" s="5"/>
      <c r="BM462" s="40"/>
      <c r="BN462" s="5"/>
      <c r="BP462" s="40"/>
      <c r="BQ462" s="5"/>
      <c r="BS462" s="40"/>
      <c r="BT462" s="5"/>
      <c r="BV462" s="40"/>
      <c r="BW462" s="5"/>
      <c r="BY462" s="40"/>
      <c r="BZ462" s="5"/>
      <c r="CB462" s="40"/>
      <c r="CC462" s="5"/>
      <c r="CE462" s="40"/>
      <c r="CF462" s="5"/>
      <c r="CH462" s="40"/>
      <c r="CI462" s="5"/>
      <c r="CK462" s="40"/>
      <c r="CL462" s="5"/>
      <c r="CN462" s="40"/>
      <c r="CO462" s="5"/>
      <c r="CQ462" s="40"/>
      <c r="CR462" s="5"/>
    </row>
    <row r="463">
      <c r="AL463" s="40"/>
      <c r="AM463" s="5"/>
      <c r="AO463" s="40"/>
      <c r="AP463" s="5"/>
      <c r="AR463" s="40"/>
      <c r="AS463" s="5"/>
      <c r="AU463" s="40"/>
      <c r="AV463" s="5"/>
      <c r="AX463" s="40"/>
      <c r="AY463" s="5"/>
      <c r="BA463" s="40"/>
      <c r="BB463" s="5"/>
      <c r="BD463" s="40"/>
      <c r="BE463" s="5"/>
      <c r="BG463" s="40"/>
      <c r="BH463" s="5"/>
      <c r="BJ463" s="40"/>
      <c r="BK463" s="5"/>
      <c r="BM463" s="40"/>
      <c r="BN463" s="5"/>
      <c r="BP463" s="40"/>
      <c r="BQ463" s="5"/>
      <c r="BS463" s="40"/>
      <c r="BT463" s="5"/>
      <c r="BV463" s="40"/>
      <c r="BW463" s="5"/>
      <c r="BY463" s="40"/>
      <c r="BZ463" s="5"/>
      <c r="CB463" s="40"/>
      <c r="CC463" s="5"/>
      <c r="CE463" s="40"/>
      <c r="CF463" s="5"/>
      <c r="CH463" s="40"/>
      <c r="CI463" s="5"/>
      <c r="CK463" s="40"/>
      <c r="CL463" s="5"/>
      <c r="CN463" s="40"/>
      <c r="CO463" s="5"/>
      <c r="CQ463" s="40"/>
      <c r="CR463" s="5"/>
    </row>
    <row r="464">
      <c r="AL464" s="40"/>
      <c r="AM464" s="5"/>
      <c r="AO464" s="40"/>
      <c r="AP464" s="5"/>
      <c r="AR464" s="40"/>
      <c r="AS464" s="5"/>
      <c r="AU464" s="40"/>
      <c r="AV464" s="5"/>
      <c r="AX464" s="40"/>
      <c r="AY464" s="5"/>
      <c r="BA464" s="40"/>
      <c r="BB464" s="5"/>
      <c r="BD464" s="40"/>
      <c r="BE464" s="5"/>
      <c r="BG464" s="40"/>
      <c r="BH464" s="5"/>
      <c r="BJ464" s="40"/>
      <c r="BK464" s="5"/>
      <c r="BM464" s="40"/>
      <c r="BN464" s="5"/>
      <c r="BP464" s="40"/>
      <c r="BQ464" s="5"/>
      <c r="BS464" s="40"/>
      <c r="BT464" s="5"/>
      <c r="BV464" s="40"/>
      <c r="BW464" s="5"/>
      <c r="BY464" s="40"/>
      <c r="BZ464" s="5"/>
      <c r="CB464" s="40"/>
      <c r="CC464" s="5"/>
      <c r="CE464" s="40"/>
      <c r="CF464" s="5"/>
      <c r="CH464" s="40"/>
      <c r="CI464" s="5"/>
      <c r="CK464" s="40"/>
      <c r="CL464" s="5"/>
      <c r="CN464" s="40"/>
      <c r="CO464" s="5"/>
      <c r="CQ464" s="40"/>
      <c r="CR464" s="5"/>
    </row>
    <row r="465">
      <c r="AL465" s="40"/>
      <c r="AM465" s="5"/>
      <c r="AO465" s="40"/>
      <c r="AP465" s="5"/>
      <c r="AR465" s="40"/>
      <c r="AS465" s="5"/>
      <c r="AU465" s="40"/>
      <c r="AV465" s="5"/>
      <c r="AX465" s="40"/>
      <c r="AY465" s="5"/>
      <c r="BA465" s="40"/>
      <c r="BB465" s="5"/>
      <c r="BD465" s="40"/>
      <c r="BE465" s="5"/>
      <c r="BG465" s="40"/>
      <c r="BH465" s="5"/>
      <c r="BJ465" s="40"/>
      <c r="BK465" s="5"/>
      <c r="BM465" s="40"/>
      <c r="BN465" s="5"/>
      <c r="BP465" s="40"/>
      <c r="BQ465" s="5"/>
      <c r="BS465" s="40"/>
      <c r="BT465" s="5"/>
      <c r="BV465" s="40"/>
      <c r="BW465" s="5"/>
      <c r="BY465" s="40"/>
      <c r="BZ465" s="5"/>
      <c r="CB465" s="40"/>
      <c r="CC465" s="5"/>
      <c r="CE465" s="40"/>
      <c r="CF465" s="5"/>
      <c r="CH465" s="40"/>
      <c r="CI465" s="5"/>
      <c r="CK465" s="40"/>
      <c r="CL465" s="5"/>
      <c r="CN465" s="40"/>
      <c r="CO465" s="5"/>
      <c r="CQ465" s="40"/>
      <c r="CR465" s="5"/>
    </row>
    <row r="466">
      <c r="AL466" s="40"/>
      <c r="AM466" s="5"/>
      <c r="AO466" s="40"/>
      <c r="AP466" s="5"/>
      <c r="AR466" s="40"/>
      <c r="AS466" s="5"/>
      <c r="AU466" s="40"/>
      <c r="AV466" s="5"/>
      <c r="AX466" s="40"/>
      <c r="AY466" s="5"/>
      <c r="BA466" s="40"/>
      <c r="BB466" s="5"/>
      <c r="BD466" s="40"/>
      <c r="BE466" s="5"/>
      <c r="BG466" s="40"/>
      <c r="BH466" s="5"/>
      <c r="BJ466" s="40"/>
      <c r="BK466" s="5"/>
      <c r="BM466" s="40"/>
      <c r="BN466" s="5"/>
      <c r="BP466" s="40"/>
      <c r="BQ466" s="5"/>
      <c r="BS466" s="40"/>
      <c r="BT466" s="5"/>
      <c r="BV466" s="40"/>
      <c r="BW466" s="5"/>
      <c r="BY466" s="40"/>
      <c r="BZ466" s="5"/>
      <c r="CB466" s="40"/>
      <c r="CC466" s="5"/>
      <c r="CE466" s="40"/>
      <c r="CF466" s="5"/>
      <c r="CH466" s="40"/>
      <c r="CI466" s="5"/>
      <c r="CK466" s="40"/>
      <c r="CL466" s="5"/>
      <c r="CN466" s="40"/>
      <c r="CO466" s="5"/>
      <c r="CQ466" s="40"/>
      <c r="CR466" s="5"/>
    </row>
    <row r="467">
      <c r="AL467" s="40"/>
      <c r="AM467" s="5"/>
      <c r="AO467" s="40"/>
      <c r="AP467" s="5"/>
      <c r="AR467" s="40"/>
      <c r="AS467" s="5"/>
      <c r="AU467" s="40"/>
      <c r="AV467" s="5"/>
      <c r="AX467" s="40"/>
      <c r="AY467" s="5"/>
      <c r="BA467" s="40"/>
      <c r="BB467" s="5"/>
      <c r="BD467" s="40"/>
      <c r="BE467" s="5"/>
      <c r="BG467" s="40"/>
      <c r="BH467" s="5"/>
      <c r="BJ467" s="40"/>
      <c r="BK467" s="5"/>
      <c r="BM467" s="40"/>
      <c r="BN467" s="5"/>
      <c r="BP467" s="40"/>
      <c r="BQ467" s="5"/>
      <c r="BS467" s="40"/>
      <c r="BT467" s="5"/>
      <c r="BV467" s="40"/>
      <c r="BW467" s="5"/>
      <c r="BY467" s="40"/>
      <c r="BZ467" s="5"/>
      <c r="CB467" s="40"/>
      <c r="CC467" s="5"/>
      <c r="CE467" s="40"/>
      <c r="CF467" s="5"/>
      <c r="CH467" s="40"/>
      <c r="CI467" s="5"/>
      <c r="CK467" s="40"/>
      <c r="CL467" s="5"/>
      <c r="CN467" s="40"/>
      <c r="CO467" s="5"/>
      <c r="CQ467" s="40"/>
      <c r="CR467" s="5"/>
    </row>
    <row r="468">
      <c r="AL468" s="40"/>
      <c r="AM468" s="5"/>
      <c r="AO468" s="40"/>
      <c r="AP468" s="5"/>
      <c r="AR468" s="40"/>
      <c r="AS468" s="5"/>
      <c r="AU468" s="40"/>
      <c r="AV468" s="5"/>
      <c r="AX468" s="40"/>
      <c r="AY468" s="5"/>
      <c r="BA468" s="40"/>
      <c r="BB468" s="5"/>
      <c r="BD468" s="40"/>
      <c r="BE468" s="5"/>
      <c r="BG468" s="40"/>
      <c r="BH468" s="5"/>
      <c r="BJ468" s="40"/>
      <c r="BK468" s="5"/>
      <c r="BM468" s="40"/>
      <c r="BN468" s="5"/>
      <c r="BP468" s="40"/>
      <c r="BQ468" s="5"/>
      <c r="BS468" s="40"/>
      <c r="BT468" s="5"/>
      <c r="BV468" s="40"/>
      <c r="BW468" s="5"/>
      <c r="BY468" s="40"/>
      <c r="BZ468" s="5"/>
      <c r="CB468" s="40"/>
      <c r="CC468" s="5"/>
      <c r="CE468" s="40"/>
      <c r="CF468" s="5"/>
      <c r="CH468" s="40"/>
      <c r="CI468" s="5"/>
      <c r="CK468" s="40"/>
      <c r="CL468" s="5"/>
      <c r="CN468" s="40"/>
      <c r="CO468" s="5"/>
      <c r="CQ468" s="40"/>
      <c r="CR468" s="5"/>
    </row>
    <row r="469">
      <c r="AL469" s="40"/>
      <c r="AM469" s="5"/>
      <c r="AO469" s="40"/>
      <c r="AP469" s="5"/>
      <c r="AR469" s="40"/>
      <c r="AS469" s="5"/>
      <c r="AU469" s="40"/>
      <c r="AV469" s="5"/>
      <c r="AX469" s="40"/>
      <c r="AY469" s="5"/>
      <c r="BA469" s="40"/>
      <c r="BB469" s="5"/>
      <c r="BD469" s="40"/>
      <c r="BE469" s="5"/>
      <c r="BG469" s="40"/>
      <c r="BH469" s="5"/>
      <c r="BJ469" s="40"/>
      <c r="BK469" s="5"/>
      <c r="BM469" s="40"/>
      <c r="BN469" s="5"/>
      <c r="BP469" s="40"/>
      <c r="BQ469" s="5"/>
      <c r="BS469" s="40"/>
      <c r="BT469" s="5"/>
      <c r="BV469" s="40"/>
      <c r="BW469" s="5"/>
      <c r="BY469" s="40"/>
      <c r="BZ469" s="5"/>
      <c r="CB469" s="40"/>
      <c r="CC469" s="5"/>
      <c r="CE469" s="40"/>
      <c r="CF469" s="5"/>
      <c r="CH469" s="40"/>
      <c r="CI469" s="5"/>
      <c r="CK469" s="40"/>
      <c r="CL469" s="5"/>
      <c r="CN469" s="40"/>
      <c r="CO469" s="5"/>
      <c r="CQ469" s="40"/>
      <c r="CR469" s="5"/>
    </row>
    <row r="470">
      <c r="AL470" s="40"/>
      <c r="AM470" s="5"/>
      <c r="AO470" s="40"/>
      <c r="AP470" s="5"/>
      <c r="AR470" s="40"/>
      <c r="AS470" s="5"/>
      <c r="AU470" s="40"/>
      <c r="AV470" s="5"/>
      <c r="AX470" s="40"/>
      <c r="AY470" s="5"/>
      <c r="BA470" s="40"/>
      <c r="BB470" s="5"/>
      <c r="BD470" s="40"/>
      <c r="BE470" s="5"/>
      <c r="BG470" s="40"/>
      <c r="BH470" s="5"/>
      <c r="BJ470" s="40"/>
      <c r="BK470" s="5"/>
      <c r="BM470" s="40"/>
      <c r="BN470" s="5"/>
      <c r="BP470" s="40"/>
      <c r="BQ470" s="5"/>
      <c r="BS470" s="40"/>
      <c r="BT470" s="5"/>
      <c r="BV470" s="40"/>
      <c r="BW470" s="5"/>
      <c r="BY470" s="40"/>
      <c r="BZ470" s="5"/>
      <c r="CB470" s="40"/>
      <c r="CC470" s="5"/>
      <c r="CE470" s="40"/>
      <c r="CF470" s="5"/>
      <c r="CH470" s="40"/>
      <c r="CI470" s="5"/>
      <c r="CK470" s="40"/>
      <c r="CL470" s="5"/>
      <c r="CN470" s="40"/>
      <c r="CO470" s="5"/>
      <c r="CQ470" s="40"/>
      <c r="CR470" s="5"/>
    </row>
    <row r="471">
      <c r="AL471" s="40"/>
      <c r="AM471" s="5"/>
      <c r="AO471" s="40"/>
      <c r="AP471" s="5"/>
      <c r="AR471" s="40"/>
      <c r="AS471" s="5"/>
      <c r="AU471" s="40"/>
      <c r="AV471" s="5"/>
      <c r="AX471" s="40"/>
      <c r="AY471" s="5"/>
      <c r="BA471" s="40"/>
      <c r="BB471" s="5"/>
      <c r="BD471" s="40"/>
      <c r="BE471" s="5"/>
      <c r="BG471" s="40"/>
      <c r="BH471" s="5"/>
      <c r="BJ471" s="40"/>
      <c r="BK471" s="5"/>
      <c r="BM471" s="40"/>
      <c r="BN471" s="5"/>
      <c r="BP471" s="40"/>
      <c r="BQ471" s="5"/>
      <c r="BS471" s="40"/>
      <c r="BT471" s="5"/>
      <c r="BV471" s="40"/>
      <c r="BW471" s="5"/>
      <c r="BY471" s="40"/>
      <c r="BZ471" s="5"/>
      <c r="CB471" s="40"/>
      <c r="CC471" s="5"/>
      <c r="CE471" s="40"/>
      <c r="CF471" s="5"/>
      <c r="CH471" s="40"/>
      <c r="CI471" s="5"/>
      <c r="CK471" s="40"/>
      <c r="CL471" s="5"/>
      <c r="CN471" s="40"/>
      <c r="CO471" s="5"/>
      <c r="CQ471" s="40"/>
      <c r="CR471" s="5"/>
    </row>
    <row r="472">
      <c r="AL472" s="40"/>
      <c r="AM472" s="5"/>
      <c r="AO472" s="40"/>
      <c r="AP472" s="5"/>
      <c r="AR472" s="40"/>
      <c r="AS472" s="5"/>
      <c r="AU472" s="40"/>
      <c r="AV472" s="5"/>
      <c r="AX472" s="40"/>
      <c r="AY472" s="5"/>
      <c r="BA472" s="40"/>
      <c r="BB472" s="5"/>
      <c r="BD472" s="40"/>
      <c r="BE472" s="5"/>
      <c r="BG472" s="40"/>
      <c r="BH472" s="5"/>
      <c r="BJ472" s="40"/>
      <c r="BK472" s="5"/>
      <c r="BM472" s="40"/>
      <c r="BN472" s="5"/>
      <c r="BP472" s="40"/>
      <c r="BQ472" s="5"/>
      <c r="BS472" s="40"/>
      <c r="BT472" s="5"/>
      <c r="BV472" s="40"/>
      <c r="BW472" s="5"/>
      <c r="BY472" s="40"/>
      <c r="BZ472" s="5"/>
      <c r="CB472" s="40"/>
      <c r="CC472" s="5"/>
      <c r="CE472" s="40"/>
      <c r="CF472" s="5"/>
      <c r="CH472" s="40"/>
      <c r="CI472" s="5"/>
      <c r="CK472" s="40"/>
      <c r="CL472" s="5"/>
      <c r="CN472" s="40"/>
      <c r="CO472" s="5"/>
      <c r="CQ472" s="40"/>
      <c r="CR472" s="5"/>
    </row>
    <row r="473">
      <c r="AL473" s="40"/>
      <c r="AM473" s="5"/>
      <c r="AO473" s="40"/>
      <c r="AP473" s="5"/>
      <c r="AR473" s="40"/>
      <c r="AS473" s="5"/>
      <c r="AU473" s="40"/>
      <c r="AV473" s="5"/>
      <c r="AX473" s="40"/>
      <c r="AY473" s="5"/>
      <c r="BA473" s="40"/>
      <c r="BB473" s="5"/>
      <c r="BD473" s="40"/>
      <c r="BE473" s="5"/>
      <c r="BG473" s="40"/>
      <c r="BH473" s="5"/>
      <c r="BJ473" s="40"/>
      <c r="BK473" s="5"/>
      <c r="BM473" s="40"/>
      <c r="BN473" s="5"/>
      <c r="BP473" s="40"/>
      <c r="BQ473" s="5"/>
      <c r="BS473" s="40"/>
      <c r="BT473" s="5"/>
      <c r="BV473" s="40"/>
      <c r="BW473" s="5"/>
      <c r="BY473" s="40"/>
      <c r="BZ473" s="5"/>
      <c r="CB473" s="40"/>
      <c r="CC473" s="5"/>
      <c r="CE473" s="40"/>
      <c r="CF473" s="5"/>
      <c r="CH473" s="40"/>
      <c r="CI473" s="5"/>
      <c r="CK473" s="40"/>
      <c r="CL473" s="5"/>
      <c r="CN473" s="40"/>
      <c r="CO473" s="5"/>
      <c r="CQ473" s="40"/>
      <c r="CR473" s="5"/>
    </row>
    <row r="474">
      <c r="AL474" s="40"/>
      <c r="AM474" s="5"/>
      <c r="AO474" s="40"/>
      <c r="AP474" s="5"/>
      <c r="AR474" s="40"/>
      <c r="AS474" s="5"/>
      <c r="AU474" s="40"/>
      <c r="AV474" s="5"/>
      <c r="AX474" s="40"/>
      <c r="AY474" s="5"/>
      <c r="BA474" s="40"/>
      <c r="BB474" s="5"/>
      <c r="BD474" s="40"/>
      <c r="BE474" s="5"/>
      <c r="BG474" s="40"/>
      <c r="BH474" s="5"/>
      <c r="BJ474" s="40"/>
      <c r="BK474" s="5"/>
      <c r="BM474" s="40"/>
      <c r="BN474" s="5"/>
      <c r="BP474" s="40"/>
      <c r="BQ474" s="5"/>
      <c r="BS474" s="40"/>
      <c r="BT474" s="5"/>
      <c r="BV474" s="40"/>
      <c r="BW474" s="5"/>
      <c r="BY474" s="40"/>
      <c r="BZ474" s="5"/>
      <c r="CB474" s="40"/>
      <c r="CC474" s="5"/>
      <c r="CE474" s="40"/>
      <c r="CF474" s="5"/>
      <c r="CH474" s="40"/>
      <c r="CI474" s="5"/>
      <c r="CK474" s="40"/>
      <c r="CL474" s="5"/>
      <c r="CN474" s="40"/>
      <c r="CO474" s="5"/>
      <c r="CQ474" s="40"/>
      <c r="CR474" s="5"/>
    </row>
    <row r="475">
      <c r="AL475" s="40"/>
      <c r="AM475" s="5"/>
      <c r="AO475" s="40"/>
      <c r="AP475" s="5"/>
      <c r="AR475" s="40"/>
      <c r="AS475" s="5"/>
      <c r="AU475" s="40"/>
      <c r="AV475" s="5"/>
      <c r="AX475" s="40"/>
      <c r="AY475" s="5"/>
      <c r="BA475" s="40"/>
      <c r="BB475" s="5"/>
      <c r="BD475" s="40"/>
      <c r="BE475" s="5"/>
      <c r="BG475" s="40"/>
      <c r="BH475" s="5"/>
      <c r="BJ475" s="40"/>
      <c r="BK475" s="5"/>
      <c r="BM475" s="40"/>
      <c r="BN475" s="5"/>
      <c r="BP475" s="40"/>
      <c r="BQ475" s="5"/>
      <c r="BS475" s="40"/>
      <c r="BT475" s="5"/>
      <c r="BV475" s="40"/>
      <c r="BW475" s="5"/>
      <c r="BY475" s="40"/>
      <c r="BZ475" s="5"/>
      <c r="CB475" s="40"/>
      <c r="CC475" s="5"/>
      <c r="CE475" s="40"/>
      <c r="CF475" s="5"/>
      <c r="CH475" s="40"/>
      <c r="CI475" s="5"/>
      <c r="CK475" s="40"/>
      <c r="CL475" s="5"/>
      <c r="CN475" s="40"/>
      <c r="CO475" s="5"/>
      <c r="CQ475" s="40"/>
      <c r="CR475" s="5"/>
    </row>
    <row r="476">
      <c r="AL476" s="40"/>
      <c r="AM476" s="5"/>
      <c r="AO476" s="40"/>
      <c r="AP476" s="5"/>
      <c r="AR476" s="40"/>
      <c r="AS476" s="5"/>
      <c r="AU476" s="40"/>
      <c r="AV476" s="5"/>
      <c r="AX476" s="40"/>
      <c r="AY476" s="5"/>
      <c r="BA476" s="40"/>
      <c r="BB476" s="5"/>
      <c r="BD476" s="40"/>
      <c r="BE476" s="5"/>
      <c r="BG476" s="40"/>
      <c r="BH476" s="5"/>
      <c r="BJ476" s="40"/>
      <c r="BK476" s="5"/>
      <c r="BM476" s="40"/>
      <c r="BN476" s="5"/>
      <c r="BP476" s="40"/>
      <c r="BQ476" s="5"/>
      <c r="BS476" s="40"/>
      <c r="BT476" s="5"/>
      <c r="BV476" s="40"/>
      <c r="BW476" s="5"/>
      <c r="BY476" s="40"/>
      <c r="BZ476" s="5"/>
      <c r="CB476" s="40"/>
      <c r="CC476" s="5"/>
      <c r="CE476" s="40"/>
      <c r="CF476" s="5"/>
      <c r="CH476" s="40"/>
      <c r="CI476" s="5"/>
      <c r="CK476" s="40"/>
      <c r="CL476" s="5"/>
      <c r="CN476" s="40"/>
      <c r="CO476" s="5"/>
      <c r="CQ476" s="40"/>
      <c r="CR476" s="5"/>
    </row>
    <row r="477">
      <c r="AL477" s="40"/>
      <c r="AM477" s="5"/>
      <c r="AO477" s="40"/>
      <c r="AP477" s="5"/>
      <c r="AR477" s="40"/>
      <c r="AS477" s="5"/>
      <c r="AU477" s="40"/>
      <c r="AV477" s="5"/>
      <c r="AX477" s="40"/>
      <c r="AY477" s="5"/>
      <c r="BA477" s="40"/>
      <c r="BB477" s="5"/>
      <c r="BD477" s="40"/>
      <c r="BE477" s="5"/>
      <c r="BG477" s="40"/>
      <c r="BH477" s="5"/>
      <c r="BJ477" s="40"/>
      <c r="BK477" s="5"/>
      <c r="BM477" s="40"/>
      <c r="BN477" s="5"/>
      <c r="BP477" s="40"/>
      <c r="BQ477" s="5"/>
      <c r="BS477" s="40"/>
      <c r="BT477" s="5"/>
      <c r="BV477" s="40"/>
      <c r="BW477" s="5"/>
      <c r="BY477" s="40"/>
      <c r="BZ477" s="5"/>
      <c r="CB477" s="40"/>
      <c r="CC477" s="5"/>
      <c r="CE477" s="40"/>
      <c r="CF477" s="5"/>
      <c r="CH477" s="40"/>
      <c r="CI477" s="5"/>
      <c r="CK477" s="40"/>
      <c r="CL477" s="5"/>
      <c r="CN477" s="40"/>
      <c r="CO477" s="5"/>
      <c r="CQ477" s="40"/>
      <c r="CR477" s="5"/>
    </row>
    <row r="478">
      <c r="AL478" s="40"/>
      <c r="AM478" s="5"/>
      <c r="AO478" s="40"/>
      <c r="AP478" s="5"/>
      <c r="AR478" s="40"/>
      <c r="AS478" s="5"/>
      <c r="AU478" s="40"/>
      <c r="AV478" s="5"/>
      <c r="AX478" s="40"/>
      <c r="AY478" s="5"/>
      <c r="BA478" s="40"/>
      <c r="BB478" s="5"/>
      <c r="BD478" s="40"/>
      <c r="BE478" s="5"/>
      <c r="BG478" s="40"/>
      <c r="BH478" s="5"/>
      <c r="BJ478" s="40"/>
      <c r="BK478" s="5"/>
      <c r="BM478" s="40"/>
      <c r="BN478" s="5"/>
      <c r="BP478" s="40"/>
      <c r="BQ478" s="5"/>
      <c r="BS478" s="40"/>
      <c r="BT478" s="5"/>
      <c r="BV478" s="40"/>
      <c r="BW478" s="5"/>
      <c r="BY478" s="40"/>
      <c r="BZ478" s="5"/>
      <c r="CB478" s="40"/>
      <c r="CC478" s="5"/>
      <c r="CE478" s="40"/>
      <c r="CF478" s="5"/>
      <c r="CH478" s="40"/>
      <c r="CI478" s="5"/>
      <c r="CK478" s="40"/>
      <c r="CL478" s="5"/>
      <c r="CN478" s="40"/>
      <c r="CO478" s="5"/>
      <c r="CQ478" s="40"/>
      <c r="CR478" s="5"/>
    </row>
    <row r="479">
      <c r="AL479" s="40"/>
      <c r="AM479" s="5"/>
      <c r="AO479" s="40"/>
      <c r="AP479" s="5"/>
      <c r="AR479" s="40"/>
      <c r="AS479" s="5"/>
      <c r="AU479" s="40"/>
      <c r="AV479" s="5"/>
      <c r="AX479" s="40"/>
      <c r="AY479" s="5"/>
      <c r="BA479" s="40"/>
      <c r="BB479" s="5"/>
      <c r="BD479" s="40"/>
      <c r="BE479" s="5"/>
      <c r="BG479" s="40"/>
      <c r="BH479" s="5"/>
      <c r="BJ479" s="40"/>
      <c r="BK479" s="5"/>
      <c r="BM479" s="40"/>
      <c r="BN479" s="5"/>
      <c r="BP479" s="40"/>
      <c r="BQ479" s="5"/>
      <c r="BS479" s="40"/>
      <c r="BT479" s="5"/>
      <c r="BV479" s="40"/>
      <c r="BW479" s="5"/>
      <c r="BY479" s="40"/>
      <c r="BZ479" s="5"/>
      <c r="CB479" s="40"/>
      <c r="CC479" s="5"/>
      <c r="CE479" s="40"/>
      <c r="CF479" s="5"/>
      <c r="CH479" s="40"/>
      <c r="CI479" s="5"/>
      <c r="CK479" s="40"/>
      <c r="CL479" s="5"/>
      <c r="CN479" s="40"/>
      <c r="CO479" s="5"/>
      <c r="CQ479" s="40"/>
      <c r="CR479" s="5"/>
    </row>
    <row r="480">
      <c r="AL480" s="40"/>
      <c r="AM480" s="5"/>
      <c r="AO480" s="40"/>
      <c r="AP480" s="5"/>
      <c r="AR480" s="40"/>
      <c r="AS480" s="5"/>
      <c r="AU480" s="40"/>
      <c r="AV480" s="5"/>
      <c r="AX480" s="40"/>
      <c r="AY480" s="5"/>
      <c r="BA480" s="40"/>
      <c r="BB480" s="5"/>
      <c r="BD480" s="40"/>
      <c r="BE480" s="5"/>
      <c r="BG480" s="40"/>
      <c r="BH480" s="5"/>
      <c r="BJ480" s="40"/>
      <c r="BK480" s="5"/>
      <c r="BM480" s="40"/>
      <c r="BN480" s="5"/>
      <c r="BP480" s="40"/>
      <c r="BQ480" s="5"/>
      <c r="BS480" s="40"/>
      <c r="BT480" s="5"/>
      <c r="BV480" s="40"/>
      <c r="BW480" s="5"/>
      <c r="BY480" s="40"/>
      <c r="BZ480" s="5"/>
      <c r="CB480" s="40"/>
      <c r="CC480" s="5"/>
      <c r="CE480" s="40"/>
      <c r="CF480" s="5"/>
      <c r="CH480" s="40"/>
      <c r="CI480" s="5"/>
      <c r="CK480" s="40"/>
      <c r="CL480" s="5"/>
      <c r="CN480" s="40"/>
      <c r="CO480" s="5"/>
      <c r="CQ480" s="40"/>
      <c r="CR480" s="5"/>
    </row>
    <row r="481">
      <c r="AL481" s="40"/>
      <c r="AM481" s="5"/>
      <c r="AO481" s="40"/>
      <c r="AP481" s="5"/>
      <c r="AR481" s="40"/>
      <c r="AS481" s="5"/>
      <c r="AU481" s="40"/>
      <c r="AV481" s="5"/>
      <c r="AX481" s="40"/>
      <c r="AY481" s="5"/>
      <c r="BA481" s="40"/>
      <c r="BB481" s="5"/>
      <c r="BD481" s="40"/>
      <c r="BE481" s="5"/>
      <c r="BG481" s="40"/>
      <c r="BH481" s="5"/>
      <c r="BJ481" s="40"/>
      <c r="BK481" s="5"/>
      <c r="BM481" s="40"/>
      <c r="BN481" s="5"/>
      <c r="BP481" s="40"/>
      <c r="BQ481" s="5"/>
      <c r="BS481" s="40"/>
      <c r="BT481" s="5"/>
      <c r="BV481" s="40"/>
      <c r="BW481" s="5"/>
      <c r="BY481" s="40"/>
      <c r="BZ481" s="5"/>
      <c r="CB481" s="40"/>
      <c r="CC481" s="5"/>
      <c r="CE481" s="40"/>
      <c r="CF481" s="5"/>
      <c r="CH481" s="40"/>
      <c r="CI481" s="5"/>
      <c r="CK481" s="40"/>
      <c r="CL481" s="5"/>
      <c r="CN481" s="40"/>
      <c r="CO481" s="5"/>
      <c r="CQ481" s="40"/>
      <c r="CR481" s="5"/>
    </row>
    <row r="482">
      <c r="AL482" s="40"/>
      <c r="AM482" s="5"/>
      <c r="AO482" s="40"/>
      <c r="AP482" s="5"/>
      <c r="AR482" s="40"/>
      <c r="AS482" s="5"/>
      <c r="AU482" s="40"/>
      <c r="AV482" s="5"/>
      <c r="AX482" s="40"/>
      <c r="AY482" s="5"/>
      <c r="BA482" s="40"/>
      <c r="BB482" s="5"/>
      <c r="BD482" s="40"/>
      <c r="BE482" s="5"/>
      <c r="BG482" s="40"/>
      <c r="BH482" s="5"/>
      <c r="BJ482" s="40"/>
      <c r="BK482" s="5"/>
      <c r="BM482" s="40"/>
      <c r="BN482" s="5"/>
      <c r="BP482" s="40"/>
      <c r="BQ482" s="5"/>
      <c r="BS482" s="40"/>
      <c r="BT482" s="5"/>
      <c r="BV482" s="40"/>
      <c r="BW482" s="5"/>
      <c r="BY482" s="40"/>
      <c r="BZ482" s="5"/>
      <c r="CB482" s="40"/>
      <c r="CC482" s="5"/>
      <c r="CE482" s="40"/>
      <c r="CF482" s="5"/>
      <c r="CH482" s="40"/>
      <c r="CI482" s="5"/>
      <c r="CK482" s="40"/>
      <c r="CL482" s="5"/>
      <c r="CN482" s="40"/>
      <c r="CO482" s="5"/>
      <c r="CQ482" s="40"/>
      <c r="CR482" s="5"/>
    </row>
    <row r="483">
      <c r="AL483" s="40"/>
      <c r="AM483" s="5"/>
      <c r="AO483" s="40"/>
      <c r="AP483" s="5"/>
      <c r="AR483" s="40"/>
      <c r="AS483" s="5"/>
      <c r="AU483" s="40"/>
      <c r="AV483" s="5"/>
      <c r="AX483" s="40"/>
      <c r="AY483" s="5"/>
      <c r="BA483" s="40"/>
      <c r="BB483" s="5"/>
      <c r="BD483" s="40"/>
      <c r="BE483" s="5"/>
      <c r="BG483" s="40"/>
      <c r="BH483" s="5"/>
      <c r="BJ483" s="40"/>
      <c r="BK483" s="5"/>
      <c r="BM483" s="40"/>
      <c r="BN483" s="5"/>
      <c r="BP483" s="40"/>
      <c r="BQ483" s="5"/>
      <c r="BS483" s="40"/>
      <c r="BT483" s="5"/>
      <c r="BV483" s="40"/>
      <c r="BW483" s="5"/>
      <c r="BY483" s="40"/>
      <c r="BZ483" s="5"/>
      <c r="CB483" s="40"/>
      <c r="CC483" s="5"/>
      <c r="CE483" s="40"/>
      <c r="CF483" s="5"/>
      <c r="CH483" s="40"/>
      <c r="CI483" s="5"/>
      <c r="CK483" s="40"/>
      <c r="CL483" s="5"/>
      <c r="CN483" s="40"/>
      <c r="CO483" s="5"/>
      <c r="CQ483" s="40"/>
      <c r="CR483" s="5"/>
    </row>
    <row r="484">
      <c r="AL484" s="40"/>
      <c r="AM484" s="5"/>
      <c r="AO484" s="40"/>
      <c r="AP484" s="5"/>
      <c r="AR484" s="40"/>
      <c r="AS484" s="5"/>
      <c r="AU484" s="40"/>
      <c r="AV484" s="5"/>
      <c r="AX484" s="40"/>
      <c r="AY484" s="5"/>
      <c r="BA484" s="40"/>
      <c r="BB484" s="5"/>
      <c r="BD484" s="40"/>
      <c r="BE484" s="5"/>
      <c r="BG484" s="40"/>
      <c r="BH484" s="5"/>
      <c r="BJ484" s="40"/>
      <c r="BK484" s="5"/>
      <c r="BM484" s="40"/>
      <c r="BN484" s="5"/>
      <c r="BP484" s="40"/>
      <c r="BQ484" s="5"/>
      <c r="BS484" s="40"/>
      <c r="BT484" s="5"/>
      <c r="BV484" s="40"/>
      <c r="BW484" s="5"/>
      <c r="BY484" s="40"/>
      <c r="BZ484" s="5"/>
      <c r="CB484" s="40"/>
      <c r="CC484" s="5"/>
      <c r="CE484" s="40"/>
      <c r="CF484" s="5"/>
      <c r="CH484" s="40"/>
      <c r="CI484" s="5"/>
      <c r="CK484" s="40"/>
      <c r="CL484" s="5"/>
      <c r="CN484" s="40"/>
      <c r="CO484" s="5"/>
      <c r="CQ484" s="40"/>
      <c r="CR484" s="5"/>
    </row>
    <row r="485">
      <c r="AL485" s="40"/>
      <c r="AM485" s="5"/>
      <c r="AO485" s="40"/>
      <c r="AP485" s="5"/>
      <c r="AR485" s="40"/>
      <c r="AS485" s="5"/>
      <c r="AU485" s="40"/>
      <c r="AV485" s="5"/>
      <c r="AX485" s="40"/>
      <c r="AY485" s="5"/>
      <c r="BA485" s="40"/>
      <c r="BB485" s="5"/>
      <c r="BD485" s="40"/>
      <c r="BE485" s="5"/>
      <c r="BG485" s="40"/>
      <c r="BH485" s="5"/>
      <c r="BJ485" s="40"/>
      <c r="BK485" s="5"/>
      <c r="BM485" s="40"/>
      <c r="BN485" s="5"/>
      <c r="BP485" s="40"/>
      <c r="BQ485" s="5"/>
      <c r="BS485" s="40"/>
      <c r="BT485" s="5"/>
      <c r="BV485" s="40"/>
      <c r="BW485" s="5"/>
      <c r="BY485" s="40"/>
      <c r="BZ485" s="5"/>
      <c r="CB485" s="40"/>
      <c r="CC485" s="5"/>
      <c r="CE485" s="40"/>
      <c r="CF485" s="5"/>
      <c r="CH485" s="40"/>
      <c r="CI485" s="5"/>
      <c r="CK485" s="40"/>
      <c r="CL485" s="5"/>
      <c r="CN485" s="40"/>
      <c r="CO485" s="5"/>
      <c r="CQ485" s="40"/>
      <c r="CR485" s="5"/>
    </row>
    <row r="486">
      <c r="AL486" s="40"/>
      <c r="AM486" s="5"/>
      <c r="AO486" s="40"/>
      <c r="AP486" s="5"/>
      <c r="AR486" s="40"/>
      <c r="AS486" s="5"/>
      <c r="AU486" s="40"/>
      <c r="AV486" s="5"/>
      <c r="AX486" s="40"/>
      <c r="AY486" s="5"/>
      <c r="BA486" s="40"/>
      <c r="BB486" s="5"/>
      <c r="BD486" s="40"/>
      <c r="BE486" s="5"/>
      <c r="BG486" s="40"/>
      <c r="BH486" s="5"/>
      <c r="BJ486" s="40"/>
      <c r="BK486" s="5"/>
      <c r="BM486" s="40"/>
      <c r="BN486" s="5"/>
      <c r="BP486" s="40"/>
      <c r="BQ486" s="5"/>
      <c r="BS486" s="40"/>
      <c r="BT486" s="5"/>
      <c r="BV486" s="40"/>
      <c r="BW486" s="5"/>
      <c r="BY486" s="40"/>
      <c r="BZ486" s="5"/>
      <c r="CB486" s="40"/>
      <c r="CC486" s="5"/>
      <c r="CE486" s="40"/>
      <c r="CF486" s="5"/>
      <c r="CH486" s="40"/>
      <c r="CI486" s="5"/>
      <c r="CK486" s="40"/>
      <c r="CL486" s="5"/>
      <c r="CN486" s="40"/>
      <c r="CO486" s="5"/>
      <c r="CQ486" s="40"/>
      <c r="CR486" s="5"/>
    </row>
    <row r="487">
      <c r="AL487" s="40"/>
      <c r="AM487" s="5"/>
      <c r="AO487" s="40"/>
      <c r="AP487" s="5"/>
      <c r="AR487" s="40"/>
      <c r="AS487" s="5"/>
      <c r="AU487" s="40"/>
      <c r="AV487" s="5"/>
      <c r="AX487" s="40"/>
      <c r="AY487" s="5"/>
      <c r="BA487" s="40"/>
      <c r="BB487" s="5"/>
      <c r="BD487" s="40"/>
      <c r="BE487" s="5"/>
      <c r="BG487" s="40"/>
      <c r="BH487" s="5"/>
      <c r="BJ487" s="40"/>
      <c r="BK487" s="5"/>
      <c r="BM487" s="40"/>
      <c r="BN487" s="5"/>
      <c r="BP487" s="40"/>
      <c r="BQ487" s="5"/>
      <c r="BS487" s="40"/>
      <c r="BT487" s="5"/>
      <c r="BV487" s="40"/>
      <c r="BW487" s="5"/>
      <c r="BY487" s="40"/>
      <c r="BZ487" s="5"/>
      <c r="CB487" s="40"/>
      <c r="CC487" s="5"/>
      <c r="CE487" s="40"/>
      <c r="CF487" s="5"/>
      <c r="CH487" s="40"/>
      <c r="CI487" s="5"/>
      <c r="CK487" s="40"/>
      <c r="CL487" s="5"/>
      <c r="CN487" s="40"/>
      <c r="CO487" s="5"/>
      <c r="CQ487" s="40"/>
      <c r="CR487" s="5"/>
    </row>
    <row r="488">
      <c r="AL488" s="40"/>
      <c r="AM488" s="5"/>
      <c r="AO488" s="40"/>
      <c r="AP488" s="5"/>
      <c r="AR488" s="40"/>
      <c r="AS488" s="5"/>
      <c r="AU488" s="40"/>
      <c r="AV488" s="5"/>
      <c r="AX488" s="40"/>
      <c r="AY488" s="5"/>
      <c r="BA488" s="40"/>
      <c r="BB488" s="5"/>
      <c r="BD488" s="40"/>
      <c r="BE488" s="5"/>
      <c r="BG488" s="40"/>
      <c r="BH488" s="5"/>
      <c r="BJ488" s="40"/>
      <c r="BK488" s="5"/>
      <c r="BM488" s="40"/>
      <c r="BN488" s="5"/>
      <c r="BP488" s="40"/>
      <c r="BQ488" s="5"/>
      <c r="BS488" s="40"/>
      <c r="BT488" s="5"/>
      <c r="BV488" s="40"/>
      <c r="BW488" s="5"/>
      <c r="BY488" s="40"/>
      <c r="BZ488" s="5"/>
      <c r="CB488" s="40"/>
      <c r="CC488" s="5"/>
      <c r="CE488" s="40"/>
      <c r="CF488" s="5"/>
      <c r="CH488" s="40"/>
      <c r="CI488" s="5"/>
      <c r="CK488" s="40"/>
      <c r="CL488" s="5"/>
      <c r="CN488" s="40"/>
      <c r="CO488" s="5"/>
      <c r="CQ488" s="40"/>
      <c r="CR488" s="5"/>
    </row>
    <row r="489">
      <c r="AL489" s="40"/>
      <c r="AM489" s="5"/>
      <c r="AO489" s="40"/>
      <c r="AP489" s="5"/>
      <c r="AR489" s="40"/>
      <c r="AS489" s="5"/>
      <c r="AU489" s="40"/>
      <c r="AV489" s="5"/>
      <c r="AX489" s="40"/>
      <c r="AY489" s="5"/>
      <c r="BA489" s="40"/>
      <c r="BB489" s="5"/>
      <c r="BD489" s="40"/>
      <c r="BE489" s="5"/>
      <c r="BG489" s="40"/>
      <c r="BH489" s="5"/>
      <c r="BJ489" s="40"/>
      <c r="BK489" s="5"/>
      <c r="BM489" s="40"/>
      <c r="BN489" s="5"/>
      <c r="BP489" s="40"/>
      <c r="BQ489" s="5"/>
      <c r="BS489" s="40"/>
      <c r="BT489" s="5"/>
      <c r="BV489" s="40"/>
      <c r="BW489" s="5"/>
      <c r="BY489" s="40"/>
      <c r="BZ489" s="5"/>
      <c r="CB489" s="40"/>
      <c r="CC489" s="5"/>
      <c r="CE489" s="40"/>
      <c r="CF489" s="5"/>
      <c r="CH489" s="40"/>
      <c r="CI489" s="5"/>
      <c r="CK489" s="40"/>
      <c r="CL489" s="5"/>
      <c r="CN489" s="40"/>
      <c r="CO489" s="5"/>
      <c r="CQ489" s="40"/>
      <c r="CR489" s="5"/>
    </row>
    <row r="490">
      <c r="AL490" s="40"/>
      <c r="AM490" s="5"/>
      <c r="AO490" s="40"/>
      <c r="AP490" s="5"/>
      <c r="AR490" s="40"/>
      <c r="AS490" s="5"/>
      <c r="AU490" s="40"/>
      <c r="AV490" s="5"/>
      <c r="AX490" s="40"/>
      <c r="AY490" s="5"/>
      <c r="BA490" s="40"/>
      <c r="BB490" s="5"/>
      <c r="BD490" s="40"/>
      <c r="BE490" s="5"/>
      <c r="BG490" s="40"/>
      <c r="BH490" s="5"/>
      <c r="BJ490" s="40"/>
      <c r="BK490" s="5"/>
      <c r="BM490" s="40"/>
      <c r="BN490" s="5"/>
      <c r="BP490" s="40"/>
      <c r="BQ490" s="5"/>
      <c r="BS490" s="40"/>
      <c r="BT490" s="5"/>
      <c r="BV490" s="40"/>
      <c r="BW490" s="5"/>
      <c r="BY490" s="40"/>
      <c r="BZ490" s="5"/>
      <c r="CB490" s="40"/>
      <c r="CC490" s="5"/>
      <c r="CE490" s="40"/>
      <c r="CF490" s="5"/>
      <c r="CH490" s="40"/>
      <c r="CI490" s="5"/>
      <c r="CK490" s="40"/>
      <c r="CL490" s="5"/>
      <c r="CN490" s="40"/>
      <c r="CO490" s="5"/>
      <c r="CQ490" s="40"/>
      <c r="CR490" s="5"/>
    </row>
    <row r="491">
      <c r="AL491" s="40"/>
      <c r="AM491" s="5"/>
      <c r="AO491" s="40"/>
      <c r="AP491" s="5"/>
      <c r="AR491" s="40"/>
      <c r="AS491" s="5"/>
      <c r="AU491" s="40"/>
      <c r="AV491" s="5"/>
      <c r="AX491" s="40"/>
      <c r="AY491" s="5"/>
      <c r="BA491" s="40"/>
      <c r="BB491" s="5"/>
      <c r="BD491" s="40"/>
      <c r="BE491" s="5"/>
      <c r="BG491" s="40"/>
      <c r="BH491" s="5"/>
      <c r="BJ491" s="40"/>
      <c r="BK491" s="5"/>
      <c r="BM491" s="40"/>
      <c r="BN491" s="5"/>
      <c r="BP491" s="40"/>
      <c r="BQ491" s="5"/>
      <c r="BS491" s="40"/>
      <c r="BT491" s="5"/>
      <c r="BV491" s="40"/>
      <c r="BW491" s="5"/>
      <c r="BY491" s="40"/>
      <c r="BZ491" s="5"/>
      <c r="CB491" s="40"/>
      <c r="CC491" s="5"/>
      <c r="CE491" s="40"/>
      <c r="CF491" s="5"/>
      <c r="CH491" s="40"/>
      <c r="CI491" s="5"/>
      <c r="CK491" s="40"/>
      <c r="CL491" s="5"/>
      <c r="CN491" s="40"/>
      <c r="CO491" s="5"/>
      <c r="CQ491" s="40"/>
      <c r="CR491" s="5"/>
    </row>
    <row r="492">
      <c r="AL492" s="40"/>
      <c r="AM492" s="5"/>
      <c r="AO492" s="40"/>
      <c r="AP492" s="5"/>
      <c r="AR492" s="40"/>
      <c r="AS492" s="5"/>
      <c r="AU492" s="40"/>
      <c r="AV492" s="5"/>
      <c r="AX492" s="40"/>
      <c r="AY492" s="5"/>
      <c r="BA492" s="40"/>
      <c r="BB492" s="5"/>
      <c r="BD492" s="40"/>
      <c r="BE492" s="5"/>
      <c r="BG492" s="40"/>
      <c r="BH492" s="5"/>
      <c r="BJ492" s="40"/>
      <c r="BK492" s="5"/>
      <c r="BM492" s="40"/>
      <c r="BN492" s="5"/>
      <c r="BP492" s="40"/>
      <c r="BQ492" s="5"/>
      <c r="BS492" s="40"/>
      <c r="BT492" s="5"/>
      <c r="BV492" s="40"/>
      <c r="BW492" s="5"/>
      <c r="BY492" s="40"/>
      <c r="BZ492" s="5"/>
      <c r="CB492" s="40"/>
      <c r="CC492" s="5"/>
      <c r="CE492" s="40"/>
      <c r="CF492" s="5"/>
      <c r="CH492" s="40"/>
      <c r="CI492" s="5"/>
      <c r="CK492" s="40"/>
      <c r="CL492" s="5"/>
      <c r="CN492" s="40"/>
      <c r="CO492" s="5"/>
      <c r="CQ492" s="40"/>
      <c r="CR492" s="5"/>
    </row>
    <row r="493">
      <c r="AL493" s="40"/>
      <c r="AM493" s="5"/>
      <c r="AO493" s="40"/>
      <c r="AP493" s="5"/>
      <c r="AR493" s="40"/>
      <c r="AS493" s="5"/>
      <c r="AU493" s="40"/>
      <c r="AV493" s="5"/>
      <c r="AX493" s="40"/>
      <c r="AY493" s="5"/>
      <c r="BA493" s="40"/>
      <c r="BB493" s="5"/>
      <c r="BD493" s="40"/>
      <c r="BE493" s="5"/>
      <c r="BG493" s="40"/>
      <c r="BH493" s="5"/>
      <c r="BJ493" s="40"/>
      <c r="BK493" s="5"/>
      <c r="BM493" s="40"/>
      <c r="BN493" s="5"/>
      <c r="BP493" s="40"/>
      <c r="BQ493" s="5"/>
      <c r="BS493" s="40"/>
      <c r="BT493" s="5"/>
      <c r="BV493" s="40"/>
      <c r="BW493" s="5"/>
      <c r="BY493" s="40"/>
      <c r="BZ493" s="5"/>
      <c r="CB493" s="40"/>
      <c r="CC493" s="5"/>
      <c r="CE493" s="40"/>
      <c r="CF493" s="5"/>
      <c r="CH493" s="40"/>
      <c r="CI493" s="5"/>
      <c r="CK493" s="40"/>
      <c r="CL493" s="5"/>
      <c r="CN493" s="40"/>
      <c r="CO493" s="5"/>
      <c r="CQ493" s="40"/>
      <c r="CR493" s="5"/>
    </row>
    <row r="494">
      <c r="AL494" s="40"/>
      <c r="AM494" s="5"/>
      <c r="AO494" s="40"/>
      <c r="AP494" s="5"/>
      <c r="AR494" s="40"/>
      <c r="AS494" s="5"/>
      <c r="AU494" s="40"/>
      <c r="AV494" s="5"/>
      <c r="AX494" s="40"/>
      <c r="AY494" s="5"/>
      <c r="BA494" s="40"/>
      <c r="BB494" s="5"/>
      <c r="BD494" s="40"/>
      <c r="BE494" s="5"/>
      <c r="BG494" s="40"/>
      <c r="BH494" s="5"/>
      <c r="BJ494" s="40"/>
      <c r="BK494" s="5"/>
      <c r="BM494" s="40"/>
      <c r="BN494" s="5"/>
      <c r="BP494" s="40"/>
      <c r="BQ494" s="5"/>
      <c r="BS494" s="40"/>
      <c r="BT494" s="5"/>
      <c r="BV494" s="40"/>
      <c r="BW494" s="5"/>
      <c r="BY494" s="40"/>
      <c r="BZ494" s="5"/>
      <c r="CB494" s="40"/>
      <c r="CC494" s="5"/>
      <c r="CE494" s="40"/>
      <c r="CF494" s="5"/>
      <c r="CH494" s="40"/>
      <c r="CI494" s="5"/>
      <c r="CK494" s="40"/>
      <c r="CL494" s="5"/>
      <c r="CN494" s="40"/>
      <c r="CO494" s="5"/>
      <c r="CQ494" s="40"/>
      <c r="CR494" s="5"/>
    </row>
    <row r="495">
      <c r="AL495" s="40"/>
      <c r="AM495" s="5"/>
      <c r="AO495" s="40"/>
      <c r="AP495" s="5"/>
      <c r="AR495" s="40"/>
      <c r="AS495" s="5"/>
      <c r="AU495" s="40"/>
      <c r="AV495" s="5"/>
      <c r="AX495" s="40"/>
      <c r="AY495" s="5"/>
      <c r="BA495" s="40"/>
      <c r="BB495" s="5"/>
      <c r="BD495" s="40"/>
      <c r="BE495" s="5"/>
      <c r="BG495" s="40"/>
      <c r="BH495" s="5"/>
      <c r="BJ495" s="40"/>
      <c r="BK495" s="5"/>
      <c r="BM495" s="40"/>
      <c r="BN495" s="5"/>
      <c r="BP495" s="40"/>
      <c r="BQ495" s="5"/>
      <c r="BS495" s="40"/>
      <c r="BT495" s="5"/>
      <c r="BV495" s="40"/>
      <c r="BW495" s="5"/>
      <c r="BY495" s="40"/>
      <c r="BZ495" s="5"/>
      <c r="CB495" s="40"/>
      <c r="CC495" s="5"/>
      <c r="CE495" s="40"/>
      <c r="CF495" s="5"/>
      <c r="CH495" s="40"/>
      <c r="CI495" s="5"/>
      <c r="CK495" s="40"/>
      <c r="CL495" s="5"/>
      <c r="CN495" s="40"/>
      <c r="CO495" s="5"/>
      <c r="CQ495" s="40"/>
      <c r="CR495" s="5"/>
    </row>
    <row r="496">
      <c r="AL496" s="40"/>
      <c r="AM496" s="5"/>
      <c r="AO496" s="40"/>
      <c r="AP496" s="5"/>
      <c r="AR496" s="40"/>
      <c r="AS496" s="5"/>
      <c r="AU496" s="40"/>
      <c r="AV496" s="5"/>
      <c r="AX496" s="40"/>
      <c r="AY496" s="5"/>
      <c r="BA496" s="40"/>
      <c r="BB496" s="5"/>
      <c r="BD496" s="40"/>
      <c r="BE496" s="5"/>
      <c r="BG496" s="40"/>
      <c r="BH496" s="5"/>
      <c r="BJ496" s="40"/>
      <c r="BK496" s="5"/>
      <c r="BM496" s="40"/>
      <c r="BN496" s="5"/>
      <c r="BP496" s="40"/>
      <c r="BQ496" s="5"/>
      <c r="BS496" s="40"/>
      <c r="BT496" s="5"/>
      <c r="BV496" s="40"/>
      <c r="BW496" s="5"/>
      <c r="BY496" s="40"/>
      <c r="BZ496" s="5"/>
      <c r="CB496" s="40"/>
      <c r="CC496" s="5"/>
      <c r="CE496" s="40"/>
      <c r="CF496" s="5"/>
      <c r="CH496" s="40"/>
      <c r="CI496" s="5"/>
      <c r="CK496" s="40"/>
      <c r="CL496" s="5"/>
      <c r="CN496" s="40"/>
      <c r="CO496" s="5"/>
      <c r="CQ496" s="40"/>
      <c r="CR496" s="5"/>
    </row>
    <row r="497">
      <c r="AL497" s="40"/>
      <c r="AM497" s="5"/>
      <c r="AO497" s="40"/>
      <c r="AP497" s="5"/>
      <c r="AR497" s="40"/>
      <c r="AS497" s="5"/>
      <c r="AU497" s="40"/>
      <c r="AV497" s="5"/>
      <c r="AX497" s="40"/>
      <c r="AY497" s="5"/>
      <c r="BA497" s="40"/>
      <c r="BB497" s="5"/>
      <c r="BD497" s="40"/>
      <c r="BE497" s="5"/>
      <c r="BG497" s="40"/>
      <c r="BH497" s="5"/>
      <c r="BJ497" s="40"/>
      <c r="BK497" s="5"/>
      <c r="BM497" s="40"/>
      <c r="BN497" s="5"/>
      <c r="BP497" s="40"/>
      <c r="BQ497" s="5"/>
      <c r="BS497" s="40"/>
      <c r="BT497" s="5"/>
      <c r="BV497" s="40"/>
      <c r="BW497" s="5"/>
      <c r="BY497" s="40"/>
      <c r="BZ497" s="5"/>
      <c r="CB497" s="40"/>
      <c r="CC497" s="5"/>
      <c r="CE497" s="40"/>
      <c r="CF497" s="5"/>
      <c r="CH497" s="40"/>
      <c r="CI497" s="5"/>
      <c r="CK497" s="40"/>
      <c r="CL497" s="5"/>
      <c r="CN497" s="40"/>
      <c r="CO497" s="5"/>
      <c r="CQ497" s="40"/>
      <c r="CR497" s="5"/>
    </row>
    <row r="498">
      <c r="AL498" s="40"/>
      <c r="AM498" s="5"/>
      <c r="AO498" s="40"/>
      <c r="AP498" s="5"/>
      <c r="AR498" s="40"/>
      <c r="AS498" s="5"/>
      <c r="AU498" s="40"/>
      <c r="AV498" s="5"/>
      <c r="AX498" s="40"/>
      <c r="AY498" s="5"/>
      <c r="BA498" s="40"/>
      <c r="BB498" s="5"/>
      <c r="BD498" s="40"/>
      <c r="BE498" s="5"/>
      <c r="BG498" s="40"/>
      <c r="BH498" s="5"/>
      <c r="BJ498" s="40"/>
      <c r="BK498" s="5"/>
      <c r="BM498" s="40"/>
      <c r="BN498" s="5"/>
      <c r="BP498" s="40"/>
      <c r="BQ498" s="5"/>
      <c r="BS498" s="40"/>
      <c r="BT498" s="5"/>
      <c r="BV498" s="40"/>
      <c r="BW498" s="5"/>
      <c r="BY498" s="40"/>
      <c r="BZ498" s="5"/>
      <c r="CB498" s="40"/>
      <c r="CC498" s="5"/>
      <c r="CE498" s="40"/>
      <c r="CF498" s="5"/>
      <c r="CH498" s="40"/>
      <c r="CI498" s="5"/>
      <c r="CK498" s="40"/>
      <c r="CL498" s="5"/>
      <c r="CN498" s="40"/>
      <c r="CO498" s="5"/>
      <c r="CQ498" s="40"/>
      <c r="CR498" s="5"/>
    </row>
    <row r="499">
      <c r="AL499" s="40"/>
      <c r="AM499" s="5"/>
      <c r="AO499" s="40"/>
      <c r="AP499" s="5"/>
      <c r="AR499" s="40"/>
      <c r="AS499" s="5"/>
      <c r="AU499" s="40"/>
      <c r="AV499" s="5"/>
      <c r="AX499" s="40"/>
      <c r="AY499" s="5"/>
      <c r="BA499" s="40"/>
      <c r="BB499" s="5"/>
      <c r="BD499" s="40"/>
      <c r="BE499" s="5"/>
      <c r="BG499" s="40"/>
      <c r="BH499" s="5"/>
      <c r="BJ499" s="40"/>
      <c r="BK499" s="5"/>
      <c r="BM499" s="40"/>
      <c r="BN499" s="5"/>
      <c r="BP499" s="40"/>
      <c r="BQ499" s="5"/>
      <c r="BS499" s="40"/>
      <c r="BT499" s="5"/>
      <c r="BV499" s="40"/>
      <c r="BW499" s="5"/>
      <c r="BY499" s="40"/>
      <c r="BZ499" s="5"/>
      <c r="CB499" s="40"/>
      <c r="CC499" s="5"/>
      <c r="CE499" s="40"/>
      <c r="CF499" s="5"/>
      <c r="CH499" s="40"/>
      <c r="CI499" s="5"/>
      <c r="CK499" s="40"/>
      <c r="CL499" s="5"/>
      <c r="CN499" s="40"/>
      <c r="CO499" s="5"/>
      <c r="CQ499" s="40"/>
      <c r="CR499" s="5"/>
    </row>
    <row r="500">
      <c r="AL500" s="40"/>
      <c r="AM500" s="5"/>
      <c r="AO500" s="40"/>
      <c r="AP500" s="5"/>
      <c r="AR500" s="40"/>
      <c r="AS500" s="5"/>
      <c r="AU500" s="40"/>
      <c r="AV500" s="5"/>
      <c r="AX500" s="40"/>
      <c r="AY500" s="5"/>
      <c r="BA500" s="40"/>
      <c r="BB500" s="5"/>
      <c r="BD500" s="40"/>
      <c r="BE500" s="5"/>
      <c r="BG500" s="40"/>
      <c r="BH500" s="5"/>
      <c r="BJ500" s="40"/>
      <c r="BK500" s="5"/>
      <c r="BM500" s="40"/>
      <c r="BN500" s="5"/>
      <c r="BP500" s="40"/>
      <c r="BQ500" s="5"/>
      <c r="BS500" s="40"/>
      <c r="BT500" s="5"/>
      <c r="BV500" s="40"/>
      <c r="BW500" s="5"/>
      <c r="BY500" s="40"/>
      <c r="BZ500" s="5"/>
      <c r="CB500" s="40"/>
      <c r="CC500" s="5"/>
      <c r="CE500" s="40"/>
      <c r="CF500" s="5"/>
      <c r="CH500" s="40"/>
      <c r="CI500" s="5"/>
      <c r="CK500" s="40"/>
      <c r="CL500" s="5"/>
      <c r="CN500" s="40"/>
      <c r="CO500" s="5"/>
      <c r="CQ500" s="40"/>
      <c r="CR500" s="5"/>
    </row>
    <row r="501">
      <c r="AL501" s="40"/>
      <c r="AM501" s="5"/>
      <c r="AO501" s="40"/>
      <c r="AP501" s="5"/>
      <c r="AR501" s="40"/>
      <c r="AS501" s="5"/>
      <c r="AU501" s="40"/>
      <c r="AV501" s="5"/>
      <c r="AX501" s="40"/>
      <c r="AY501" s="5"/>
      <c r="BA501" s="40"/>
      <c r="BB501" s="5"/>
      <c r="BD501" s="40"/>
      <c r="BE501" s="5"/>
      <c r="BG501" s="40"/>
      <c r="BH501" s="5"/>
      <c r="BJ501" s="40"/>
      <c r="BK501" s="5"/>
      <c r="BM501" s="40"/>
      <c r="BN501" s="5"/>
      <c r="BP501" s="40"/>
      <c r="BQ501" s="5"/>
      <c r="BS501" s="40"/>
      <c r="BT501" s="5"/>
      <c r="BV501" s="40"/>
      <c r="BW501" s="5"/>
      <c r="BY501" s="40"/>
      <c r="BZ501" s="5"/>
      <c r="CB501" s="40"/>
      <c r="CC501" s="5"/>
      <c r="CE501" s="40"/>
      <c r="CF501" s="5"/>
      <c r="CH501" s="40"/>
      <c r="CI501" s="5"/>
      <c r="CK501" s="40"/>
      <c r="CL501" s="5"/>
      <c r="CN501" s="40"/>
      <c r="CO501" s="5"/>
      <c r="CQ501" s="40"/>
      <c r="CR501" s="5"/>
    </row>
    <row r="502">
      <c r="AL502" s="40"/>
      <c r="AM502" s="5"/>
      <c r="AO502" s="40"/>
      <c r="AP502" s="5"/>
      <c r="AR502" s="40"/>
      <c r="AS502" s="5"/>
      <c r="AU502" s="40"/>
      <c r="AV502" s="5"/>
      <c r="AX502" s="40"/>
      <c r="AY502" s="5"/>
      <c r="BA502" s="40"/>
      <c r="BB502" s="5"/>
      <c r="BD502" s="40"/>
      <c r="BE502" s="5"/>
      <c r="BG502" s="40"/>
      <c r="BH502" s="5"/>
      <c r="BJ502" s="40"/>
      <c r="BK502" s="5"/>
      <c r="BM502" s="40"/>
      <c r="BN502" s="5"/>
      <c r="BP502" s="40"/>
      <c r="BQ502" s="5"/>
      <c r="BS502" s="40"/>
      <c r="BT502" s="5"/>
      <c r="BV502" s="40"/>
      <c r="BW502" s="5"/>
      <c r="BY502" s="40"/>
      <c r="BZ502" s="5"/>
      <c r="CB502" s="40"/>
      <c r="CC502" s="5"/>
      <c r="CE502" s="40"/>
      <c r="CF502" s="5"/>
      <c r="CH502" s="40"/>
      <c r="CI502" s="5"/>
      <c r="CK502" s="40"/>
      <c r="CL502" s="5"/>
      <c r="CN502" s="40"/>
      <c r="CO502" s="5"/>
      <c r="CQ502" s="40"/>
      <c r="CR502" s="5"/>
    </row>
    <row r="503">
      <c r="AL503" s="40"/>
      <c r="AM503" s="5"/>
      <c r="AO503" s="40"/>
      <c r="AP503" s="5"/>
      <c r="AR503" s="40"/>
      <c r="AS503" s="5"/>
      <c r="AU503" s="40"/>
      <c r="AV503" s="5"/>
      <c r="AX503" s="40"/>
      <c r="AY503" s="5"/>
      <c r="BA503" s="40"/>
      <c r="BB503" s="5"/>
      <c r="BD503" s="40"/>
      <c r="BE503" s="5"/>
      <c r="BG503" s="40"/>
      <c r="BH503" s="5"/>
      <c r="BJ503" s="40"/>
      <c r="BK503" s="5"/>
      <c r="BM503" s="40"/>
      <c r="BN503" s="5"/>
      <c r="BP503" s="40"/>
      <c r="BQ503" s="5"/>
      <c r="BS503" s="40"/>
      <c r="BT503" s="5"/>
      <c r="BV503" s="40"/>
      <c r="BW503" s="5"/>
      <c r="BY503" s="40"/>
      <c r="BZ503" s="5"/>
      <c r="CB503" s="40"/>
      <c r="CC503" s="5"/>
      <c r="CE503" s="40"/>
      <c r="CF503" s="5"/>
      <c r="CH503" s="40"/>
      <c r="CI503" s="5"/>
      <c r="CK503" s="40"/>
      <c r="CL503" s="5"/>
      <c r="CN503" s="40"/>
      <c r="CO503" s="5"/>
      <c r="CQ503" s="40"/>
      <c r="CR503" s="5"/>
    </row>
    <row r="504">
      <c r="AL504" s="40"/>
      <c r="AM504" s="5"/>
      <c r="AO504" s="40"/>
      <c r="AP504" s="5"/>
      <c r="AR504" s="40"/>
      <c r="AS504" s="5"/>
      <c r="AU504" s="40"/>
      <c r="AV504" s="5"/>
      <c r="AX504" s="40"/>
      <c r="AY504" s="5"/>
      <c r="BA504" s="40"/>
      <c r="BB504" s="5"/>
      <c r="BD504" s="40"/>
      <c r="BE504" s="5"/>
      <c r="BG504" s="40"/>
      <c r="BH504" s="5"/>
      <c r="BJ504" s="40"/>
      <c r="BK504" s="5"/>
      <c r="BM504" s="40"/>
      <c r="BN504" s="5"/>
      <c r="BP504" s="40"/>
      <c r="BQ504" s="5"/>
      <c r="BS504" s="40"/>
      <c r="BT504" s="5"/>
      <c r="BV504" s="40"/>
      <c r="BW504" s="5"/>
      <c r="BY504" s="40"/>
      <c r="BZ504" s="5"/>
      <c r="CB504" s="40"/>
      <c r="CC504" s="5"/>
      <c r="CE504" s="40"/>
      <c r="CF504" s="5"/>
      <c r="CH504" s="40"/>
      <c r="CI504" s="5"/>
      <c r="CK504" s="40"/>
      <c r="CL504" s="5"/>
      <c r="CN504" s="40"/>
      <c r="CO504" s="5"/>
      <c r="CQ504" s="40"/>
      <c r="CR504" s="5"/>
    </row>
    <row r="505">
      <c r="AL505" s="40"/>
      <c r="AM505" s="5"/>
      <c r="AO505" s="40"/>
      <c r="AP505" s="5"/>
      <c r="AR505" s="40"/>
      <c r="AS505" s="5"/>
      <c r="AU505" s="40"/>
      <c r="AV505" s="5"/>
      <c r="AX505" s="40"/>
      <c r="AY505" s="5"/>
      <c r="BA505" s="40"/>
      <c r="BB505" s="5"/>
      <c r="BD505" s="40"/>
      <c r="BE505" s="5"/>
      <c r="BG505" s="40"/>
      <c r="BH505" s="5"/>
      <c r="BJ505" s="40"/>
      <c r="BK505" s="5"/>
      <c r="BM505" s="40"/>
      <c r="BN505" s="5"/>
      <c r="BP505" s="40"/>
      <c r="BQ505" s="5"/>
      <c r="BS505" s="40"/>
      <c r="BT505" s="5"/>
      <c r="BV505" s="40"/>
      <c r="BW505" s="5"/>
      <c r="BY505" s="40"/>
      <c r="BZ505" s="5"/>
      <c r="CB505" s="40"/>
      <c r="CC505" s="5"/>
      <c r="CE505" s="40"/>
      <c r="CF505" s="5"/>
      <c r="CH505" s="40"/>
      <c r="CI505" s="5"/>
      <c r="CK505" s="40"/>
      <c r="CL505" s="5"/>
      <c r="CN505" s="40"/>
      <c r="CO505" s="5"/>
      <c r="CQ505" s="40"/>
      <c r="CR505" s="5"/>
    </row>
    <row r="506">
      <c r="AL506" s="40"/>
      <c r="AM506" s="5"/>
      <c r="AO506" s="40"/>
      <c r="AP506" s="5"/>
      <c r="AR506" s="40"/>
      <c r="AS506" s="5"/>
      <c r="AU506" s="40"/>
      <c r="AV506" s="5"/>
      <c r="AX506" s="40"/>
      <c r="AY506" s="5"/>
      <c r="BA506" s="40"/>
      <c r="BB506" s="5"/>
      <c r="BD506" s="40"/>
      <c r="BE506" s="5"/>
      <c r="BG506" s="40"/>
      <c r="BH506" s="5"/>
      <c r="BJ506" s="40"/>
      <c r="BK506" s="5"/>
      <c r="BM506" s="40"/>
      <c r="BN506" s="5"/>
      <c r="BP506" s="40"/>
      <c r="BQ506" s="5"/>
      <c r="BS506" s="40"/>
      <c r="BT506" s="5"/>
      <c r="BV506" s="40"/>
      <c r="BW506" s="5"/>
      <c r="BY506" s="40"/>
      <c r="BZ506" s="5"/>
      <c r="CB506" s="40"/>
      <c r="CC506" s="5"/>
      <c r="CE506" s="40"/>
      <c r="CF506" s="5"/>
      <c r="CH506" s="40"/>
      <c r="CI506" s="5"/>
      <c r="CK506" s="40"/>
      <c r="CL506" s="5"/>
      <c r="CN506" s="40"/>
      <c r="CO506" s="5"/>
      <c r="CQ506" s="40"/>
      <c r="CR506" s="5"/>
    </row>
    <row r="507">
      <c r="AL507" s="40"/>
      <c r="AM507" s="5"/>
      <c r="AO507" s="40"/>
      <c r="AP507" s="5"/>
      <c r="AR507" s="40"/>
      <c r="AS507" s="5"/>
      <c r="AU507" s="40"/>
      <c r="AV507" s="5"/>
      <c r="AX507" s="40"/>
      <c r="AY507" s="5"/>
      <c r="BA507" s="40"/>
      <c r="BB507" s="5"/>
      <c r="BD507" s="40"/>
      <c r="BE507" s="5"/>
      <c r="BG507" s="40"/>
      <c r="BH507" s="5"/>
      <c r="BJ507" s="40"/>
      <c r="BK507" s="5"/>
      <c r="BM507" s="40"/>
      <c r="BN507" s="5"/>
      <c r="BP507" s="40"/>
      <c r="BQ507" s="5"/>
      <c r="BS507" s="40"/>
      <c r="BT507" s="5"/>
      <c r="BV507" s="40"/>
      <c r="BW507" s="5"/>
      <c r="BY507" s="40"/>
      <c r="BZ507" s="5"/>
      <c r="CB507" s="40"/>
      <c r="CC507" s="5"/>
      <c r="CE507" s="40"/>
      <c r="CF507" s="5"/>
      <c r="CH507" s="40"/>
      <c r="CI507" s="5"/>
      <c r="CK507" s="40"/>
      <c r="CL507" s="5"/>
      <c r="CN507" s="40"/>
      <c r="CO507" s="5"/>
      <c r="CQ507" s="40"/>
      <c r="CR507" s="5"/>
    </row>
    <row r="508">
      <c r="AL508" s="40"/>
      <c r="AM508" s="5"/>
      <c r="AO508" s="40"/>
      <c r="AP508" s="5"/>
      <c r="AR508" s="40"/>
      <c r="AS508" s="5"/>
      <c r="AU508" s="40"/>
      <c r="AV508" s="5"/>
      <c r="AX508" s="40"/>
      <c r="AY508" s="5"/>
      <c r="BA508" s="40"/>
      <c r="BB508" s="5"/>
      <c r="BD508" s="40"/>
      <c r="BE508" s="5"/>
      <c r="BG508" s="40"/>
      <c r="BH508" s="5"/>
      <c r="BJ508" s="40"/>
      <c r="BK508" s="5"/>
      <c r="BM508" s="40"/>
      <c r="BN508" s="5"/>
      <c r="BP508" s="40"/>
      <c r="BQ508" s="5"/>
      <c r="BS508" s="40"/>
      <c r="BT508" s="5"/>
      <c r="BV508" s="40"/>
      <c r="BW508" s="5"/>
      <c r="BY508" s="40"/>
      <c r="BZ508" s="5"/>
      <c r="CB508" s="40"/>
      <c r="CC508" s="5"/>
      <c r="CE508" s="40"/>
      <c r="CF508" s="5"/>
      <c r="CH508" s="40"/>
      <c r="CI508" s="5"/>
      <c r="CK508" s="40"/>
      <c r="CL508" s="5"/>
      <c r="CN508" s="40"/>
      <c r="CO508" s="5"/>
      <c r="CQ508" s="40"/>
      <c r="CR508" s="5"/>
    </row>
    <row r="509">
      <c r="AL509" s="40"/>
      <c r="AM509" s="5"/>
      <c r="AO509" s="40"/>
      <c r="AP509" s="5"/>
      <c r="AR509" s="40"/>
      <c r="AS509" s="5"/>
      <c r="AU509" s="40"/>
      <c r="AV509" s="5"/>
      <c r="AX509" s="40"/>
      <c r="AY509" s="5"/>
      <c r="BA509" s="40"/>
      <c r="BB509" s="5"/>
      <c r="BD509" s="40"/>
      <c r="BE509" s="5"/>
      <c r="BG509" s="40"/>
      <c r="BH509" s="5"/>
      <c r="BJ509" s="40"/>
      <c r="BK509" s="5"/>
      <c r="BM509" s="40"/>
      <c r="BN509" s="5"/>
      <c r="BP509" s="40"/>
      <c r="BQ509" s="5"/>
      <c r="BS509" s="40"/>
      <c r="BT509" s="5"/>
      <c r="BV509" s="40"/>
      <c r="BW509" s="5"/>
      <c r="BY509" s="40"/>
      <c r="BZ509" s="5"/>
      <c r="CB509" s="40"/>
      <c r="CC509" s="5"/>
      <c r="CE509" s="40"/>
      <c r="CF509" s="5"/>
      <c r="CH509" s="40"/>
      <c r="CI509" s="5"/>
      <c r="CK509" s="40"/>
      <c r="CL509" s="5"/>
      <c r="CN509" s="40"/>
      <c r="CO509" s="5"/>
      <c r="CQ509" s="40"/>
      <c r="CR509" s="5"/>
    </row>
    <row r="510">
      <c r="AL510" s="40"/>
      <c r="AM510" s="5"/>
      <c r="AO510" s="40"/>
      <c r="AP510" s="5"/>
      <c r="AR510" s="40"/>
      <c r="AS510" s="5"/>
      <c r="AU510" s="40"/>
      <c r="AV510" s="5"/>
      <c r="AX510" s="40"/>
      <c r="AY510" s="5"/>
      <c r="BA510" s="40"/>
      <c r="BB510" s="5"/>
      <c r="BD510" s="40"/>
      <c r="BE510" s="5"/>
      <c r="BG510" s="40"/>
      <c r="BH510" s="5"/>
      <c r="BJ510" s="40"/>
      <c r="BK510" s="5"/>
      <c r="BM510" s="40"/>
      <c r="BN510" s="5"/>
      <c r="BP510" s="40"/>
      <c r="BQ510" s="5"/>
      <c r="BS510" s="40"/>
      <c r="BT510" s="5"/>
      <c r="BV510" s="40"/>
      <c r="BW510" s="5"/>
      <c r="BY510" s="40"/>
      <c r="BZ510" s="5"/>
      <c r="CB510" s="40"/>
      <c r="CC510" s="5"/>
      <c r="CE510" s="40"/>
      <c r="CF510" s="5"/>
      <c r="CH510" s="40"/>
      <c r="CI510" s="5"/>
      <c r="CK510" s="40"/>
      <c r="CL510" s="5"/>
      <c r="CN510" s="40"/>
      <c r="CO510" s="5"/>
      <c r="CQ510" s="40"/>
      <c r="CR510" s="5"/>
    </row>
    <row r="511">
      <c r="AL511" s="40"/>
      <c r="AM511" s="5"/>
      <c r="AO511" s="40"/>
      <c r="AP511" s="5"/>
      <c r="AR511" s="40"/>
      <c r="AS511" s="5"/>
      <c r="AU511" s="40"/>
      <c r="AV511" s="5"/>
      <c r="AX511" s="40"/>
      <c r="AY511" s="5"/>
      <c r="BA511" s="40"/>
      <c r="BB511" s="5"/>
      <c r="BD511" s="40"/>
      <c r="BE511" s="5"/>
      <c r="BG511" s="40"/>
      <c r="BH511" s="5"/>
      <c r="BJ511" s="40"/>
      <c r="BK511" s="5"/>
      <c r="BM511" s="40"/>
      <c r="BN511" s="5"/>
      <c r="BP511" s="40"/>
      <c r="BQ511" s="5"/>
      <c r="BS511" s="40"/>
      <c r="BT511" s="5"/>
      <c r="BV511" s="40"/>
      <c r="BW511" s="5"/>
      <c r="BY511" s="40"/>
      <c r="BZ511" s="5"/>
      <c r="CB511" s="40"/>
      <c r="CC511" s="5"/>
      <c r="CE511" s="40"/>
      <c r="CF511" s="5"/>
      <c r="CH511" s="40"/>
      <c r="CI511" s="5"/>
      <c r="CK511" s="40"/>
      <c r="CL511" s="5"/>
      <c r="CN511" s="40"/>
      <c r="CO511" s="5"/>
      <c r="CQ511" s="40"/>
      <c r="CR511" s="5"/>
    </row>
    <row r="512">
      <c r="AL512" s="40"/>
      <c r="AM512" s="5"/>
      <c r="AO512" s="40"/>
      <c r="AP512" s="5"/>
      <c r="AR512" s="40"/>
      <c r="AS512" s="5"/>
      <c r="AU512" s="40"/>
      <c r="AV512" s="5"/>
      <c r="AX512" s="40"/>
      <c r="AY512" s="5"/>
      <c r="BA512" s="40"/>
      <c r="BB512" s="5"/>
      <c r="BD512" s="40"/>
      <c r="BE512" s="5"/>
      <c r="BG512" s="40"/>
      <c r="BH512" s="5"/>
      <c r="BJ512" s="40"/>
      <c r="BK512" s="5"/>
      <c r="BM512" s="40"/>
      <c r="BN512" s="5"/>
      <c r="BP512" s="40"/>
      <c r="BQ512" s="5"/>
      <c r="BS512" s="40"/>
      <c r="BT512" s="5"/>
      <c r="BV512" s="40"/>
      <c r="BW512" s="5"/>
      <c r="BY512" s="40"/>
      <c r="BZ512" s="5"/>
      <c r="CB512" s="40"/>
      <c r="CC512" s="5"/>
      <c r="CE512" s="40"/>
      <c r="CF512" s="5"/>
      <c r="CH512" s="40"/>
      <c r="CI512" s="5"/>
      <c r="CK512" s="40"/>
      <c r="CL512" s="5"/>
      <c r="CN512" s="40"/>
      <c r="CO512" s="5"/>
      <c r="CQ512" s="40"/>
      <c r="CR512" s="5"/>
    </row>
    <row r="513">
      <c r="AL513" s="40"/>
      <c r="AM513" s="5"/>
      <c r="AO513" s="40"/>
      <c r="AP513" s="5"/>
      <c r="AR513" s="40"/>
      <c r="AS513" s="5"/>
      <c r="AU513" s="40"/>
      <c r="AV513" s="5"/>
      <c r="AX513" s="40"/>
      <c r="AY513" s="5"/>
      <c r="BA513" s="40"/>
      <c r="BB513" s="5"/>
      <c r="BD513" s="40"/>
      <c r="BE513" s="5"/>
      <c r="BG513" s="40"/>
      <c r="BH513" s="5"/>
      <c r="BJ513" s="40"/>
      <c r="BK513" s="5"/>
      <c r="BM513" s="40"/>
      <c r="BN513" s="5"/>
      <c r="BP513" s="40"/>
      <c r="BQ513" s="5"/>
      <c r="BS513" s="40"/>
      <c r="BT513" s="5"/>
      <c r="BV513" s="40"/>
      <c r="BW513" s="5"/>
      <c r="BY513" s="40"/>
      <c r="BZ513" s="5"/>
      <c r="CB513" s="40"/>
      <c r="CC513" s="5"/>
      <c r="CE513" s="40"/>
      <c r="CF513" s="5"/>
      <c r="CH513" s="40"/>
      <c r="CI513" s="5"/>
      <c r="CK513" s="40"/>
      <c r="CL513" s="5"/>
      <c r="CN513" s="40"/>
      <c r="CO513" s="5"/>
      <c r="CQ513" s="40"/>
      <c r="CR513" s="5"/>
    </row>
    <row r="514">
      <c r="AL514" s="40"/>
      <c r="AM514" s="5"/>
      <c r="AO514" s="40"/>
      <c r="AP514" s="5"/>
      <c r="AR514" s="40"/>
      <c r="AS514" s="5"/>
      <c r="AU514" s="40"/>
      <c r="AV514" s="5"/>
      <c r="AX514" s="40"/>
      <c r="AY514" s="5"/>
      <c r="BA514" s="40"/>
      <c r="BB514" s="5"/>
      <c r="BD514" s="40"/>
      <c r="BE514" s="5"/>
      <c r="BG514" s="40"/>
      <c r="BH514" s="5"/>
      <c r="BJ514" s="40"/>
      <c r="BK514" s="5"/>
      <c r="BM514" s="40"/>
      <c r="BN514" s="5"/>
      <c r="BP514" s="40"/>
      <c r="BQ514" s="5"/>
      <c r="BS514" s="40"/>
      <c r="BT514" s="5"/>
      <c r="BV514" s="40"/>
      <c r="BW514" s="5"/>
      <c r="BY514" s="40"/>
      <c r="BZ514" s="5"/>
      <c r="CB514" s="40"/>
      <c r="CC514" s="5"/>
      <c r="CE514" s="40"/>
      <c r="CF514" s="5"/>
      <c r="CH514" s="40"/>
      <c r="CI514" s="5"/>
      <c r="CK514" s="40"/>
      <c r="CL514" s="5"/>
      <c r="CN514" s="40"/>
      <c r="CO514" s="5"/>
      <c r="CQ514" s="40"/>
      <c r="CR514" s="5"/>
    </row>
    <row r="515">
      <c r="AL515" s="40"/>
      <c r="AM515" s="5"/>
      <c r="AO515" s="40"/>
      <c r="AP515" s="5"/>
      <c r="AR515" s="40"/>
      <c r="AS515" s="5"/>
      <c r="AU515" s="40"/>
      <c r="AV515" s="5"/>
      <c r="AX515" s="40"/>
      <c r="AY515" s="5"/>
      <c r="BA515" s="40"/>
      <c r="BB515" s="5"/>
      <c r="BD515" s="40"/>
      <c r="BE515" s="5"/>
      <c r="BG515" s="40"/>
      <c r="BH515" s="5"/>
      <c r="BJ515" s="40"/>
      <c r="BK515" s="5"/>
      <c r="BM515" s="40"/>
      <c r="BN515" s="5"/>
      <c r="BP515" s="40"/>
      <c r="BQ515" s="5"/>
      <c r="BS515" s="40"/>
      <c r="BT515" s="5"/>
      <c r="BV515" s="40"/>
      <c r="BW515" s="5"/>
      <c r="BY515" s="40"/>
      <c r="BZ515" s="5"/>
      <c r="CB515" s="40"/>
      <c r="CC515" s="5"/>
      <c r="CE515" s="40"/>
      <c r="CF515" s="5"/>
      <c r="CH515" s="40"/>
      <c r="CI515" s="5"/>
      <c r="CK515" s="40"/>
      <c r="CL515" s="5"/>
      <c r="CN515" s="40"/>
      <c r="CO515" s="5"/>
      <c r="CQ515" s="40"/>
      <c r="CR515" s="5"/>
    </row>
    <row r="516">
      <c r="AL516" s="40"/>
      <c r="AM516" s="5"/>
      <c r="AO516" s="40"/>
      <c r="AP516" s="5"/>
      <c r="AR516" s="40"/>
      <c r="AS516" s="5"/>
      <c r="AU516" s="40"/>
      <c r="AV516" s="5"/>
      <c r="AX516" s="40"/>
      <c r="AY516" s="5"/>
      <c r="BA516" s="40"/>
      <c r="BB516" s="5"/>
      <c r="BD516" s="40"/>
      <c r="BE516" s="5"/>
      <c r="BG516" s="40"/>
      <c r="BH516" s="5"/>
      <c r="BJ516" s="40"/>
      <c r="BK516" s="5"/>
      <c r="BM516" s="40"/>
      <c r="BN516" s="5"/>
      <c r="BP516" s="40"/>
      <c r="BQ516" s="5"/>
      <c r="BS516" s="40"/>
      <c r="BT516" s="5"/>
      <c r="BV516" s="40"/>
      <c r="BW516" s="5"/>
      <c r="BY516" s="40"/>
      <c r="BZ516" s="5"/>
      <c r="CB516" s="40"/>
      <c r="CC516" s="5"/>
      <c r="CE516" s="40"/>
      <c r="CF516" s="5"/>
      <c r="CH516" s="40"/>
      <c r="CI516" s="5"/>
      <c r="CK516" s="40"/>
      <c r="CL516" s="5"/>
      <c r="CN516" s="40"/>
      <c r="CO516" s="5"/>
      <c r="CQ516" s="40"/>
      <c r="CR516" s="5"/>
    </row>
    <row r="517">
      <c r="AL517" s="40"/>
      <c r="AM517" s="5"/>
      <c r="AO517" s="40"/>
      <c r="AP517" s="5"/>
      <c r="AR517" s="40"/>
      <c r="AS517" s="5"/>
      <c r="AU517" s="40"/>
      <c r="AV517" s="5"/>
      <c r="AX517" s="40"/>
      <c r="AY517" s="5"/>
      <c r="BA517" s="40"/>
      <c r="BB517" s="5"/>
      <c r="BD517" s="40"/>
      <c r="BE517" s="5"/>
      <c r="BG517" s="40"/>
      <c r="BH517" s="5"/>
      <c r="BJ517" s="40"/>
      <c r="BK517" s="5"/>
      <c r="BM517" s="40"/>
      <c r="BN517" s="5"/>
      <c r="BP517" s="40"/>
      <c r="BQ517" s="5"/>
      <c r="BS517" s="40"/>
      <c r="BT517" s="5"/>
      <c r="BV517" s="40"/>
      <c r="BW517" s="5"/>
      <c r="BY517" s="40"/>
      <c r="BZ517" s="5"/>
      <c r="CB517" s="40"/>
      <c r="CC517" s="5"/>
      <c r="CE517" s="40"/>
      <c r="CF517" s="5"/>
      <c r="CH517" s="40"/>
      <c r="CI517" s="5"/>
      <c r="CK517" s="40"/>
      <c r="CL517" s="5"/>
      <c r="CN517" s="40"/>
      <c r="CO517" s="5"/>
      <c r="CQ517" s="40"/>
      <c r="CR517" s="5"/>
    </row>
    <row r="518">
      <c r="AL518" s="40"/>
      <c r="AM518" s="5"/>
      <c r="AO518" s="40"/>
      <c r="AP518" s="5"/>
      <c r="AR518" s="40"/>
      <c r="AS518" s="5"/>
      <c r="AU518" s="40"/>
      <c r="AV518" s="5"/>
      <c r="AX518" s="40"/>
      <c r="AY518" s="5"/>
      <c r="BA518" s="40"/>
      <c r="BB518" s="5"/>
      <c r="BD518" s="40"/>
      <c r="BE518" s="5"/>
      <c r="BG518" s="40"/>
      <c r="BH518" s="5"/>
      <c r="BJ518" s="40"/>
      <c r="BK518" s="5"/>
      <c r="BM518" s="40"/>
      <c r="BN518" s="5"/>
      <c r="BP518" s="40"/>
      <c r="BQ518" s="5"/>
      <c r="BS518" s="40"/>
      <c r="BT518" s="5"/>
      <c r="BV518" s="40"/>
      <c r="BW518" s="5"/>
      <c r="BY518" s="40"/>
      <c r="BZ518" s="5"/>
      <c r="CB518" s="40"/>
      <c r="CC518" s="5"/>
      <c r="CE518" s="40"/>
      <c r="CF518" s="5"/>
      <c r="CH518" s="40"/>
      <c r="CI518" s="5"/>
      <c r="CK518" s="40"/>
      <c r="CL518" s="5"/>
      <c r="CN518" s="40"/>
      <c r="CO518" s="5"/>
      <c r="CQ518" s="40"/>
      <c r="CR518" s="5"/>
    </row>
    <row r="519">
      <c r="AL519" s="40"/>
      <c r="AM519" s="5"/>
      <c r="AO519" s="40"/>
      <c r="AP519" s="5"/>
      <c r="AR519" s="40"/>
      <c r="AS519" s="5"/>
      <c r="AU519" s="40"/>
      <c r="AV519" s="5"/>
      <c r="AX519" s="40"/>
      <c r="AY519" s="5"/>
      <c r="BA519" s="40"/>
      <c r="BB519" s="5"/>
      <c r="BD519" s="40"/>
      <c r="BE519" s="5"/>
      <c r="BG519" s="40"/>
      <c r="BH519" s="5"/>
      <c r="BJ519" s="40"/>
      <c r="BK519" s="5"/>
      <c r="BM519" s="40"/>
      <c r="BN519" s="5"/>
      <c r="BP519" s="40"/>
      <c r="BQ519" s="5"/>
      <c r="BS519" s="40"/>
      <c r="BT519" s="5"/>
      <c r="BV519" s="40"/>
      <c r="BW519" s="5"/>
      <c r="BY519" s="40"/>
      <c r="BZ519" s="5"/>
      <c r="CB519" s="40"/>
      <c r="CC519" s="5"/>
      <c r="CE519" s="40"/>
      <c r="CF519" s="5"/>
      <c r="CH519" s="40"/>
      <c r="CI519" s="5"/>
      <c r="CK519" s="40"/>
      <c r="CL519" s="5"/>
      <c r="CN519" s="40"/>
      <c r="CO519" s="5"/>
      <c r="CQ519" s="40"/>
      <c r="CR519" s="5"/>
    </row>
    <row r="520">
      <c r="AL520" s="40"/>
      <c r="AM520" s="5"/>
      <c r="AO520" s="40"/>
      <c r="AP520" s="5"/>
      <c r="AR520" s="40"/>
      <c r="AS520" s="5"/>
      <c r="AU520" s="40"/>
      <c r="AV520" s="5"/>
      <c r="AX520" s="40"/>
      <c r="AY520" s="5"/>
      <c r="BA520" s="40"/>
      <c r="BB520" s="5"/>
      <c r="BD520" s="40"/>
      <c r="BE520" s="5"/>
      <c r="BG520" s="40"/>
      <c r="BH520" s="5"/>
      <c r="BJ520" s="40"/>
      <c r="BK520" s="5"/>
      <c r="BM520" s="40"/>
      <c r="BN520" s="5"/>
      <c r="BP520" s="40"/>
      <c r="BQ520" s="5"/>
      <c r="BS520" s="40"/>
      <c r="BT520" s="5"/>
      <c r="BV520" s="40"/>
      <c r="BW520" s="5"/>
      <c r="BY520" s="40"/>
      <c r="BZ520" s="5"/>
      <c r="CB520" s="40"/>
      <c r="CC520" s="5"/>
      <c r="CE520" s="40"/>
      <c r="CF520" s="5"/>
      <c r="CH520" s="40"/>
      <c r="CI520" s="5"/>
      <c r="CK520" s="40"/>
      <c r="CL520" s="5"/>
      <c r="CN520" s="40"/>
      <c r="CO520" s="5"/>
      <c r="CQ520" s="40"/>
      <c r="CR520" s="5"/>
    </row>
    <row r="521">
      <c r="AL521" s="40"/>
      <c r="AM521" s="5"/>
      <c r="AO521" s="40"/>
      <c r="AP521" s="5"/>
      <c r="AR521" s="40"/>
      <c r="AS521" s="5"/>
      <c r="AU521" s="40"/>
      <c r="AV521" s="5"/>
      <c r="AX521" s="40"/>
      <c r="AY521" s="5"/>
      <c r="BA521" s="40"/>
      <c r="BB521" s="5"/>
      <c r="BD521" s="40"/>
      <c r="BE521" s="5"/>
      <c r="BG521" s="40"/>
      <c r="BH521" s="5"/>
      <c r="BJ521" s="40"/>
      <c r="BK521" s="5"/>
      <c r="BM521" s="40"/>
      <c r="BN521" s="5"/>
      <c r="BP521" s="40"/>
      <c r="BQ521" s="5"/>
      <c r="BS521" s="40"/>
      <c r="BT521" s="5"/>
      <c r="BV521" s="40"/>
      <c r="BW521" s="5"/>
      <c r="BY521" s="40"/>
      <c r="BZ521" s="5"/>
      <c r="CB521" s="40"/>
      <c r="CC521" s="5"/>
      <c r="CE521" s="40"/>
      <c r="CF521" s="5"/>
      <c r="CH521" s="40"/>
      <c r="CI521" s="5"/>
      <c r="CK521" s="40"/>
      <c r="CL521" s="5"/>
      <c r="CN521" s="40"/>
      <c r="CO521" s="5"/>
      <c r="CQ521" s="40"/>
      <c r="CR521" s="5"/>
    </row>
    <row r="522">
      <c r="AL522" s="40"/>
      <c r="AM522" s="5"/>
      <c r="AO522" s="40"/>
      <c r="AP522" s="5"/>
      <c r="AR522" s="40"/>
      <c r="AS522" s="5"/>
      <c r="AU522" s="40"/>
      <c r="AV522" s="5"/>
      <c r="AX522" s="40"/>
      <c r="AY522" s="5"/>
      <c r="BA522" s="40"/>
      <c r="BB522" s="5"/>
      <c r="BD522" s="40"/>
      <c r="BE522" s="5"/>
      <c r="BG522" s="40"/>
      <c r="BH522" s="5"/>
      <c r="BJ522" s="40"/>
      <c r="BK522" s="5"/>
      <c r="BM522" s="40"/>
      <c r="BN522" s="5"/>
      <c r="BP522" s="40"/>
      <c r="BQ522" s="5"/>
      <c r="BS522" s="40"/>
      <c r="BT522" s="5"/>
      <c r="BV522" s="40"/>
      <c r="BW522" s="5"/>
      <c r="BY522" s="40"/>
      <c r="BZ522" s="5"/>
      <c r="CB522" s="40"/>
      <c r="CC522" s="5"/>
      <c r="CE522" s="40"/>
      <c r="CF522" s="5"/>
      <c r="CH522" s="40"/>
      <c r="CI522" s="5"/>
      <c r="CK522" s="40"/>
      <c r="CL522" s="5"/>
      <c r="CN522" s="40"/>
      <c r="CO522" s="5"/>
      <c r="CQ522" s="40"/>
      <c r="CR522" s="5"/>
    </row>
    <row r="523">
      <c r="AL523" s="40"/>
      <c r="AM523" s="5"/>
      <c r="AO523" s="40"/>
      <c r="AP523" s="5"/>
      <c r="AR523" s="40"/>
      <c r="AS523" s="5"/>
      <c r="AU523" s="40"/>
      <c r="AV523" s="5"/>
      <c r="AX523" s="40"/>
      <c r="AY523" s="5"/>
      <c r="BA523" s="40"/>
      <c r="BB523" s="5"/>
      <c r="BD523" s="40"/>
      <c r="BE523" s="5"/>
      <c r="BG523" s="40"/>
      <c r="BH523" s="5"/>
      <c r="BJ523" s="40"/>
      <c r="BK523" s="5"/>
      <c r="BM523" s="40"/>
      <c r="BN523" s="5"/>
      <c r="BP523" s="40"/>
      <c r="BQ523" s="5"/>
      <c r="BS523" s="40"/>
      <c r="BT523" s="5"/>
      <c r="BV523" s="40"/>
      <c r="BW523" s="5"/>
      <c r="BY523" s="40"/>
      <c r="BZ523" s="5"/>
      <c r="CB523" s="40"/>
      <c r="CC523" s="5"/>
      <c r="CE523" s="40"/>
      <c r="CF523" s="5"/>
      <c r="CH523" s="40"/>
      <c r="CI523" s="5"/>
      <c r="CK523" s="40"/>
      <c r="CL523" s="5"/>
      <c r="CN523" s="40"/>
      <c r="CO523" s="5"/>
      <c r="CQ523" s="40"/>
      <c r="CR523" s="5"/>
    </row>
    <row r="524">
      <c r="AL524" s="40"/>
      <c r="AM524" s="5"/>
      <c r="AO524" s="40"/>
      <c r="AP524" s="5"/>
      <c r="AR524" s="40"/>
      <c r="AS524" s="5"/>
      <c r="AU524" s="40"/>
      <c r="AV524" s="5"/>
      <c r="AX524" s="40"/>
      <c r="AY524" s="5"/>
      <c r="BA524" s="40"/>
      <c r="BB524" s="5"/>
      <c r="BD524" s="40"/>
      <c r="BE524" s="5"/>
      <c r="BG524" s="40"/>
      <c r="BH524" s="5"/>
      <c r="BJ524" s="40"/>
      <c r="BK524" s="5"/>
      <c r="BM524" s="40"/>
      <c r="BN524" s="5"/>
      <c r="BP524" s="40"/>
      <c r="BQ524" s="5"/>
      <c r="BS524" s="40"/>
      <c r="BT524" s="5"/>
      <c r="BV524" s="40"/>
      <c r="BW524" s="5"/>
      <c r="BY524" s="40"/>
      <c r="BZ524" s="5"/>
      <c r="CB524" s="40"/>
      <c r="CC524" s="5"/>
      <c r="CE524" s="40"/>
      <c r="CF524" s="5"/>
      <c r="CH524" s="40"/>
      <c r="CI524" s="5"/>
      <c r="CK524" s="40"/>
      <c r="CL524" s="5"/>
      <c r="CN524" s="40"/>
      <c r="CO524" s="5"/>
      <c r="CQ524" s="40"/>
      <c r="CR524" s="5"/>
    </row>
    <row r="525">
      <c r="AL525" s="40"/>
      <c r="AM525" s="5"/>
      <c r="AO525" s="40"/>
      <c r="AP525" s="5"/>
      <c r="AR525" s="40"/>
      <c r="AS525" s="5"/>
      <c r="AU525" s="40"/>
      <c r="AV525" s="5"/>
      <c r="AX525" s="40"/>
      <c r="AY525" s="5"/>
      <c r="BA525" s="40"/>
      <c r="BB525" s="5"/>
      <c r="BD525" s="40"/>
      <c r="BE525" s="5"/>
      <c r="BG525" s="40"/>
      <c r="BH525" s="5"/>
      <c r="BJ525" s="40"/>
      <c r="BK525" s="5"/>
      <c r="BM525" s="40"/>
      <c r="BN525" s="5"/>
      <c r="BP525" s="40"/>
      <c r="BQ525" s="5"/>
      <c r="BS525" s="40"/>
      <c r="BT525" s="5"/>
      <c r="BV525" s="40"/>
      <c r="BW525" s="5"/>
      <c r="BY525" s="40"/>
      <c r="BZ525" s="5"/>
      <c r="CB525" s="40"/>
      <c r="CC525" s="5"/>
      <c r="CE525" s="40"/>
      <c r="CF525" s="5"/>
      <c r="CH525" s="40"/>
      <c r="CI525" s="5"/>
      <c r="CK525" s="40"/>
      <c r="CL525" s="5"/>
      <c r="CN525" s="40"/>
      <c r="CO525" s="5"/>
      <c r="CQ525" s="40"/>
      <c r="CR525" s="5"/>
    </row>
    <row r="526">
      <c r="AL526" s="40"/>
      <c r="AM526" s="5"/>
      <c r="AO526" s="40"/>
      <c r="AP526" s="5"/>
      <c r="AR526" s="40"/>
      <c r="AS526" s="5"/>
      <c r="AU526" s="40"/>
      <c r="AV526" s="5"/>
      <c r="AX526" s="40"/>
      <c r="AY526" s="5"/>
      <c r="BA526" s="40"/>
      <c r="BB526" s="5"/>
      <c r="BD526" s="40"/>
      <c r="BE526" s="5"/>
      <c r="BG526" s="40"/>
      <c r="BH526" s="5"/>
      <c r="BJ526" s="40"/>
      <c r="BK526" s="5"/>
      <c r="BM526" s="40"/>
      <c r="BN526" s="5"/>
      <c r="BP526" s="40"/>
      <c r="BQ526" s="5"/>
      <c r="BS526" s="40"/>
      <c r="BT526" s="5"/>
      <c r="BV526" s="40"/>
      <c r="BW526" s="5"/>
      <c r="BY526" s="40"/>
      <c r="BZ526" s="5"/>
      <c r="CB526" s="40"/>
      <c r="CC526" s="5"/>
      <c r="CE526" s="40"/>
      <c r="CF526" s="5"/>
      <c r="CH526" s="40"/>
      <c r="CI526" s="5"/>
      <c r="CK526" s="40"/>
      <c r="CL526" s="5"/>
      <c r="CN526" s="40"/>
      <c r="CO526" s="5"/>
      <c r="CQ526" s="40"/>
      <c r="CR526" s="5"/>
    </row>
    <row r="527">
      <c r="AL527" s="40"/>
      <c r="AM527" s="5"/>
      <c r="AO527" s="40"/>
      <c r="AP527" s="5"/>
      <c r="AR527" s="40"/>
      <c r="AS527" s="5"/>
      <c r="AU527" s="40"/>
      <c r="AV527" s="5"/>
      <c r="AX527" s="40"/>
      <c r="AY527" s="5"/>
      <c r="BA527" s="40"/>
      <c r="BB527" s="5"/>
      <c r="BD527" s="40"/>
      <c r="BE527" s="5"/>
      <c r="BG527" s="40"/>
      <c r="BH527" s="5"/>
      <c r="BJ527" s="40"/>
      <c r="BK527" s="5"/>
      <c r="BM527" s="40"/>
      <c r="BN527" s="5"/>
      <c r="BP527" s="40"/>
      <c r="BQ527" s="5"/>
      <c r="BS527" s="40"/>
      <c r="BT527" s="5"/>
      <c r="BV527" s="40"/>
      <c r="BW527" s="5"/>
      <c r="BY527" s="40"/>
      <c r="BZ527" s="5"/>
      <c r="CB527" s="40"/>
      <c r="CC527" s="5"/>
      <c r="CE527" s="40"/>
      <c r="CF527" s="5"/>
      <c r="CH527" s="40"/>
      <c r="CI527" s="5"/>
      <c r="CK527" s="40"/>
      <c r="CL527" s="5"/>
      <c r="CN527" s="40"/>
      <c r="CO527" s="5"/>
      <c r="CQ527" s="40"/>
      <c r="CR527" s="5"/>
    </row>
    <row r="528">
      <c r="AL528" s="40"/>
      <c r="AM528" s="5"/>
      <c r="AO528" s="40"/>
      <c r="AP528" s="5"/>
      <c r="AR528" s="40"/>
      <c r="AS528" s="5"/>
      <c r="AU528" s="40"/>
      <c r="AV528" s="5"/>
      <c r="AX528" s="40"/>
      <c r="AY528" s="5"/>
      <c r="BA528" s="40"/>
      <c r="BB528" s="5"/>
      <c r="BD528" s="40"/>
      <c r="BE528" s="5"/>
      <c r="BG528" s="40"/>
      <c r="BH528" s="5"/>
      <c r="BJ528" s="40"/>
      <c r="BK528" s="5"/>
      <c r="BM528" s="40"/>
      <c r="BN528" s="5"/>
      <c r="BP528" s="40"/>
      <c r="BQ528" s="5"/>
      <c r="BS528" s="40"/>
      <c r="BT528" s="5"/>
      <c r="BV528" s="40"/>
      <c r="BW528" s="5"/>
      <c r="BY528" s="40"/>
      <c r="BZ528" s="5"/>
      <c r="CB528" s="40"/>
      <c r="CC528" s="5"/>
      <c r="CE528" s="40"/>
      <c r="CF528" s="5"/>
      <c r="CH528" s="40"/>
      <c r="CI528" s="5"/>
      <c r="CK528" s="40"/>
      <c r="CL528" s="5"/>
      <c r="CN528" s="40"/>
      <c r="CO528" s="5"/>
      <c r="CQ528" s="40"/>
      <c r="CR528" s="5"/>
    </row>
    <row r="529">
      <c r="AL529" s="40"/>
      <c r="AM529" s="5"/>
      <c r="AO529" s="40"/>
      <c r="AP529" s="5"/>
      <c r="AR529" s="40"/>
      <c r="AS529" s="5"/>
      <c r="AU529" s="40"/>
      <c r="AV529" s="5"/>
      <c r="AX529" s="40"/>
      <c r="AY529" s="5"/>
      <c r="BA529" s="40"/>
      <c r="BB529" s="5"/>
      <c r="BD529" s="40"/>
      <c r="BE529" s="5"/>
      <c r="BG529" s="40"/>
      <c r="BH529" s="5"/>
      <c r="BJ529" s="40"/>
      <c r="BK529" s="5"/>
      <c r="BM529" s="40"/>
      <c r="BN529" s="5"/>
      <c r="BP529" s="40"/>
      <c r="BQ529" s="5"/>
      <c r="BS529" s="40"/>
      <c r="BT529" s="5"/>
      <c r="BV529" s="40"/>
      <c r="BW529" s="5"/>
      <c r="BY529" s="40"/>
      <c r="BZ529" s="5"/>
      <c r="CB529" s="40"/>
      <c r="CC529" s="5"/>
      <c r="CE529" s="40"/>
      <c r="CF529" s="5"/>
      <c r="CH529" s="40"/>
      <c r="CI529" s="5"/>
      <c r="CK529" s="40"/>
      <c r="CL529" s="5"/>
      <c r="CN529" s="40"/>
      <c r="CO529" s="5"/>
      <c r="CQ529" s="40"/>
      <c r="CR529" s="5"/>
    </row>
    <row r="530">
      <c r="AL530" s="40"/>
      <c r="AM530" s="5"/>
      <c r="AO530" s="40"/>
      <c r="AP530" s="5"/>
      <c r="AR530" s="40"/>
      <c r="AS530" s="5"/>
      <c r="AU530" s="40"/>
      <c r="AV530" s="5"/>
      <c r="AX530" s="40"/>
      <c r="AY530" s="5"/>
      <c r="BA530" s="40"/>
      <c r="BB530" s="5"/>
      <c r="BD530" s="40"/>
      <c r="BE530" s="5"/>
      <c r="BG530" s="40"/>
      <c r="BH530" s="5"/>
      <c r="BJ530" s="40"/>
      <c r="BK530" s="5"/>
      <c r="BM530" s="40"/>
      <c r="BN530" s="5"/>
      <c r="BP530" s="40"/>
      <c r="BQ530" s="5"/>
      <c r="BS530" s="40"/>
      <c r="BT530" s="5"/>
      <c r="BV530" s="40"/>
      <c r="BW530" s="5"/>
      <c r="BY530" s="40"/>
      <c r="BZ530" s="5"/>
      <c r="CB530" s="40"/>
      <c r="CC530" s="5"/>
      <c r="CE530" s="40"/>
      <c r="CF530" s="5"/>
      <c r="CH530" s="40"/>
      <c r="CI530" s="5"/>
      <c r="CK530" s="40"/>
      <c r="CL530" s="5"/>
      <c r="CN530" s="40"/>
      <c r="CO530" s="5"/>
      <c r="CQ530" s="40"/>
      <c r="CR530" s="5"/>
    </row>
    <row r="531">
      <c r="AL531" s="40"/>
      <c r="AM531" s="5"/>
      <c r="AO531" s="40"/>
      <c r="AP531" s="5"/>
      <c r="AR531" s="40"/>
      <c r="AS531" s="5"/>
      <c r="AU531" s="40"/>
      <c r="AV531" s="5"/>
      <c r="AX531" s="40"/>
      <c r="AY531" s="5"/>
      <c r="BA531" s="40"/>
      <c r="BB531" s="5"/>
      <c r="BD531" s="40"/>
      <c r="BE531" s="5"/>
      <c r="BG531" s="40"/>
      <c r="BH531" s="5"/>
      <c r="BJ531" s="40"/>
      <c r="BK531" s="5"/>
      <c r="BM531" s="40"/>
      <c r="BN531" s="5"/>
      <c r="BP531" s="40"/>
      <c r="BQ531" s="5"/>
      <c r="BS531" s="40"/>
      <c r="BT531" s="5"/>
      <c r="BV531" s="40"/>
      <c r="BW531" s="5"/>
      <c r="BY531" s="40"/>
      <c r="BZ531" s="5"/>
      <c r="CB531" s="40"/>
      <c r="CC531" s="5"/>
      <c r="CE531" s="40"/>
      <c r="CF531" s="5"/>
      <c r="CH531" s="40"/>
      <c r="CI531" s="5"/>
      <c r="CK531" s="40"/>
      <c r="CL531" s="5"/>
      <c r="CN531" s="40"/>
      <c r="CO531" s="5"/>
      <c r="CQ531" s="40"/>
      <c r="CR531" s="5"/>
    </row>
    <row r="532">
      <c r="AL532" s="40"/>
      <c r="AM532" s="5"/>
      <c r="AO532" s="40"/>
      <c r="AP532" s="5"/>
      <c r="AR532" s="40"/>
      <c r="AS532" s="5"/>
      <c r="AU532" s="40"/>
      <c r="AV532" s="5"/>
      <c r="AX532" s="40"/>
      <c r="AY532" s="5"/>
      <c r="BA532" s="40"/>
      <c r="BB532" s="5"/>
      <c r="BD532" s="40"/>
      <c r="BE532" s="5"/>
      <c r="BG532" s="40"/>
      <c r="BH532" s="5"/>
      <c r="BJ532" s="40"/>
      <c r="BK532" s="5"/>
      <c r="BM532" s="40"/>
      <c r="BN532" s="5"/>
      <c r="BP532" s="40"/>
      <c r="BQ532" s="5"/>
      <c r="BS532" s="40"/>
      <c r="BT532" s="5"/>
      <c r="BV532" s="40"/>
      <c r="BW532" s="5"/>
      <c r="BY532" s="40"/>
      <c r="BZ532" s="5"/>
      <c r="CB532" s="40"/>
      <c r="CC532" s="5"/>
      <c r="CE532" s="40"/>
      <c r="CF532" s="5"/>
      <c r="CH532" s="40"/>
      <c r="CI532" s="5"/>
      <c r="CK532" s="40"/>
      <c r="CL532" s="5"/>
      <c r="CN532" s="40"/>
      <c r="CO532" s="5"/>
      <c r="CQ532" s="40"/>
      <c r="CR532" s="5"/>
    </row>
    <row r="533">
      <c r="AL533" s="40"/>
      <c r="AM533" s="5"/>
      <c r="AO533" s="40"/>
      <c r="AP533" s="5"/>
      <c r="AR533" s="40"/>
      <c r="AS533" s="5"/>
      <c r="AU533" s="40"/>
      <c r="AV533" s="5"/>
      <c r="AX533" s="40"/>
      <c r="AY533" s="5"/>
      <c r="BA533" s="40"/>
      <c r="BB533" s="5"/>
      <c r="BD533" s="40"/>
      <c r="BE533" s="5"/>
      <c r="BG533" s="40"/>
      <c r="BH533" s="5"/>
      <c r="BJ533" s="40"/>
      <c r="BK533" s="5"/>
      <c r="BM533" s="40"/>
      <c r="BN533" s="5"/>
      <c r="BP533" s="40"/>
      <c r="BQ533" s="5"/>
      <c r="BS533" s="40"/>
      <c r="BT533" s="5"/>
      <c r="BV533" s="40"/>
      <c r="BW533" s="5"/>
      <c r="BY533" s="40"/>
      <c r="BZ533" s="5"/>
      <c r="CB533" s="40"/>
      <c r="CC533" s="5"/>
      <c r="CE533" s="40"/>
      <c r="CF533" s="5"/>
      <c r="CH533" s="40"/>
      <c r="CI533" s="5"/>
      <c r="CK533" s="40"/>
      <c r="CL533" s="5"/>
      <c r="CN533" s="40"/>
      <c r="CO533" s="5"/>
      <c r="CQ533" s="40"/>
      <c r="CR533" s="5"/>
    </row>
    <row r="534">
      <c r="AL534" s="40"/>
      <c r="AM534" s="5"/>
      <c r="AO534" s="40"/>
      <c r="AP534" s="5"/>
      <c r="AR534" s="40"/>
      <c r="AS534" s="5"/>
      <c r="AU534" s="40"/>
      <c r="AV534" s="5"/>
      <c r="AX534" s="40"/>
      <c r="AY534" s="5"/>
      <c r="BA534" s="40"/>
      <c r="BB534" s="5"/>
      <c r="BD534" s="40"/>
      <c r="BE534" s="5"/>
      <c r="BG534" s="40"/>
      <c r="BH534" s="5"/>
      <c r="BJ534" s="40"/>
      <c r="BK534" s="5"/>
      <c r="BM534" s="40"/>
      <c r="BN534" s="5"/>
      <c r="BP534" s="40"/>
      <c r="BQ534" s="5"/>
      <c r="BS534" s="40"/>
      <c r="BT534" s="5"/>
      <c r="BV534" s="40"/>
      <c r="BW534" s="5"/>
      <c r="BY534" s="40"/>
      <c r="BZ534" s="5"/>
      <c r="CB534" s="40"/>
      <c r="CC534" s="5"/>
      <c r="CE534" s="40"/>
      <c r="CF534" s="5"/>
      <c r="CH534" s="40"/>
      <c r="CI534" s="5"/>
      <c r="CK534" s="40"/>
      <c r="CL534" s="5"/>
      <c r="CN534" s="40"/>
      <c r="CO534" s="5"/>
      <c r="CQ534" s="40"/>
      <c r="CR534" s="5"/>
    </row>
    <row r="535">
      <c r="AL535" s="40"/>
      <c r="AM535" s="5"/>
      <c r="AO535" s="40"/>
      <c r="AP535" s="5"/>
      <c r="AR535" s="40"/>
      <c r="AS535" s="5"/>
      <c r="AU535" s="40"/>
      <c r="AV535" s="5"/>
      <c r="AX535" s="40"/>
      <c r="AY535" s="5"/>
      <c r="BA535" s="40"/>
      <c r="BB535" s="5"/>
      <c r="BD535" s="40"/>
      <c r="BE535" s="5"/>
      <c r="BG535" s="40"/>
      <c r="BH535" s="5"/>
      <c r="BJ535" s="40"/>
      <c r="BK535" s="5"/>
      <c r="BM535" s="40"/>
      <c r="BN535" s="5"/>
      <c r="BP535" s="40"/>
      <c r="BQ535" s="5"/>
      <c r="BS535" s="40"/>
      <c r="BT535" s="5"/>
      <c r="BV535" s="40"/>
      <c r="BW535" s="5"/>
      <c r="BY535" s="40"/>
      <c r="BZ535" s="5"/>
      <c r="CB535" s="40"/>
      <c r="CC535" s="5"/>
      <c r="CE535" s="40"/>
      <c r="CF535" s="5"/>
      <c r="CH535" s="40"/>
      <c r="CI535" s="5"/>
      <c r="CK535" s="40"/>
      <c r="CL535" s="5"/>
      <c r="CN535" s="40"/>
      <c r="CO535" s="5"/>
      <c r="CQ535" s="40"/>
      <c r="CR535" s="5"/>
    </row>
    <row r="536">
      <c r="AL536" s="40"/>
      <c r="AM536" s="5"/>
      <c r="AO536" s="40"/>
      <c r="AP536" s="5"/>
      <c r="AR536" s="40"/>
      <c r="AS536" s="5"/>
      <c r="AU536" s="40"/>
      <c r="AV536" s="5"/>
      <c r="AX536" s="40"/>
      <c r="AY536" s="5"/>
      <c r="BA536" s="40"/>
      <c r="BB536" s="5"/>
      <c r="BD536" s="40"/>
      <c r="BE536" s="5"/>
      <c r="BG536" s="40"/>
      <c r="BH536" s="5"/>
      <c r="BJ536" s="40"/>
      <c r="BK536" s="5"/>
      <c r="BM536" s="40"/>
      <c r="BN536" s="5"/>
      <c r="BP536" s="40"/>
      <c r="BQ536" s="5"/>
      <c r="BS536" s="40"/>
      <c r="BT536" s="5"/>
      <c r="BV536" s="40"/>
      <c r="BW536" s="5"/>
      <c r="BY536" s="40"/>
      <c r="BZ536" s="5"/>
      <c r="CB536" s="40"/>
      <c r="CC536" s="5"/>
      <c r="CE536" s="40"/>
      <c r="CF536" s="5"/>
      <c r="CH536" s="40"/>
      <c r="CI536" s="5"/>
      <c r="CK536" s="40"/>
      <c r="CL536" s="5"/>
      <c r="CN536" s="40"/>
      <c r="CO536" s="5"/>
      <c r="CQ536" s="40"/>
      <c r="CR536" s="5"/>
    </row>
    <row r="537">
      <c r="AL537" s="40"/>
      <c r="AM537" s="5"/>
      <c r="AO537" s="40"/>
      <c r="AP537" s="5"/>
      <c r="AR537" s="40"/>
      <c r="AS537" s="5"/>
      <c r="AU537" s="40"/>
      <c r="AV537" s="5"/>
      <c r="AX537" s="40"/>
      <c r="AY537" s="5"/>
      <c r="BA537" s="40"/>
      <c r="BB537" s="5"/>
      <c r="BD537" s="40"/>
      <c r="BE537" s="5"/>
      <c r="BG537" s="40"/>
      <c r="BH537" s="5"/>
      <c r="BJ537" s="40"/>
      <c r="BK537" s="5"/>
      <c r="BM537" s="40"/>
      <c r="BN537" s="5"/>
      <c r="BP537" s="40"/>
      <c r="BQ537" s="5"/>
      <c r="BS537" s="40"/>
      <c r="BT537" s="5"/>
      <c r="BV537" s="40"/>
      <c r="BW537" s="5"/>
      <c r="BY537" s="40"/>
      <c r="BZ537" s="5"/>
      <c r="CB537" s="40"/>
      <c r="CC537" s="5"/>
      <c r="CE537" s="40"/>
      <c r="CF537" s="5"/>
      <c r="CH537" s="40"/>
      <c r="CI537" s="5"/>
      <c r="CK537" s="40"/>
      <c r="CL537" s="5"/>
      <c r="CN537" s="40"/>
      <c r="CO537" s="5"/>
      <c r="CQ537" s="40"/>
      <c r="CR537" s="5"/>
    </row>
    <row r="538">
      <c r="AL538" s="40"/>
      <c r="AM538" s="5"/>
      <c r="AO538" s="40"/>
      <c r="AP538" s="5"/>
      <c r="AR538" s="40"/>
      <c r="AS538" s="5"/>
      <c r="AU538" s="40"/>
      <c r="AV538" s="5"/>
      <c r="AX538" s="40"/>
      <c r="AY538" s="5"/>
      <c r="BA538" s="40"/>
      <c r="BB538" s="5"/>
      <c r="BD538" s="40"/>
      <c r="BE538" s="5"/>
      <c r="BG538" s="40"/>
      <c r="BH538" s="5"/>
      <c r="BJ538" s="40"/>
      <c r="BK538" s="5"/>
      <c r="BM538" s="40"/>
      <c r="BN538" s="5"/>
      <c r="BP538" s="40"/>
      <c r="BQ538" s="5"/>
      <c r="BS538" s="40"/>
      <c r="BT538" s="5"/>
      <c r="BV538" s="40"/>
      <c r="BW538" s="5"/>
      <c r="BY538" s="40"/>
      <c r="BZ538" s="5"/>
      <c r="CB538" s="40"/>
      <c r="CC538" s="5"/>
      <c r="CE538" s="40"/>
      <c r="CF538" s="5"/>
      <c r="CH538" s="40"/>
      <c r="CI538" s="5"/>
      <c r="CK538" s="40"/>
      <c r="CL538" s="5"/>
      <c r="CN538" s="40"/>
      <c r="CO538" s="5"/>
      <c r="CQ538" s="40"/>
      <c r="CR538" s="5"/>
    </row>
    <row r="539">
      <c r="AL539" s="40"/>
      <c r="AM539" s="5"/>
      <c r="AO539" s="40"/>
      <c r="AP539" s="5"/>
      <c r="AR539" s="40"/>
      <c r="AS539" s="5"/>
      <c r="AU539" s="40"/>
      <c r="AV539" s="5"/>
      <c r="AX539" s="40"/>
      <c r="AY539" s="5"/>
      <c r="BA539" s="40"/>
      <c r="BB539" s="5"/>
      <c r="BD539" s="40"/>
      <c r="BE539" s="5"/>
      <c r="BG539" s="40"/>
      <c r="BH539" s="5"/>
      <c r="BJ539" s="40"/>
      <c r="BK539" s="5"/>
      <c r="BM539" s="40"/>
      <c r="BN539" s="5"/>
      <c r="BP539" s="40"/>
      <c r="BQ539" s="5"/>
      <c r="BS539" s="40"/>
      <c r="BT539" s="5"/>
      <c r="BV539" s="40"/>
      <c r="BW539" s="5"/>
      <c r="BY539" s="40"/>
      <c r="BZ539" s="5"/>
      <c r="CB539" s="40"/>
      <c r="CC539" s="5"/>
      <c r="CE539" s="40"/>
      <c r="CF539" s="5"/>
      <c r="CH539" s="40"/>
      <c r="CI539" s="5"/>
      <c r="CK539" s="40"/>
      <c r="CL539" s="5"/>
      <c r="CN539" s="40"/>
      <c r="CO539" s="5"/>
      <c r="CQ539" s="40"/>
      <c r="CR539" s="5"/>
    </row>
    <row r="540">
      <c r="AL540" s="40"/>
      <c r="AM540" s="5"/>
      <c r="AO540" s="40"/>
      <c r="AP540" s="5"/>
      <c r="AR540" s="40"/>
      <c r="AS540" s="5"/>
      <c r="AU540" s="40"/>
      <c r="AV540" s="5"/>
      <c r="AX540" s="40"/>
      <c r="AY540" s="5"/>
      <c r="BA540" s="40"/>
      <c r="BB540" s="5"/>
      <c r="BD540" s="40"/>
      <c r="BE540" s="5"/>
      <c r="BG540" s="40"/>
      <c r="BH540" s="5"/>
      <c r="BJ540" s="40"/>
      <c r="BK540" s="5"/>
      <c r="BM540" s="40"/>
      <c r="BN540" s="5"/>
      <c r="BP540" s="40"/>
      <c r="BQ540" s="5"/>
      <c r="BS540" s="40"/>
      <c r="BT540" s="5"/>
      <c r="BV540" s="40"/>
      <c r="BW540" s="5"/>
      <c r="BY540" s="40"/>
      <c r="BZ540" s="5"/>
      <c r="CB540" s="40"/>
      <c r="CC540" s="5"/>
      <c r="CE540" s="40"/>
      <c r="CF540" s="5"/>
      <c r="CH540" s="40"/>
      <c r="CI540" s="5"/>
      <c r="CK540" s="40"/>
      <c r="CL540" s="5"/>
      <c r="CN540" s="40"/>
      <c r="CO540" s="5"/>
      <c r="CQ540" s="40"/>
      <c r="CR540" s="5"/>
    </row>
    <row r="541">
      <c r="AL541" s="40"/>
      <c r="AM541" s="5"/>
      <c r="AO541" s="40"/>
      <c r="AP541" s="5"/>
      <c r="AR541" s="40"/>
      <c r="AS541" s="5"/>
      <c r="AU541" s="40"/>
      <c r="AV541" s="5"/>
      <c r="AX541" s="40"/>
      <c r="AY541" s="5"/>
      <c r="BA541" s="40"/>
      <c r="BB541" s="5"/>
      <c r="BD541" s="40"/>
      <c r="BE541" s="5"/>
      <c r="BG541" s="40"/>
      <c r="BH541" s="5"/>
      <c r="BJ541" s="40"/>
      <c r="BK541" s="5"/>
      <c r="BM541" s="40"/>
      <c r="BN541" s="5"/>
      <c r="BP541" s="40"/>
      <c r="BQ541" s="5"/>
      <c r="BS541" s="40"/>
      <c r="BT541" s="5"/>
      <c r="BV541" s="40"/>
      <c r="BW541" s="5"/>
      <c r="BY541" s="40"/>
      <c r="BZ541" s="5"/>
      <c r="CB541" s="40"/>
      <c r="CC541" s="5"/>
      <c r="CE541" s="40"/>
      <c r="CF541" s="5"/>
      <c r="CH541" s="40"/>
      <c r="CI541" s="5"/>
      <c r="CK541" s="40"/>
      <c r="CL541" s="5"/>
      <c r="CN541" s="40"/>
      <c r="CO541" s="5"/>
      <c r="CQ541" s="40"/>
      <c r="CR541" s="5"/>
    </row>
    <row r="542">
      <c r="AL542" s="40"/>
      <c r="AM542" s="5"/>
      <c r="AO542" s="40"/>
      <c r="AP542" s="5"/>
      <c r="AR542" s="40"/>
      <c r="AS542" s="5"/>
      <c r="AU542" s="40"/>
      <c r="AV542" s="5"/>
      <c r="AX542" s="40"/>
      <c r="AY542" s="5"/>
      <c r="BA542" s="40"/>
      <c r="BB542" s="5"/>
      <c r="BD542" s="40"/>
      <c r="BE542" s="5"/>
      <c r="BG542" s="40"/>
      <c r="BH542" s="5"/>
      <c r="BJ542" s="40"/>
      <c r="BK542" s="5"/>
      <c r="BM542" s="40"/>
      <c r="BN542" s="5"/>
      <c r="BP542" s="40"/>
      <c r="BQ542" s="5"/>
      <c r="BS542" s="40"/>
      <c r="BT542" s="5"/>
      <c r="BV542" s="40"/>
      <c r="BW542" s="5"/>
      <c r="BY542" s="40"/>
      <c r="BZ542" s="5"/>
      <c r="CB542" s="40"/>
      <c r="CC542" s="5"/>
      <c r="CE542" s="40"/>
      <c r="CF542" s="5"/>
      <c r="CH542" s="40"/>
      <c r="CI542" s="5"/>
      <c r="CK542" s="40"/>
      <c r="CL542" s="5"/>
      <c r="CN542" s="40"/>
      <c r="CO542" s="5"/>
      <c r="CQ542" s="40"/>
      <c r="CR542" s="5"/>
    </row>
    <row r="543">
      <c r="AL543" s="40"/>
      <c r="AM543" s="5"/>
      <c r="AO543" s="40"/>
      <c r="AP543" s="5"/>
      <c r="AR543" s="40"/>
      <c r="AS543" s="5"/>
      <c r="AU543" s="40"/>
      <c r="AV543" s="5"/>
      <c r="AX543" s="40"/>
      <c r="AY543" s="5"/>
      <c r="BA543" s="40"/>
      <c r="BB543" s="5"/>
      <c r="BD543" s="40"/>
      <c r="BE543" s="5"/>
      <c r="BG543" s="40"/>
      <c r="BH543" s="5"/>
      <c r="BJ543" s="40"/>
      <c r="BK543" s="5"/>
      <c r="BM543" s="40"/>
      <c r="BN543" s="5"/>
      <c r="BP543" s="40"/>
      <c r="BQ543" s="5"/>
      <c r="BS543" s="40"/>
      <c r="BT543" s="5"/>
      <c r="BV543" s="40"/>
      <c r="BW543" s="5"/>
      <c r="BY543" s="40"/>
      <c r="BZ543" s="5"/>
      <c r="CB543" s="40"/>
      <c r="CC543" s="5"/>
      <c r="CE543" s="40"/>
      <c r="CF543" s="5"/>
      <c r="CH543" s="40"/>
      <c r="CI543" s="5"/>
      <c r="CK543" s="40"/>
      <c r="CL543" s="5"/>
      <c r="CN543" s="40"/>
      <c r="CO543" s="5"/>
      <c r="CQ543" s="40"/>
      <c r="CR543" s="5"/>
    </row>
    <row r="544">
      <c r="AL544" s="40"/>
      <c r="AM544" s="5"/>
      <c r="AO544" s="40"/>
      <c r="AP544" s="5"/>
      <c r="AR544" s="40"/>
      <c r="AS544" s="5"/>
      <c r="AU544" s="40"/>
      <c r="AV544" s="5"/>
      <c r="AX544" s="40"/>
      <c r="AY544" s="5"/>
      <c r="BA544" s="40"/>
      <c r="BB544" s="5"/>
      <c r="BD544" s="40"/>
      <c r="BE544" s="5"/>
      <c r="BG544" s="40"/>
      <c r="BH544" s="5"/>
      <c r="BJ544" s="40"/>
      <c r="BK544" s="5"/>
      <c r="BM544" s="40"/>
      <c r="BN544" s="5"/>
      <c r="BP544" s="40"/>
      <c r="BQ544" s="5"/>
      <c r="BS544" s="40"/>
      <c r="BT544" s="5"/>
      <c r="BV544" s="40"/>
      <c r="BW544" s="5"/>
      <c r="BY544" s="40"/>
      <c r="BZ544" s="5"/>
      <c r="CB544" s="40"/>
      <c r="CC544" s="5"/>
      <c r="CE544" s="40"/>
      <c r="CF544" s="5"/>
      <c r="CH544" s="40"/>
      <c r="CI544" s="5"/>
      <c r="CK544" s="40"/>
      <c r="CL544" s="5"/>
      <c r="CN544" s="40"/>
      <c r="CO544" s="5"/>
      <c r="CQ544" s="40"/>
      <c r="CR544" s="5"/>
    </row>
    <row r="545">
      <c r="AL545" s="40"/>
      <c r="AM545" s="5"/>
      <c r="AO545" s="40"/>
      <c r="AP545" s="5"/>
      <c r="AR545" s="40"/>
      <c r="AS545" s="5"/>
      <c r="AU545" s="40"/>
      <c r="AV545" s="5"/>
      <c r="AX545" s="40"/>
      <c r="AY545" s="5"/>
      <c r="BA545" s="40"/>
      <c r="BB545" s="5"/>
      <c r="BD545" s="40"/>
      <c r="BE545" s="5"/>
      <c r="BG545" s="40"/>
      <c r="BH545" s="5"/>
      <c r="BJ545" s="40"/>
      <c r="BK545" s="5"/>
      <c r="BM545" s="40"/>
      <c r="BN545" s="5"/>
      <c r="BP545" s="40"/>
      <c r="BQ545" s="5"/>
      <c r="BS545" s="40"/>
      <c r="BT545" s="5"/>
      <c r="BV545" s="40"/>
      <c r="BW545" s="5"/>
      <c r="BY545" s="40"/>
      <c r="BZ545" s="5"/>
      <c r="CB545" s="40"/>
      <c r="CC545" s="5"/>
      <c r="CE545" s="40"/>
      <c r="CF545" s="5"/>
      <c r="CH545" s="40"/>
      <c r="CI545" s="5"/>
      <c r="CK545" s="40"/>
      <c r="CL545" s="5"/>
      <c r="CN545" s="40"/>
      <c r="CO545" s="5"/>
      <c r="CQ545" s="40"/>
      <c r="CR545" s="5"/>
    </row>
    <row r="546">
      <c r="AL546" s="40"/>
      <c r="AM546" s="5"/>
      <c r="AO546" s="40"/>
      <c r="AP546" s="5"/>
      <c r="AR546" s="40"/>
      <c r="AS546" s="5"/>
      <c r="AU546" s="40"/>
      <c r="AV546" s="5"/>
      <c r="AX546" s="40"/>
      <c r="AY546" s="5"/>
      <c r="BA546" s="40"/>
      <c r="BB546" s="5"/>
      <c r="BD546" s="40"/>
      <c r="BE546" s="5"/>
      <c r="BG546" s="40"/>
      <c r="BH546" s="5"/>
      <c r="BJ546" s="40"/>
      <c r="BK546" s="5"/>
      <c r="BM546" s="40"/>
      <c r="BN546" s="5"/>
      <c r="BP546" s="40"/>
      <c r="BQ546" s="5"/>
      <c r="BS546" s="40"/>
      <c r="BT546" s="5"/>
      <c r="BV546" s="40"/>
      <c r="BW546" s="5"/>
      <c r="BY546" s="40"/>
      <c r="BZ546" s="5"/>
      <c r="CB546" s="40"/>
      <c r="CC546" s="5"/>
      <c r="CE546" s="40"/>
      <c r="CF546" s="5"/>
      <c r="CH546" s="40"/>
      <c r="CI546" s="5"/>
      <c r="CK546" s="40"/>
      <c r="CL546" s="5"/>
      <c r="CN546" s="40"/>
      <c r="CO546" s="5"/>
      <c r="CQ546" s="40"/>
      <c r="CR546" s="5"/>
    </row>
    <row r="547">
      <c r="AL547" s="40"/>
      <c r="AM547" s="5"/>
      <c r="AO547" s="40"/>
      <c r="AP547" s="5"/>
      <c r="AR547" s="40"/>
      <c r="AS547" s="5"/>
      <c r="AU547" s="40"/>
      <c r="AV547" s="5"/>
      <c r="AX547" s="40"/>
      <c r="AY547" s="5"/>
      <c r="BA547" s="40"/>
      <c r="BB547" s="5"/>
      <c r="BD547" s="40"/>
      <c r="BE547" s="5"/>
      <c r="BG547" s="40"/>
      <c r="BH547" s="5"/>
      <c r="BJ547" s="40"/>
      <c r="BK547" s="5"/>
      <c r="BM547" s="40"/>
      <c r="BN547" s="5"/>
      <c r="BP547" s="40"/>
      <c r="BQ547" s="5"/>
      <c r="BS547" s="40"/>
      <c r="BT547" s="5"/>
      <c r="BV547" s="40"/>
      <c r="BW547" s="5"/>
      <c r="BY547" s="40"/>
      <c r="BZ547" s="5"/>
      <c r="CB547" s="40"/>
      <c r="CC547" s="5"/>
      <c r="CE547" s="40"/>
      <c r="CF547" s="5"/>
      <c r="CH547" s="40"/>
      <c r="CI547" s="5"/>
      <c r="CK547" s="40"/>
      <c r="CL547" s="5"/>
      <c r="CN547" s="40"/>
      <c r="CO547" s="5"/>
      <c r="CQ547" s="40"/>
      <c r="CR547" s="5"/>
    </row>
    <row r="548">
      <c r="AL548" s="40"/>
      <c r="AM548" s="5"/>
      <c r="AO548" s="40"/>
      <c r="AP548" s="5"/>
      <c r="AR548" s="40"/>
      <c r="AS548" s="5"/>
      <c r="AU548" s="40"/>
      <c r="AV548" s="5"/>
      <c r="AX548" s="40"/>
      <c r="AY548" s="5"/>
      <c r="BA548" s="40"/>
      <c r="BB548" s="5"/>
      <c r="BD548" s="40"/>
      <c r="BE548" s="5"/>
      <c r="BG548" s="40"/>
      <c r="BH548" s="5"/>
      <c r="BJ548" s="40"/>
      <c r="BK548" s="5"/>
      <c r="BM548" s="40"/>
      <c r="BN548" s="5"/>
      <c r="BP548" s="40"/>
      <c r="BQ548" s="5"/>
      <c r="BS548" s="40"/>
      <c r="BT548" s="5"/>
      <c r="BV548" s="40"/>
      <c r="BW548" s="5"/>
      <c r="BY548" s="40"/>
      <c r="BZ548" s="5"/>
      <c r="CB548" s="40"/>
      <c r="CC548" s="5"/>
      <c r="CE548" s="40"/>
      <c r="CF548" s="5"/>
      <c r="CH548" s="40"/>
      <c r="CI548" s="5"/>
      <c r="CK548" s="40"/>
      <c r="CL548" s="5"/>
      <c r="CN548" s="40"/>
      <c r="CO548" s="5"/>
      <c r="CQ548" s="40"/>
      <c r="CR548" s="5"/>
    </row>
    <row r="549">
      <c r="AL549" s="40"/>
      <c r="AM549" s="5"/>
      <c r="AO549" s="40"/>
      <c r="AP549" s="5"/>
      <c r="AR549" s="40"/>
      <c r="AS549" s="5"/>
      <c r="AU549" s="40"/>
      <c r="AV549" s="5"/>
      <c r="AX549" s="40"/>
      <c r="AY549" s="5"/>
      <c r="BA549" s="40"/>
      <c r="BB549" s="5"/>
      <c r="BD549" s="40"/>
      <c r="BE549" s="5"/>
      <c r="BG549" s="40"/>
      <c r="BH549" s="5"/>
      <c r="BJ549" s="40"/>
      <c r="BK549" s="5"/>
      <c r="BM549" s="40"/>
      <c r="BN549" s="5"/>
      <c r="BP549" s="40"/>
      <c r="BQ549" s="5"/>
      <c r="BS549" s="40"/>
      <c r="BT549" s="5"/>
      <c r="BV549" s="40"/>
      <c r="BW549" s="5"/>
      <c r="BY549" s="40"/>
      <c r="BZ549" s="5"/>
      <c r="CB549" s="40"/>
      <c r="CC549" s="5"/>
      <c r="CE549" s="40"/>
      <c r="CF549" s="5"/>
      <c r="CH549" s="40"/>
      <c r="CI549" s="5"/>
      <c r="CK549" s="40"/>
      <c r="CL549" s="5"/>
      <c r="CN549" s="40"/>
      <c r="CO549" s="5"/>
      <c r="CQ549" s="40"/>
      <c r="CR549" s="5"/>
    </row>
    <row r="550">
      <c r="AL550" s="40"/>
      <c r="AM550" s="5"/>
      <c r="AO550" s="40"/>
      <c r="AP550" s="5"/>
      <c r="AR550" s="40"/>
      <c r="AS550" s="5"/>
      <c r="AU550" s="40"/>
      <c r="AV550" s="5"/>
      <c r="AX550" s="40"/>
      <c r="AY550" s="5"/>
      <c r="BA550" s="40"/>
      <c r="BB550" s="5"/>
      <c r="BD550" s="40"/>
      <c r="BE550" s="5"/>
      <c r="BG550" s="40"/>
      <c r="BH550" s="5"/>
      <c r="BJ550" s="40"/>
      <c r="BK550" s="5"/>
      <c r="BM550" s="40"/>
      <c r="BN550" s="5"/>
      <c r="BP550" s="40"/>
      <c r="BQ550" s="5"/>
      <c r="BS550" s="40"/>
      <c r="BT550" s="5"/>
      <c r="BV550" s="40"/>
      <c r="BW550" s="5"/>
      <c r="BY550" s="40"/>
      <c r="BZ550" s="5"/>
      <c r="CB550" s="40"/>
      <c r="CC550" s="5"/>
      <c r="CE550" s="40"/>
      <c r="CF550" s="5"/>
      <c r="CH550" s="40"/>
      <c r="CI550" s="5"/>
      <c r="CK550" s="40"/>
      <c r="CL550" s="5"/>
      <c r="CN550" s="40"/>
      <c r="CO550" s="5"/>
      <c r="CQ550" s="40"/>
      <c r="CR550" s="5"/>
    </row>
    <row r="551">
      <c r="AL551" s="40"/>
      <c r="AM551" s="5"/>
      <c r="AO551" s="40"/>
      <c r="AP551" s="5"/>
      <c r="AR551" s="40"/>
      <c r="AS551" s="5"/>
      <c r="AU551" s="40"/>
      <c r="AV551" s="5"/>
      <c r="AX551" s="40"/>
      <c r="AY551" s="5"/>
      <c r="BA551" s="40"/>
      <c r="BB551" s="5"/>
      <c r="BD551" s="40"/>
      <c r="BE551" s="5"/>
      <c r="BG551" s="40"/>
      <c r="BH551" s="5"/>
      <c r="BJ551" s="40"/>
      <c r="BK551" s="5"/>
      <c r="BM551" s="40"/>
      <c r="BN551" s="5"/>
      <c r="BP551" s="40"/>
      <c r="BQ551" s="5"/>
      <c r="BS551" s="40"/>
      <c r="BT551" s="5"/>
      <c r="BV551" s="40"/>
      <c r="BW551" s="5"/>
      <c r="BY551" s="40"/>
      <c r="BZ551" s="5"/>
      <c r="CB551" s="40"/>
      <c r="CC551" s="5"/>
      <c r="CE551" s="40"/>
      <c r="CF551" s="5"/>
      <c r="CH551" s="40"/>
      <c r="CI551" s="5"/>
      <c r="CK551" s="40"/>
      <c r="CL551" s="5"/>
      <c r="CN551" s="40"/>
      <c r="CO551" s="5"/>
      <c r="CQ551" s="40"/>
      <c r="CR551" s="5"/>
    </row>
    <row r="552">
      <c r="AL552" s="40"/>
      <c r="AM552" s="5"/>
      <c r="AO552" s="40"/>
      <c r="AP552" s="5"/>
      <c r="AR552" s="40"/>
      <c r="AS552" s="5"/>
      <c r="AU552" s="40"/>
      <c r="AV552" s="5"/>
      <c r="AX552" s="40"/>
      <c r="AY552" s="5"/>
      <c r="BA552" s="40"/>
      <c r="BB552" s="5"/>
      <c r="BD552" s="40"/>
      <c r="BE552" s="5"/>
      <c r="BG552" s="40"/>
      <c r="BH552" s="5"/>
      <c r="BJ552" s="40"/>
      <c r="BK552" s="5"/>
      <c r="BM552" s="40"/>
      <c r="BN552" s="5"/>
      <c r="BP552" s="40"/>
      <c r="BQ552" s="5"/>
      <c r="BS552" s="40"/>
      <c r="BT552" s="5"/>
      <c r="BV552" s="40"/>
      <c r="BW552" s="5"/>
      <c r="BY552" s="40"/>
      <c r="BZ552" s="5"/>
      <c r="CB552" s="40"/>
      <c r="CC552" s="5"/>
      <c r="CE552" s="40"/>
      <c r="CF552" s="5"/>
      <c r="CH552" s="40"/>
      <c r="CI552" s="5"/>
      <c r="CK552" s="40"/>
      <c r="CL552" s="5"/>
      <c r="CN552" s="40"/>
      <c r="CO552" s="5"/>
      <c r="CQ552" s="40"/>
      <c r="CR552" s="5"/>
    </row>
    <row r="553">
      <c r="AL553" s="40"/>
      <c r="AM553" s="5"/>
      <c r="AO553" s="40"/>
      <c r="AP553" s="5"/>
      <c r="AR553" s="40"/>
      <c r="AS553" s="5"/>
      <c r="AU553" s="40"/>
      <c r="AV553" s="5"/>
      <c r="AX553" s="40"/>
      <c r="AY553" s="5"/>
      <c r="BA553" s="40"/>
      <c r="BB553" s="5"/>
      <c r="BD553" s="40"/>
      <c r="BE553" s="5"/>
      <c r="BG553" s="40"/>
      <c r="BH553" s="5"/>
      <c r="BJ553" s="40"/>
      <c r="BK553" s="5"/>
      <c r="BM553" s="40"/>
      <c r="BN553" s="5"/>
      <c r="BP553" s="40"/>
      <c r="BQ553" s="5"/>
      <c r="BS553" s="40"/>
      <c r="BT553" s="5"/>
      <c r="BV553" s="40"/>
      <c r="BW553" s="5"/>
      <c r="BY553" s="40"/>
      <c r="BZ553" s="5"/>
      <c r="CB553" s="40"/>
      <c r="CC553" s="5"/>
      <c r="CE553" s="40"/>
      <c r="CF553" s="5"/>
      <c r="CH553" s="40"/>
      <c r="CI553" s="5"/>
      <c r="CK553" s="40"/>
      <c r="CL553" s="5"/>
      <c r="CN553" s="40"/>
      <c r="CO553" s="5"/>
      <c r="CQ553" s="40"/>
      <c r="CR553" s="5"/>
    </row>
    <row r="554">
      <c r="AL554" s="40"/>
      <c r="AM554" s="5"/>
      <c r="AO554" s="40"/>
      <c r="AP554" s="5"/>
      <c r="AR554" s="40"/>
      <c r="AS554" s="5"/>
      <c r="AU554" s="40"/>
      <c r="AV554" s="5"/>
      <c r="AX554" s="40"/>
      <c r="AY554" s="5"/>
      <c r="BA554" s="40"/>
      <c r="BB554" s="5"/>
      <c r="BD554" s="40"/>
      <c r="BE554" s="5"/>
      <c r="BG554" s="40"/>
      <c r="BH554" s="5"/>
      <c r="BJ554" s="40"/>
      <c r="BK554" s="5"/>
      <c r="BM554" s="40"/>
      <c r="BN554" s="5"/>
      <c r="BP554" s="40"/>
      <c r="BQ554" s="5"/>
      <c r="BS554" s="40"/>
      <c r="BT554" s="5"/>
      <c r="BV554" s="40"/>
      <c r="BW554" s="5"/>
      <c r="BY554" s="40"/>
      <c r="BZ554" s="5"/>
      <c r="CB554" s="40"/>
      <c r="CC554" s="5"/>
      <c r="CE554" s="40"/>
      <c r="CF554" s="5"/>
      <c r="CH554" s="40"/>
      <c r="CI554" s="5"/>
      <c r="CK554" s="40"/>
      <c r="CL554" s="5"/>
      <c r="CN554" s="40"/>
      <c r="CO554" s="5"/>
      <c r="CQ554" s="40"/>
      <c r="CR554" s="5"/>
    </row>
    <row r="555">
      <c r="AL555" s="40"/>
      <c r="AM555" s="5"/>
      <c r="AO555" s="40"/>
      <c r="AP555" s="5"/>
      <c r="AR555" s="40"/>
      <c r="AS555" s="5"/>
      <c r="AU555" s="40"/>
      <c r="AV555" s="5"/>
      <c r="AX555" s="40"/>
      <c r="AY555" s="5"/>
      <c r="BA555" s="40"/>
      <c r="BB555" s="5"/>
      <c r="BD555" s="40"/>
      <c r="BE555" s="5"/>
      <c r="BG555" s="40"/>
      <c r="BH555" s="5"/>
      <c r="BJ555" s="40"/>
      <c r="BK555" s="5"/>
      <c r="BM555" s="40"/>
      <c r="BN555" s="5"/>
      <c r="BP555" s="40"/>
      <c r="BQ555" s="5"/>
      <c r="BS555" s="40"/>
      <c r="BT555" s="5"/>
      <c r="BV555" s="40"/>
      <c r="BW555" s="5"/>
      <c r="BY555" s="40"/>
      <c r="BZ555" s="5"/>
      <c r="CB555" s="40"/>
      <c r="CC555" s="5"/>
      <c r="CE555" s="40"/>
      <c r="CF555" s="5"/>
      <c r="CH555" s="40"/>
      <c r="CI555" s="5"/>
      <c r="CK555" s="40"/>
      <c r="CL555" s="5"/>
      <c r="CN555" s="40"/>
      <c r="CO555" s="5"/>
      <c r="CQ555" s="40"/>
      <c r="CR555" s="5"/>
    </row>
    <row r="556">
      <c r="AL556" s="40"/>
      <c r="AM556" s="5"/>
      <c r="AO556" s="40"/>
      <c r="AP556" s="5"/>
      <c r="AR556" s="40"/>
      <c r="AS556" s="5"/>
      <c r="AU556" s="40"/>
      <c r="AV556" s="5"/>
      <c r="AX556" s="40"/>
      <c r="AY556" s="5"/>
      <c r="BA556" s="40"/>
      <c r="BB556" s="5"/>
      <c r="BD556" s="40"/>
      <c r="BE556" s="5"/>
      <c r="BG556" s="40"/>
      <c r="BH556" s="5"/>
      <c r="BJ556" s="40"/>
      <c r="BK556" s="5"/>
      <c r="BM556" s="40"/>
      <c r="BN556" s="5"/>
      <c r="BP556" s="40"/>
      <c r="BQ556" s="5"/>
      <c r="BS556" s="40"/>
      <c r="BT556" s="5"/>
      <c r="BV556" s="40"/>
      <c r="BW556" s="5"/>
      <c r="BY556" s="40"/>
      <c r="BZ556" s="5"/>
      <c r="CB556" s="40"/>
      <c r="CC556" s="5"/>
      <c r="CE556" s="40"/>
      <c r="CF556" s="5"/>
      <c r="CH556" s="40"/>
      <c r="CI556" s="5"/>
      <c r="CK556" s="40"/>
      <c r="CL556" s="5"/>
      <c r="CN556" s="40"/>
      <c r="CO556" s="5"/>
      <c r="CQ556" s="40"/>
      <c r="CR556" s="5"/>
    </row>
    <row r="557">
      <c r="AL557" s="40"/>
      <c r="AM557" s="5"/>
      <c r="AO557" s="40"/>
      <c r="AP557" s="5"/>
      <c r="AR557" s="40"/>
      <c r="AS557" s="5"/>
      <c r="AU557" s="40"/>
      <c r="AV557" s="5"/>
      <c r="AX557" s="40"/>
      <c r="AY557" s="5"/>
      <c r="BA557" s="40"/>
      <c r="BB557" s="5"/>
      <c r="BD557" s="40"/>
      <c r="BE557" s="5"/>
      <c r="BG557" s="40"/>
      <c r="BH557" s="5"/>
      <c r="BJ557" s="40"/>
      <c r="BK557" s="5"/>
      <c r="BM557" s="40"/>
      <c r="BN557" s="5"/>
      <c r="BP557" s="40"/>
      <c r="BQ557" s="5"/>
      <c r="BS557" s="40"/>
      <c r="BT557" s="5"/>
      <c r="BV557" s="40"/>
      <c r="BW557" s="5"/>
      <c r="BY557" s="40"/>
      <c r="BZ557" s="5"/>
      <c r="CB557" s="40"/>
      <c r="CC557" s="5"/>
      <c r="CE557" s="40"/>
      <c r="CF557" s="5"/>
      <c r="CH557" s="40"/>
      <c r="CI557" s="5"/>
      <c r="CK557" s="40"/>
      <c r="CL557" s="5"/>
      <c r="CN557" s="40"/>
      <c r="CO557" s="5"/>
      <c r="CQ557" s="40"/>
      <c r="CR557" s="5"/>
    </row>
    <row r="558">
      <c r="AL558" s="40"/>
      <c r="AM558" s="5"/>
      <c r="AO558" s="40"/>
      <c r="AP558" s="5"/>
      <c r="AR558" s="40"/>
      <c r="AS558" s="5"/>
      <c r="AU558" s="40"/>
      <c r="AV558" s="5"/>
      <c r="AX558" s="40"/>
      <c r="AY558" s="5"/>
      <c r="BA558" s="40"/>
      <c r="BB558" s="5"/>
      <c r="BD558" s="40"/>
      <c r="BE558" s="5"/>
      <c r="BG558" s="40"/>
      <c r="BH558" s="5"/>
      <c r="BJ558" s="40"/>
      <c r="BK558" s="5"/>
      <c r="BM558" s="40"/>
      <c r="BN558" s="5"/>
      <c r="BP558" s="40"/>
      <c r="BQ558" s="5"/>
      <c r="BS558" s="40"/>
      <c r="BT558" s="5"/>
      <c r="BV558" s="40"/>
      <c r="BW558" s="5"/>
      <c r="BY558" s="40"/>
      <c r="BZ558" s="5"/>
      <c r="CB558" s="40"/>
      <c r="CC558" s="5"/>
      <c r="CE558" s="40"/>
      <c r="CF558" s="5"/>
      <c r="CH558" s="40"/>
      <c r="CI558" s="5"/>
      <c r="CK558" s="40"/>
      <c r="CL558" s="5"/>
      <c r="CN558" s="40"/>
      <c r="CO558" s="5"/>
      <c r="CQ558" s="40"/>
      <c r="CR558" s="5"/>
    </row>
    <row r="559">
      <c r="AL559" s="40"/>
      <c r="AM559" s="5"/>
      <c r="AO559" s="40"/>
      <c r="AP559" s="5"/>
      <c r="AR559" s="40"/>
      <c r="AS559" s="5"/>
      <c r="AU559" s="40"/>
      <c r="AV559" s="5"/>
      <c r="AX559" s="40"/>
      <c r="AY559" s="5"/>
      <c r="BA559" s="40"/>
      <c r="BB559" s="5"/>
      <c r="BD559" s="40"/>
      <c r="BE559" s="5"/>
      <c r="BG559" s="40"/>
      <c r="BH559" s="5"/>
      <c r="BJ559" s="40"/>
      <c r="BK559" s="5"/>
      <c r="BM559" s="40"/>
      <c r="BN559" s="5"/>
      <c r="BP559" s="40"/>
      <c r="BQ559" s="5"/>
      <c r="BS559" s="40"/>
      <c r="BT559" s="5"/>
      <c r="BV559" s="40"/>
      <c r="BW559" s="5"/>
      <c r="BY559" s="40"/>
      <c r="BZ559" s="5"/>
      <c r="CB559" s="40"/>
      <c r="CC559" s="5"/>
      <c r="CE559" s="40"/>
      <c r="CF559" s="5"/>
      <c r="CH559" s="40"/>
      <c r="CI559" s="5"/>
      <c r="CK559" s="40"/>
      <c r="CL559" s="5"/>
      <c r="CN559" s="40"/>
      <c r="CO559" s="5"/>
      <c r="CQ559" s="40"/>
      <c r="CR559" s="5"/>
    </row>
    <row r="560">
      <c r="AL560" s="40"/>
      <c r="AM560" s="5"/>
      <c r="AO560" s="40"/>
      <c r="AP560" s="5"/>
      <c r="AR560" s="40"/>
      <c r="AS560" s="5"/>
      <c r="AU560" s="40"/>
      <c r="AV560" s="5"/>
      <c r="AX560" s="40"/>
      <c r="AY560" s="5"/>
      <c r="BA560" s="40"/>
      <c r="BB560" s="5"/>
      <c r="BD560" s="40"/>
      <c r="BE560" s="5"/>
      <c r="BG560" s="40"/>
      <c r="BH560" s="5"/>
      <c r="BJ560" s="40"/>
      <c r="BK560" s="5"/>
      <c r="BM560" s="40"/>
      <c r="BN560" s="5"/>
      <c r="BP560" s="40"/>
      <c r="BQ560" s="5"/>
      <c r="BS560" s="40"/>
      <c r="BT560" s="5"/>
      <c r="BV560" s="40"/>
      <c r="BW560" s="5"/>
      <c r="BY560" s="40"/>
      <c r="BZ560" s="5"/>
      <c r="CB560" s="40"/>
      <c r="CC560" s="5"/>
      <c r="CE560" s="40"/>
      <c r="CF560" s="5"/>
      <c r="CH560" s="40"/>
      <c r="CI560" s="5"/>
      <c r="CK560" s="40"/>
      <c r="CL560" s="5"/>
      <c r="CN560" s="40"/>
      <c r="CO560" s="5"/>
      <c r="CQ560" s="40"/>
      <c r="CR560" s="5"/>
    </row>
    <row r="561">
      <c r="AL561" s="40"/>
      <c r="AM561" s="5"/>
      <c r="AO561" s="40"/>
      <c r="AP561" s="5"/>
      <c r="AR561" s="40"/>
      <c r="AS561" s="5"/>
      <c r="AU561" s="40"/>
      <c r="AV561" s="5"/>
      <c r="AX561" s="40"/>
      <c r="AY561" s="5"/>
      <c r="BA561" s="40"/>
      <c r="BB561" s="5"/>
      <c r="BD561" s="40"/>
      <c r="BE561" s="5"/>
      <c r="BG561" s="40"/>
      <c r="BH561" s="5"/>
      <c r="BJ561" s="40"/>
      <c r="BK561" s="5"/>
      <c r="BM561" s="40"/>
      <c r="BN561" s="5"/>
      <c r="BP561" s="40"/>
      <c r="BQ561" s="5"/>
      <c r="BS561" s="40"/>
      <c r="BT561" s="5"/>
      <c r="BV561" s="40"/>
      <c r="BW561" s="5"/>
      <c r="BY561" s="40"/>
      <c r="BZ561" s="5"/>
      <c r="CB561" s="40"/>
      <c r="CC561" s="5"/>
      <c r="CE561" s="40"/>
      <c r="CF561" s="5"/>
      <c r="CH561" s="40"/>
      <c r="CI561" s="5"/>
      <c r="CK561" s="40"/>
      <c r="CL561" s="5"/>
      <c r="CN561" s="40"/>
      <c r="CO561" s="5"/>
      <c r="CQ561" s="40"/>
      <c r="CR561" s="5"/>
    </row>
    <row r="562">
      <c r="AL562" s="40"/>
      <c r="AM562" s="5"/>
      <c r="AO562" s="40"/>
      <c r="AP562" s="5"/>
      <c r="AR562" s="40"/>
      <c r="AS562" s="5"/>
      <c r="AU562" s="40"/>
      <c r="AV562" s="5"/>
      <c r="AX562" s="40"/>
      <c r="AY562" s="5"/>
      <c r="BA562" s="40"/>
      <c r="BB562" s="5"/>
      <c r="BD562" s="40"/>
      <c r="BE562" s="5"/>
      <c r="BG562" s="40"/>
      <c r="BH562" s="5"/>
      <c r="BJ562" s="40"/>
      <c r="BK562" s="5"/>
      <c r="BM562" s="40"/>
      <c r="BN562" s="5"/>
      <c r="BP562" s="40"/>
      <c r="BQ562" s="5"/>
      <c r="BS562" s="40"/>
      <c r="BT562" s="5"/>
      <c r="BV562" s="40"/>
      <c r="BW562" s="5"/>
      <c r="BY562" s="40"/>
      <c r="BZ562" s="5"/>
      <c r="CB562" s="40"/>
      <c r="CC562" s="5"/>
      <c r="CE562" s="40"/>
      <c r="CF562" s="5"/>
      <c r="CH562" s="40"/>
      <c r="CI562" s="5"/>
      <c r="CK562" s="40"/>
      <c r="CL562" s="5"/>
      <c r="CN562" s="40"/>
      <c r="CO562" s="5"/>
      <c r="CQ562" s="40"/>
      <c r="CR562" s="5"/>
    </row>
    <row r="563">
      <c r="AL563" s="40"/>
      <c r="AM563" s="5"/>
      <c r="AO563" s="40"/>
      <c r="AP563" s="5"/>
      <c r="AR563" s="40"/>
      <c r="AS563" s="5"/>
      <c r="AU563" s="40"/>
      <c r="AV563" s="5"/>
      <c r="AX563" s="40"/>
      <c r="AY563" s="5"/>
      <c r="BA563" s="40"/>
      <c r="BB563" s="5"/>
      <c r="BD563" s="40"/>
      <c r="BE563" s="5"/>
      <c r="BG563" s="40"/>
      <c r="BH563" s="5"/>
      <c r="BJ563" s="40"/>
      <c r="BK563" s="5"/>
      <c r="BM563" s="40"/>
      <c r="BN563" s="5"/>
      <c r="BP563" s="40"/>
      <c r="BQ563" s="5"/>
      <c r="BS563" s="40"/>
      <c r="BT563" s="5"/>
      <c r="BV563" s="40"/>
      <c r="BW563" s="5"/>
      <c r="BY563" s="40"/>
      <c r="BZ563" s="5"/>
      <c r="CB563" s="40"/>
      <c r="CC563" s="5"/>
      <c r="CE563" s="40"/>
      <c r="CF563" s="5"/>
      <c r="CH563" s="40"/>
      <c r="CI563" s="5"/>
      <c r="CK563" s="40"/>
      <c r="CL563" s="5"/>
      <c r="CN563" s="40"/>
      <c r="CO563" s="5"/>
      <c r="CQ563" s="40"/>
      <c r="CR563" s="5"/>
    </row>
    <row r="564">
      <c r="AL564" s="40"/>
      <c r="AM564" s="5"/>
      <c r="AO564" s="40"/>
      <c r="AP564" s="5"/>
      <c r="AR564" s="40"/>
      <c r="AS564" s="5"/>
      <c r="AU564" s="40"/>
      <c r="AV564" s="5"/>
      <c r="AX564" s="40"/>
      <c r="AY564" s="5"/>
      <c r="BA564" s="40"/>
      <c r="BB564" s="5"/>
      <c r="BD564" s="40"/>
      <c r="BE564" s="5"/>
      <c r="BG564" s="40"/>
      <c r="BH564" s="5"/>
      <c r="BJ564" s="40"/>
      <c r="BK564" s="5"/>
      <c r="BM564" s="40"/>
      <c r="BN564" s="5"/>
      <c r="BP564" s="40"/>
      <c r="BQ564" s="5"/>
      <c r="BS564" s="40"/>
      <c r="BT564" s="5"/>
      <c r="BV564" s="40"/>
      <c r="BW564" s="5"/>
      <c r="BY564" s="40"/>
      <c r="BZ564" s="5"/>
      <c r="CB564" s="40"/>
      <c r="CC564" s="5"/>
      <c r="CE564" s="40"/>
      <c r="CF564" s="5"/>
      <c r="CH564" s="40"/>
      <c r="CI564" s="5"/>
      <c r="CK564" s="40"/>
      <c r="CL564" s="5"/>
      <c r="CN564" s="40"/>
      <c r="CO564" s="5"/>
      <c r="CQ564" s="40"/>
      <c r="CR564" s="5"/>
    </row>
    <row r="565">
      <c r="AL565" s="40"/>
      <c r="AM565" s="5"/>
      <c r="AO565" s="40"/>
      <c r="AP565" s="5"/>
      <c r="AR565" s="40"/>
      <c r="AS565" s="5"/>
      <c r="AU565" s="40"/>
      <c r="AV565" s="5"/>
      <c r="AX565" s="40"/>
      <c r="AY565" s="5"/>
      <c r="BA565" s="40"/>
      <c r="BB565" s="5"/>
      <c r="BD565" s="40"/>
      <c r="BE565" s="5"/>
      <c r="BG565" s="40"/>
      <c r="BH565" s="5"/>
      <c r="BJ565" s="40"/>
      <c r="BK565" s="5"/>
      <c r="BM565" s="40"/>
      <c r="BN565" s="5"/>
      <c r="BP565" s="40"/>
      <c r="BQ565" s="5"/>
      <c r="BS565" s="40"/>
      <c r="BT565" s="5"/>
      <c r="BV565" s="40"/>
      <c r="BW565" s="5"/>
      <c r="BY565" s="40"/>
      <c r="BZ565" s="5"/>
      <c r="CB565" s="40"/>
      <c r="CC565" s="5"/>
      <c r="CE565" s="40"/>
      <c r="CF565" s="5"/>
      <c r="CH565" s="40"/>
      <c r="CI565" s="5"/>
      <c r="CK565" s="40"/>
      <c r="CL565" s="5"/>
      <c r="CN565" s="40"/>
      <c r="CO565" s="5"/>
      <c r="CQ565" s="40"/>
      <c r="CR565" s="5"/>
    </row>
    <row r="566">
      <c r="AL566" s="40"/>
      <c r="AM566" s="5"/>
      <c r="AO566" s="40"/>
      <c r="AP566" s="5"/>
      <c r="AR566" s="40"/>
      <c r="AS566" s="5"/>
      <c r="AU566" s="40"/>
      <c r="AV566" s="5"/>
      <c r="AX566" s="40"/>
      <c r="AY566" s="5"/>
      <c r="BA566" s="40"/>
      <c r="BB566" s="5"/>
      <c r="BD566" s="40"/>
      <c r="BE566" s="5"/>
      <c r="BG566" s="40"/>
      <c r="BH566" s="5"/>
      <c r="BJ566" s="40"/>
      <c r="BK566" s="5"/>
      <c r="BM566" s="40"/>
      <c r="BN566" s="5"/>
      <c r="BP566" s="40"/>
      <c r="BQ566" s="5"/>
      <c r="BS566" s="40"/>
      <c r="BT566" s="5"/>
      <c r="BV566" s="40"/>
      <c r="BW566" s="5"/>
      <c r="BY566" s="40"/>
      <c r="BZ566" s="5"/>
      <c r="CB566" s="40"/>
      <c r="CC566" s="5"/>
      <c r="CE566" s="40"/>
      <c r="CF566" s="5"/>
      <c r="CH566" s="40"/>
      <c r="CI566" s="5"/>
      <c r="CK566" s="40"/>
      <c r="CL566" s="5"/>
      <c r="CN566" s="40"/>
      <c r="CO566" s="5"/>
      <c r="CQ566" s="40"/>
      <c r="CR566" s="5"/>
    </row>
    <row r="567">
      <c r="AL567" s="40"/>
      <c r="AM567" s="5"/>
      <c r="AO567" s="40"/>
      <c r="AP567" s="5"/>
      <c r="AR567" s="40"/>
      <c r="AS567" s="5"/>
      <c r="AU567" s="40"/>
      <c r="AV567" s="5"/>
      <c r="AX567" s="40"/>
      <c r="AY567" s="5"/>
      <c r="BA567" s="40"/>
      <c r="BB567" s="5"/>
      <c r="BD567" s="40"/>
      <c r="BE567" s="5"/>
      <c r="BG567" s="40"/>
      <c r="BH567" s="5"/>
      <c r="BJ567" s="40"/>
      <c r="BK567" s="5"/>
      <c r="BM567" s="40"/>
      <c r="BN567" s="5"/>
      <c r="BP567" s="40"/>
      <c r="BQ567" s="5"/>
      <c r="BS567" s="40"/>
      <c r="BT567" s="5"/>
      <c r="BV567" s="40"/>
      <c r="BW567" s="5"/>
      <c r="BY567" s="40"/>
      <c r="BZ567" s="5"/>
      <c r="CB567" s="40"/>
      <c r="CC567" s="5"/>
      <c r="CE567" s="40"/>
      <c r="CF567" s="5"/>
      <c r="CH567" s="40"/>
      <c r="CI567" s="5"/>
      <c r="CK567" s="40"/>
      <c r="CL567" s="5"/>
      <c r="CN567" s="40"/>
      <c r="CO567" s="5"/>
      <c r="CQ567" s="40"/>
      <c r="CR567" s="5"/>
    </row>
    <row r="568">
      <c r="AL568" s="40"/>
      <c r="AM568" s="5"/>
      <c r="AO568" s="40"/>
      <c r="AP568" s="5"/>
      <c r="AR568" s="40"/>
      <c r="AS568" s="5"/>
      <c r="AU568" s="40"/>
      <c r="AV568" s="5"/>
      <c r="AX568" s="40"/>
      <c r="AY568" s="5"/>
      <c r="BA568" s="40"/>
      <c r="BB568" s="5"/>
      <c r="BD568" s="40"/>
      <c r="BE568" s="5"/>
      <c r="BG568" s="40"/>
      <c r="BH568" s="5"/>
      <c r="BJ568" s="40"/>
      <c r="BK568" s="5"/>
      <c r="BM568" s="40"/>
      <c r="BN568" s="5"/>
      <c r="BP568" s="40"/>
      <c r="BQ568" s="5"/>
      <c r="BS568" s="40"/>
      <c r="BT568" s="5"/>
      <c r="BV568" s="40"/>
      <c r="BW568" s="5"/>
      <c r="BY568" s="40"/>
      <c r="BZ568" s="5"/>
      <c r="CB568" s="40"/>
      <c r="CC568" s="5"/>
      <c r="CE568" s="40"/>
      <c r="CF568" s="5"/>
      <c r="CH568" s="40"/>
      <c r="CI568" s="5"/>
      <c r="CK568" s="40"/>
      <c r="CL568" s="5"/>
      <c r="CN568" s="40"/>
      <c r="CO568" s="5"/>
      <c r="CQ568" s="40"/>
      <c r="CR568" s="5"/>
    </row>
    <row r="569">
      <c r="AL569" s="40"/>
      <c r="AM569" s="5"/>
      <c r="AO569" s="40"/>
      <c r="AP569" s="5"/>
      <c r="AR569" s="40"/>
      <c r="AS569" s="5"/>
      <c r="AU569" s="40"/>
      <c r="AV569" s="5"/>
      <c r="AX569" s="40"/>
      <c r="AY569" s="5"/>
      <c r="BA569" s="40"/>
      <c r="BB569" s="5"/>
      <c r="BD569" s="40"/>
      <c r="BE569" s="5"/>
      <c r="BG569" s="40"/>
      <c r="BH569" s="5"/>
      <c r="BJ569" s="40"/>
      <c r="BK569" s="5"/>
      <c r="BM569" s="40"/>
      <c r="BN569" s="5"/>
      <c r="BP569" s="40"/>
      <c r="BQ569" s="5"/>
      <c r="BS569" s="40"/>
      <c r="BT569" s="5"/>
      <c r="BV569" s="40"/>
      <c r="BW569" s="5"/>
      <c r="BY569" s="40"/>
      <c r="BZ569" s="5"/>
      <c r="CB569" s="40"/>
      <c r="CC569" s="5"/>
      <c r="CE569" s="40"/>
      <c r="CF569" s="5"/>
      <c r="CH569" s="40"/>
      <c r="CI569" s="5"/>
      <c r="CK569" s="40"/>
      <c r="CL569" s="5"/>
      <c r="CN569" s="40"/>
      <c r="CO569" s="5"/>
      <c r="CQ569" s="40"/>
      <c r="CR569" s="5"/>
    </row>
    <row r="570">
      <c r="AL570" s="40"/>
      <c r="AM570" s="5"/>
      <c r="AO570" s="40"/>
      <c r="AP570" s="5"/>
      <c r="AR570" s="40"/>
      <c r="AS570" s="5"/>
      <c r="AU570" s="40"/>
      <c r="AV570" s="5"/>
      <c r="AX570" s="40"/>
      <c r="AY570" s="5"/>
      <c r="BA570" s="40"/>
      <c r="BB570" s="5"/>
      <c r="BD570" s="40"/>
      <c r="BE570" s="5"/>
      <c r="BG570" s="40"/>
      <c r="BH570" s="5"/>
      <c r="BJ570" s="40"/>
      <c r="BK570" s="5"/>
      <c r="BM570" s="40"/>
      <c r="BN570" s="5"/>
      <c r="BP570" s="40"/>
      <c r="BQ570" s="5"/>
      <c r="BS570" s="40"/>
      <c r="BT570" s="5"/>
      <c r="BV570" s="40"/>
      <c r="BW570" s="5"/>
      <c r="BY570" s="40"/>
      <c r="BZ570" s="5"/>
      <c r="CB570" s="40"/>
      <c r="CC570" s="5"/>
      <c r="CE570" s="40"/>
      <c r="CF570" s="5"/>
      <c r="CH570" s="40"/>
      <c r="CI570" s="5"/>
      <c r="CK570" s="40"/>
      <c r="CL570" s="5"/>
      <c r="CN570" s="40"/>
      <c r="CO570" s="5"/>
      <c r="CQ570" s="40"/>
      <c r="CR570" s="5"/>
    </row>
    <row r="571">
      <c r="AL571" s="40"/>
      <c r="AM571" s="5"/>
      <c r="AO571" s="40"/>
      <c r="AP571" s="5"/>
      <c r="AR571" s="40"/>
      <c r="AS571" s="5"/>
      <c r="AU571" s="40"/>
      <c r="AV571" s="5"/>
      <c r="AX571" s="40"/>
      <c r="AY571" s="5"/>
      <c r="BA571" s="40"/>
      <c r="BB571" s="5"/>
      <c r="BD571" s="40"/>
      <c r="BE571" s="5"/>
      <c r="BG571" s="40"/>
      <c r="BH571" s="5"/>
      <c r="BJ571" s="40"/>
      <c r="BK571" s="5"/>
      <c r="BM571" s="40"/>
      <c r="BN571" s="5"/>
      <c r="BP571" s="40"/>
      <c r="BQ571" s="5"/>
      <c r="BS571" s="40"/>
      <c r="BT571" s="5"/>
      <c r="BV571" s="40"/>
      <c r="BW571" s="5"/>
      <c r="BY571" s="40"/>
      <c r="BZ571" s="5"/>
      <c r="CB571" s="40"/>
      <c r="CC571" s="5"/>
      <c r="CE571" s="40"/>
      <c r="CF571" s="5"/>
      <c r="CH571" s="40"/>
      <c r="CI571" s="5"/>
      <c r="CK571" s="40"/>
      <c r="CL571" s="5"/>
      <c r="CN571" s="40"/>
      <c r="CO571" s="5"/>
      <c r="CQ571" s="40"/>
      <c r="CR571" s="5"/>
    </row>
    <row r="572">
      <c r="AL572" s="40"/>
      <c r="AM572" s="5"/>
      <c r="AO572" s="40"/>
      <c r="AP572" s="5"/>
      <c r="AR572" s="40"/>
      <c r="AS572" s="5"/>
      <c r="AU572" s="40"/>
      <c r="AV572" s="5"/>
      <c r="AX572" s="40"/>
      <c r="AY572" s="5"/>
      <c r="BA572" s="40"/>
      <c r="BB572" s="5"/>
      <c r="BD572" s="40"/>
      <c r="BE572" s="5"/>
      <c r="BG572" s="40"/>
      <c r="BH572" s="5"/>
      <c r="BJ572" s="40"/>
      <c r="BK572" s="5"/>
      <c r="BM572" s="40"/>
      <c r="BN572" s="5"/>
      <c r="BP572" s="40"/>
      <c r="BQ572" s="5"/>
      <c r="BS572" s="40"/>
      <c r="BT572" s="5"/>
      <c r="BV572" s="40"/>
      <c r="BW572" s="5"/>
      <c r="BY572" s="40"/>
      <c r="BZ572" s="5"/>
      <c r="CB572" s="40"/>
      <c r="CC572" s="5"/>
      <c r="CE572" s="40"/>
      <c r="CF572" s="5"/>
      <c r="CH572" s="40"/>
      <c r="CI572" s="5"/>
      <c r="CK572" s="40"/>
      <c r="CL572" s="5"/>
      <c r="CN572" s="40"/>
      <c r="CO572" s="5"/>
      <c r="CQ572" s="40"/>
      <c r="CR572" s="5"/>
    </row>
    <row r="573">
      <c r="AL573" s="40"/>
      <c r="AM573" s="5"/>
      <c r="AO573" s="40"/>
      <c r="AP573" s="5"/>
      <c r="AR573" s="40"/>
      <c r="AS573" s="5"/>
      <c r="AU573" s="40"/>
      <c r="AV573" s="5"/>
      <c r="AX573" s="40"/>
      <c r="AY573" s="5"/>
      <c r="BA573" s="40"/>
      <c r="BB573" s="5"/>
      <c r="BD573" s="40"/>
      <c r="BE573" s="5"/>
      <c r="BG573" s="40"/>
      <c r="BH573" s="5"/>
      <c r="BJ573" s="40"/>
      <c r="BK573" s="5"/>
      <c r="BM573" s="40"/>
      <c r="BN573" s="5"/>
      <c r="BP573" s="40"/>
      <c r="BQ573" s="5"/>
      <c r="BS573" s="40"/>
      <c r="BT573" s="5"/>
      <c r="BV573" s="40"/>
      <c r="BW573" s="5"/>
      <c r="BY573" s="40"/>
      <c r="BZ573" s="5"/>
      <c r="CB573" s="40"/>
      <c r="CC573" s="5"/>
      <c r="CE573" s="40"/>
      <c r="CF573" s="5"/>
      <c r="CH573" s="40"/>
      <c r="CI573" s="5"/>
      <c r="CK573" s="40"/>
      <c r="CL573" s="5"/>
      <c r="CN573" s="40"/>
      <c r="CO573" s="5"/>
      <c r="CQ573" s="40"/>
      <c r="CR573" s="5"/>
    </row>
    <row r="574">
      <c r="AL574" s="40"/>
      <c r="AM574" s="5"/>
      <c r="AO574" s="40"/>
      <c r="AP574" s="5"/>
      <c r="AR574" s="40"/>
      <c r="AS574" s="5"/>
      <c r="AU574" s="40"/>
      <c r="AV574" s="5"/>
      <c r="AX574" s="40"/>
      <c r="AY574" s="5"/>
      <c r="BA574" s="40"/>
      <c r="BB574" s="5"/>
      <c r="BD574" s="40"/>
      <c r="BE574" s="5"/>
      <c r="BG574" s="40"/>
      <c r="BH574" s="5"/>
      <c r="BJ574" s="40"/>
      <c r="BK574" s="5"/>
      <c r="BM574" s="40"/>
      <c r="BN574" s="5"/>
      <c r="BP574" s="40"/>
      <c r="BQ574" s="5"/>
      <c r="BS574" s="40"/>
      <c r="BT574" s="5"/>
      <c r="BV574" s="40"/>
      <c r="BW574" s="5"/>
      <c r="BY574" s="40"/>
      <c r="BZ574" s="5"/>
      <c r="CB574" s="40"/>
      <c r="CC574" s="5"/>
      <c r="CE574" s="40"/>
      <c r="CF574" s="5"/>
      <c r="CH574" s="40"/>
      <c r="CI574" s="5"/>
      <c r="CK574" s="40"/>
      <c r="CL574" s="5"/>
      <c r="CN574" s="40"/>
      <c r="CO574" s="5"/>
      <c r="CQ574" s="40"/>
      <c r="CR574" s="5"/>
    </row>
    <row r="575">
      <c r="AL575" s="40"/>
      <c r="AM575" s="5"/>
      <c r="AO575" s="40"/>
      <c r="AP575" s="5"/>
      <c r="AR575" s="40"/>
      <c r="AS575" s="5"/>
      <c r="AU575" s="40"/>
      <c r="AV575" s="5"/>
      <c r="AX575" s="40"/>
      <c r="AY575" s="5"/>
      <c r="BA575" s="40"/>
      <c r="BB575" s="5"/>
      <c r="BD575" s="40"/>
      <c r="BE575" s="5"/>
      <c r="BG575" s="40"/>
      <c r="BH575" s="5"/>
      <c r="BJ575" s="40"/>
      <c r="BK575" s="5"/>
      <c r="BM575" s="40"/>
      <c r="BN575" s="5"/>
      <c r="BP575" s="40"/>
      <c r="BQ575" s="5"/>
      <c r="BS575" s="40"/>
      <c r="BT575" s="5"/>
      <c r="BV575" s="40"/>
      <c r="BW575" s="5"/>
      <c r="BY575" s="40"/>
      <c r="BZ575" s="5"/>
      <c r="CB575" s="40"/>
      <c r="CC575" s="5"/>
      <c r="CE575" s="40"/>
      <c r="CF575" s="5"/>
      <c r="CH575" s="40"/>
      <c r="CI575" s="5"/>
      <c r="CK575" s="40"/>
      <c r="CL575" s="5"/>
      <c r="CN575" s="40"/>
      <c r="CO575" s="5"/>
      <c r="CQ575" s="40"/>
      <c r="CR575" s="5"/>
    </row>
    <row r="576">
      <c r="AL576" s="40"/>
      <c r="AM576" s="5"/>
      <c r="AO576" s="40"/>
      <c r="AP576" s="5"/>
      <c r="AR576" s="40"/>
      <c r="AS576" s="5"/>
      <c r="AU576" s="40"/>
      <c r="AV576" s="5"/>
      <c r="AX576" s="40"/>
      <c r="AY576" s="5"/>
      <c r="BA576" s="40"/>
      <c r="BB576" s="5"/>
      <c r="BD576" s="40"/>
      <c r="BE576" s="5"/>
      <c r="BG576" s="40"/>
      <c r="BH576" s="5"/>
      <c r="BJ576" s="40"/>
      <c r="BK576" s="5"/>
      <c r="BM576" s="40"/>
      <c r="BN576" s="5"/>
      <c r="BP576" s="40"/>
      <c r="BQ576" s="5"/>
      <c r="BS576" s="40"/>
      <c r="BT576" s="5"/>
      <c r="BV576" s="40"/>
      <c r="BW576" s="5"/>
      <c r="BY576" s="40"/>
      <c r="BZ576" s="5"/>
      <c r="CB576" s="40"/>
      <c r="CC576" s="5"/>
      <c r="CE576" s="40"/>
      <c r="CF576" s="5"/>
      <c r="CH576" s="40"/>
      <c r="CI576" s="5"/>
      <c r="CK576" s="40"/>
      <c r="CL576" s="5"/>
      <c r="CN576" s="40"/>
      <c r="CO576" s="5"/>
      <c r="CQ576" s="40"/>
      <c r="CR576" s="5"/>
    </row>
    <row r="577">
      <c r="AL577" s="40"/>
      <c r="AM577" s="5"/>
      <c r="AO577" s="40"/>
      <c r="AP577" s="5"/>
      <c r="AR577" s="40"/>
      <c r="AS577" s="5"/>
      <c r="AU577" s="40"/>
      <c r="AV577" s="5"/>
      <c r="AX577" s="40"/>
      <c r="AY577" s="5"/>
      <c r="BA577" s="40"/>
      <c r="BB577" s="5"/>
      <c r="BD577" s="40"/>
      <c r="BE577" s="5"/>
      <c r="BG577" s="40"/>
      <c r="BH577" s="5"/>
      <c r="BJ577" s="40"/>
      <c r="BK577" s="5"/>
      <c r="BM577" s="40"/>
      <c r="BN577" s="5"/>
      <c r="BP577" s="40"/>
      <c r="BQ577" s="5"/>
      <c r="BS577" s="40"/>
      <c r="BT577" s="5"/>
      <c r="BV577" s="40"/>
      <c r="BW577" s="5"/>
      <c r="BY577" s="40"/>
      <c r="BZ577" s="5"/>
      <c r="CB577" s="40"/>
      <c r="CC577" s="5"/>
      <c r="CE577" s="40"/>
      <c r="CF577" s="5"/>
      <c r="CH577" s="40"/>
      <c r="CI577" s="5"/>
      <c r="CK577" s="40"/>
      <c r="CL577" s="5"/>
      <c r="CN577" s="40"/>
      <c r="CO577" s="5"/>
      <c r="CQ577" s="40"/>
      <c r="CR577" s="5"/>
    </row>
    <row r="578">
      <c r="AL578" s="40"/>
      <c r="AM578" s="5"/>
      <c r="AO578" s="40"/>
      <c r="AP578" s="5"/>
      <c r="AR578" s="40"/>
      <c r="AS578" s="5"/>
      <c r="AU578" s="40"/>
      <c r="AV578" s="5"/>
      <c r="AX578" s="40"/>
      <c r="AY578" s="5"/>
      <c r="BA578" s="40"/>
      <c r="BB578" s="5"/>
      <c r="BD578" s="40"/>
      <c r="BE578" s="5"/>
      <c r="BG578" s="40"/>
      <c r="BH578" s="5"/>
      <c r="BJ578" s="40"/>
      <c r="BK578" s="5"/>
      <c r="BM578" s="40"/>
      <c r="BN578" s="5"/>
      <c r="BP578" s="40"/>
      <c r="BQ578" s="5"/>
      <c r="BS578" s="40"/>
      <c r="BT578" s="5"/>
      <c r="BV578" s="40"/>
      <c r="BW578" s="5"/>
      <c r="BY578" s="40"/>
      <c r="BZ578" s="5"/>
      <c r="CB578" s="40"/>
      <c r="CC578" s="5"/>
      <c r="CE578" s="40"/>
      <c r="CF578" s="5"/>
      <c r="CH578" s="40"/>
      <c r="CI578" s="5"/>
      <c r="CK578" s="40"/>
      <c r="CL578" s="5"/>
      <c r="CN578" s="40"/>
      <c r="CO578" s="5"/>
      <c r="CQ578" s="40"/>
      <c r="CR578" s="5"/>
    </row>
    <row r="579">
      <c r="AL579" s="40"/>
      <c r="AM579" s="5"/>
      <c r="AO579" s="40"/>
      <c r="AP579" s="5"/>
      <c r="AR579" s="40"/>
      <c r="AS579" s="5"/>
      <c r="AU579" s="40"/>
      <c r="AV579" s="5"/>
      <c r="AX579" s="40"/>
      <c r="AY579" s="5"/>
      <c r="BA579" s="40"/>
      <c r="BB579" s="5"/>
      <c r="BD579" s="40"/>
      <c r="BE579" s="5"/>
      <c r="BG579" s="40"/>
      <c r="BH579" s="5"/>
      <c r="BJ579" s="40"/>
      <c r="BK579" s="5"/>
      <c r="BM579" s="40"/>
      <c r="BN579" s="5"/>
      <c r="BP579" s="40"/>
      <c r="BQ579" s="5"/>
      <c r="BS579" s="40"/>
      <c r="BT579" s="5"/>
      <c r="BV579" s="40"/>
      <c r="BW579" s="5"/>
      <c r="BY579" s="40"/>
      <c r="BZ579" s="5"/>
      <c r="CB579" s="40"/>
      <c r="CC579" s="5"/>
      <c r="CE579" s="40"/>
      <c r="CF579" s="5"/>
      <c r="CH579" s="40"/>
      <c r="CI579" s="5"/>
      <c r="CK579" s="40"/>
      <c r="CL579" s="5"/>
      <c r="CN579" s="40"/>
      <c r="CO579" s="5"/>
      <c r="CQ579" s="40"/>
      <c r="CR579" s="5"/>
    </row>
    <row r="580">
      <c r="AL580" s="40"/>
      <c r="AM580" s="5"/>
      <c r="AO580" s="40"/>
      <c r="AP580" s="5"/>
      <c r="AR580" s="40"/>
      <c r="AS580" s="5"/>
      <c r="AU580" s="40"/>
      <c r="AV580" s="5"/>
      <c r="AX580" s="40"/>
      <c r="AY580" s="5"/>
      <c r="BA580" s="40"/>
      <c r="BB580" s="5"/>
      <c r="BD580" s="40"/>
      <c r="BE580" s="5"/>
      <c r="BG580" s="40"/>
      <c r="BH580" s="5"/>
      <c r="BJ580" s="40"/>
      <c r="BK580" s="5"/>
      <c r="BM580" s="40"/>
      <c r="BN580" s="5"/>
      <c r="BP580" s="40"/>
      <c r="BQ580" s="5"/>
      <c r="BS580" s="40"/>
      <c r="BT580" s="5"/>
      <c r="BV580" s="40"/>
      <c r="BW580" s="5"/>
      <c r="BY580" s="40"/>
      <c r="BZ580" s="5"/>
      <c r="CB580" s="40"/>
      <c r="CC580" s="5"/>
      <c r="CE580" s="40"/>
      <c r="CF580" s="5"/>
      <c r="CH580" s="40"/>
      <c r="CI580" s="5"/>
      <c r="CK580" s="40"/>
      <c r="CL580" s="5"/>
      <c r="CN580" s="40"/>
      <c r="CO580" s="5"/>
      <c r="CQ580" s="40"/>
      <c r="CR580" s="5"/>
    </row>
    <row r="581">
      <c r="AL581" s="40"/>
      <c r="AM581" s="5"/>
      <c r="AO581" s="40"/>
      <c r="AP581" s="5"/>
      <c r="AR581" s="40"/>
      <c r="AS581" s="5"/>
      <c r="AU581" s="40"/>
      <c r="AV581" s="5"/>
      <c r="AX581" s="40"/>
      <c r="AY581" s="5"/>
      <c r="BA581" s="40"/>
      <c r="BB581" s="5"/>
      <c r="BD581" s="40"/>
      <c r="BE581" s="5"/>
      <c r="BG581" s="40"/>
      <c r="BH581" s="5"/>
      <c r="BJ581" s="40"/>
      <c r="BK581" s="5"/>
      <c r="BM581" s="40"/>
      <c r="BN581" s="5"/>
      <c r="BP581" s="40"/>
      <c r="BQ581" s="5"/>
      <c r="BS581" s="40"/>
      <c r="BT581" s="5"/>
      <c r="BV581" s="40"/>
      <c r="BW581" s="5"/>
      <c r="BY581" s="40"/>
      <c r="BZ581" s="5"/>
      <c r="CB581" s="40"/>
      <c r="CC581" s="5"/>
      <c r="CE581" s="40"/>
      <c r="CF581" s="5"/>
      <c r="CH581" s="40"/>
      <c r="CI581" s="5"/>
      <c r="CK581" s="40"/>
      <c r="CL581" s="5"/>
      <c r="CN581" s="40"/>
      <c r="CO581" s="5"/>
      <c r="CQ581" s="40"/>
      <c r="CR581" s="5"/>
    </row>
    <row r="582">
      <c r="AL582" s="40"/>
      <c r="AM582" s="5"/>
      <c r="AO582" s="40"/>
      <c r="AP582" s="5"/>
      <c r="AR582" s="40"/>
      <c r="AS582" s="5"/>
      <c r="AU582" s="40"/>
      <c r="AV582" s="5"/>
      <c r="AX582" s="40"/>
      <c r="AY582" s="5"/>
      <c r="BA582" s="40"/>
      <c r="BB582" s="5"/>
      <c r="BD582" s="40"/>
      <c r="BE582" s="5"/>
      <c r="BG582" s="40"/>
      <c r="BH582" s="5"/>
      <c r="BJ582" s="40"/>
      <c r="BK582" s="5"/>
      <c r="BM582" s="40"/>
      <c r="BN582" s="5"/>
      <c r="BP582" s="40"/>
      <c r="BQ582" s="5"/>
      <c r="BS582" s="40"/>
      <c r="BT582" s="5"/>
      <c r="BV582" s="40"/>
      <c r="BW582" s="5"/>
      <c r="BY582" s="40"/>
      <c r="BZ582" s="5"/>
      <c r="CB582" s="40"/>
      <c r="CC582" s="5"/>
      <c r="CE582" s="40"/>
      <c r="CF582" s="5"/>
      <c r="CH582" s="40"/>
      <c r="CI582" s="5"/>
      <c r="CK582" s="40"/>
      <c r="CL582" s="5"/>
      <c r="CN582" s="40"/>
      <c r="CO582" s="5"/>
      <c r="CQ582" s="40"/>
      <c r="CR582" s="5"/>
    </row>
    <row r="583">
      <c r="AL583" s="40"/>
      <c r="AM583" s="5"/>
      <c r="AO583" s="40"/>
      <c r="AP583" s="5"/>
      <c r="AR583" s="40"/>
      <c r="AS583" s="5"/>
      <c r="AU583" s="40"/>
      <c r="AV583" s="5"/>
      <c r="AX583" s="40"/>
      <c r="AY583" s="5"/>
      <c r="BA583" s="40"/>
      <c r="BB583" s="5"/>
      <c r="BD583" s="40"/>
      <c r="BE583" s="5"/>
      <c r="BG583" s="40"/>
      <c r="BH583" s="5"/>
      <c r="BJ583" s="40"/>
      <c r="BK583" s="5"/>
      <c r="BM583" s="40"/>
      <c r="BN583" s="5"/>
      <c r="BP583" s="40"/>
      <c r="BQ583" s="5"/>
      <c r="BS583" s="40"/>
      <c r="BT583" s="5"/>
      <c r="BV583" s="40"/>
      <c r="BW583" s="5"/>
      <c r="BY583" s="40"/>
      <c r="BZ583" s="5"/>
      <c r="CB583" s="40"/>
      <c r="CC583" s="5"/>
      <c r="CE583" s="40"/>
      <c r="CF583" s="5"/>
      <c r="CH583" s="40"/>
      <c r="CI583" s="5"/>
      <c r="CK583" s="40"/>
      <c r="CL583" s="5"/>
      <c r="CN583" s="40"/>
      <c r="CO583" s="5"/>
      <c r="CQ583" s="40"/>
      <c r="CR583" s="5"/>
    </row>
    <row r="584">
      <c r="AL584" s="40"/>
      <c r="AM584" s="5"/>
      <c r="AO584" s="40"/>
      <c r="AP584" s="5"/>
      <c r="AR584" s="40"/>
      <c r="AS584" s="5"/>
      <c r="AU584" s="40"/>
      <c r="AV584" s="5"/>
      <c r="AX584" s="40"/>
      <c r="AY584" s="5"/>
      <c r="BA584" s="40"/>
      <c r="BB584" s="5"/>
      <c r="BD584" s="40"/>
      <c r="BE584" s="5"/>
      <c r="BG584" s="40"/>
      <c r="BH584" s="5"/>
      <c r="BJ584" s="40"/>
      <c r="BK584" s="5"/>
      <c r="BM584" s="40"/>
      <c r="BN584" s="5"/>
      <c r="BP584" s="40"/>
      <c r="BQ584" s="5"/>
      <c r="BS584" s="40"/>
      <c r="BT584" s="5"/>
      <c r="BV584" s="40"/>
      <c r="BW584" s="5"/>
      <c r="BY584" s="40"/>
      <c r="BZ584" s="5"/>
      <c r="CB584" s="40"/>
      <c r="CC584" s="5"/>
      <c r="CE584" s="40"/>
      <c r="CF584" s="5"/>
      <c r="CH584" s="40"/>
      <c r="CI584" s="5"/>
      <c r="CK584" s="40"/>
      <c r="CL584" s="5"/>
      <c r="CN584" s="40"/>
      <c r="CO584" s="5"/>
      <c r="CQ584" s="40"/>
      <c r="CR584" s="5"/>
    </row>
    <row r="585">
      <c r="AL585" s="40"/>
      <c r="AM585" s="5"/>
      <c r="AO585" s="40"/>
      <c r="AP585" s="5"/>
      <c r="AR585" s="40"/>
      <c r="AS585" s="5"/>
      <c r="AU585" s="40"/>
      <c r="AV585" s="5"/>
      <c r="AX585" s="40"/>
      <c r="AY585" s="5"/>
      <c r="BA585" s="40"/>
      <c r="BB585" s="5"/>
      <c r="BD585" s="40"/>
      <c r="BE585" s="5"/>
      <c r="BG585" s="40"/>
      <c r="BH585" s="5"/>
      <c r="BJ585" s="40"/>
      <c r="BK585" s="5"/>
      <c r="BM585" s="40"/>
      <c r="BN585" s="5"/>
      <c r="BP585" s="40"/>
      <c r="BQ585" s="5"/>
      <c r="BS585" s="40"/>
      <c r="BT585" s="5"/>
      <c r="BV585" s="40"/>
      <c r="BW585" s="5"/>
      <c r="BY585" s="40"/>
      <c r="BZ585" s="5"/>
      <c r="CB585" s="40"/>
      <c r="CC585" s="5"/>
      <c r="CE585" s="40"/>
      <c r="CF585" s="5"/>
      <c r="CH585" s="40"/>
      <c r="CI585" s="5"/>
      <c r="CK585" s="40"/>
      <c r="CL585" s="5"/>
      <c r="CN585" s="40"/>
      <c r="CO585" s="5"/>
      <c r="CQ585" s="40"/>
      <c r="CR585" s="5"/>
    </row>
    <row r="586">
      <c r="AL586" s="40"/>
      <c r="AM586" s="5"/>
      <c r="AO586" s="40"/>
      <c r="AP586" s="5"/>
      <c r="AR586" s="40"/>
      <c r="AS586" s="5"/>
      <c r="AU586" s="40"/>
      <c r="AV586" s="5"/>
      <c r="AX586" s="40"/>
      <c r="AY586" s="5"/>
      <c r="BA586" s="40"/>
      <c r="BB586" s="5"/>
      <c r="BD586" s="40"/>
      <c r="BE586" s="5"/>
      <c r="BG586" s="40"/>
      <c r="BH586" s="5"/>
      <c r="BJ586" s="40"/>
      <c r="BK586" s="5"/>
      <c r="BM586" s="40"/>
      <c r="BN586" s="5"/>
      <c r="BP586" s="40"/>
      <c r="BQ586" s="5"/>
      <c r="BS586" s="40"/>
      <c r="BT586" s="5"/>
      <c r="BV586" s="40"/>
      <c r="BW586" s="5"/>
      <c r="BY586" s="40"/>
      <c r="BZ586" s="5"/>
      <c r="CB586" s="40"/>
      <c r="CC586" s="5"/>
      <c r="CE586" s="40"/>
      <c r="CF586" s="5"/>
      <c r="CH586" s="40"/>
      <c r="CI586" s="5"/>
      <c r="CK586" s="40"/>
      <c r="CL586" s="5"/>
      <c r="CN586" s="40"/>
      <c r="CO586" s="5"/>
      <c r="CQ586" s="40"/>
      <c r="CR586" s="5"/>
    </row>
    <row r="587">
      <c r="AL587" s="40"/>
      <c r="AM587" s="5"/>
      <c r="AO587" s="40"/>
      <c r="AP587" s="5"/>
      <c r="AR587" s="40"/>
      <c r="AS587" s="5"/>
      <c r="AU587" s="40"/>
      <c r="AV587" s="5"/>
      <c r="AX587" s="40"/>
      <c r="AY587" s="5"/>
      <c r="BA587" s="40"/>
      <c r="BB587" s="5"/>
      <c r="BD587" s="40"/>
      <c r="BE587" s="5"/>
      <c r="BG587" s="40"/>
      <c r="BH587" s="5"/>
      <c r="BJ587" s="40"/>
      <c r="BK587" s="5"/>
      <c r="BM587" s="40"/>
      <c r="BN587" s="5"/>
      <c r="BP587" s="40"/>
      <c r="BQ587" s="5"/>
      <c r="BS587" s="40"/>
      <c r="BT587" s="5"/>
      <c r="BV587" s="40"/>
      <c r="BW587" s="5"/>
      <c r="BY587" s="40"/>
      <c r="BZ587" s="5"/>
      <c r="CB587" s="40"/>
      <c r="CC587" s="5"/>
      <c r="CE587" s="40"/>
      <c r="CF587" s="5"/>
      <c r="CH587" s="40"/>
      <c r="CI587" s="5"/>
      <c r="CK587" s="40"/>
      <c r="CL587" s="5"/>
      <c r="CN587" s="40"/>
      <c r="CO587" s="5"/>
      <c r="CQ587" s="40"/>
      <c r="CR587" s="5"/>
    </row>
    <row r="588">
      <c r="AL588" s="40"/>
      <c r="AM588" s="5"/>
      <c r="AO588" s="40"/>
      <c r="AP588" s="5"/>
      <c r="AR588" s="40"/>
      <c r="AS588" s="5"/>
      <c r="AU588" s="40"/>
      <c r="AV588" s="5"/>
      <c r="AX588" s="40"/>
      <c r="AY588" s="5"/>
      <c r="BA588" s="40"/>
      <c r="BB588" s="5"/>
      <c r="BD588" s="40"/>
      <c r="BE588" s="5"/>
      <c r="BG588" s="40"/>
      <c r="BH588" s="5"/>
      <c r="BJ588" s="40"/>
      <c r="BK588" s="5"/>
      <c r="BM588" s="40"/>
      <c r="BN588" s="5"/>
      <c r="BP588" s="40"/>
      <c r="BQ588" s="5"/>
      <c r="BS588" s="40"/>
      <c r="BT588" s="5"/>
      <c r="BV588" s="40"/>
      <c r="BW588" s="5"/>
      <c r="BY588" s="40"/>
      <c r="BZ588" s="5"/>
      <c r="CB588" s="40"/>
      <c r="CC588" s="5"/>
      <c r="CE588" s="40"/>
      <c r="CF588" s="5"/>
      <c r="CH588" s="40"/>
      <c r="CI588" s="5"/>
      <c r="CK588" s="40"/>
      <c r="CL588" s="5"/>
      <c r="CN588" s="40"/>
      <c r="CO588" s="5"/>
      <c r="CQ588" s="40"/>
      <c r="CR588" s="5"/>
    </row>
    <row r="589">
      <c r="AL589" s="40"/>
      <c r="AM589" s="5"/>
      <c r="AO589" s="40"/>
      <c r="AP589" s="5"/>
      <c r="AR589" s="40"/>
      <c r="AS589" s="5"/>
      <c r="AU589" s="40"/>
      <c r="AV589" s="5"/>
      <c r="AX589" s="40"/>
      <c r="AY589" s="5"/>
      <c r="BA589" s="40"/>
      <c r="BB589" s="5"/>
      <c r="BD589" s="40"/>
      <c r="BE589" s="5"/>
      <c r="BG589" s="40"/>
      <c r="BH589" s="5"/>
      <c r="BJ589" s="40"/>
      <c r="BK589" s="5"/>
      <c r="BM589" s="40"/>
      <c r="BN589" s="5"/>
      <c r="BP589" s="40"/>
      <c r="BQ589" s="5"/>
      <c r="BS589" s="40"/>
      <c r="BT589" s="5"/>
      <c r="BV589" s="40"/>
      <c r="BW589" s="5"/>
      <c r="BY589" s="40"/>
      <c r="BZ589" s="5"/>
      <c r="CB589" s="40"/>
      <c r="CC589" s="5"/>
      <c r="CE589" s="40"/>
      <c r="CF589" s="5"/>
      <c r="CH589" s="40"/>
      <c r="CI589" s="5"/>
      <c r="CK589" s="40"/>
      <c r="CL589" s="5"/>
      <c r="CN589" s="40"/>
      <c r="CO589" s="5"/>
      <c r="CQ589" s="40"/>
      <c r="CR589" s="5"/>
    </row>
    <row r="590">
      <c r="AL590" s="40"/>
      <c r="AM590" s="5"/>
      <c r="AO590" s="40"/>
      <c r="AP590" s="5"/>
      <c r="AR590" s="40"/>
      <c r="AS590" s="5"/>
      <c r="AU590" s="40"/>
      <c r="AV590" s="5"/>
      <c r="AX590" s="40"/>
      <c r="AY590" s="5"/>
      <c r="BA590" s="40"/>
      <c r="BB590" s="5"/>
      <c r="BD590" s="40"/>
      <c r="BE590" s="5"/>
      <c r="BG590" s="40"/>
      <c r="BH590" s="5"/>
      <c r="BJ590" s="40"/>
      <c r="BK590" s="5"/>
      <c r="BM590" s="40"/>
      <c r="BN590" s="5"/>
      <c r="BP590" s="40"/>
      <c r="BQ590" s="5"/>
      <c r="BS590" s="40"/>
      <c r="BT590" s="5"/>
      <c r="BV590" s="40"/>
      <c r="BW590" s="5"/>
      <c r="BY590" s="40"/>
      <c r="BZ590" s="5"/>
      <c r="CB590" s="40"/>
      <c r="CC590" s="5"/>
      <c r="CE590" s="40"/>
      <c r="CF590" s="5"/>
      <c r="CH590" s="40"/>
      <c r="CI590" s="5"/>
      <c r="CK590" s="40"/>
      <c r="CL590" s="5"/>
      <c r="CN590" s="40"/>
      <c r="CO590" s="5"/>
      <c r="CQ590" s="40"/>
      <c r="CR590" s="5"/>
    </row>
    <row r="591">
      <c r="AL591" s="40"/>
      <c r="AM591" s="5"/>
      <c r="AO591" s="40"/>
      <c r="AP591" s="5"/>
      <c r="AR591" s="40"/>
      <c r="AS591" s="5"/>
      <c r="AU591" s="40"/>
      <c r="AV591" s="5"/>
      <c r="AX591" s="40"/>
      <c r="AY591" s="5"/>
      <c r="BA591" s="40"/>
      <c r="BB591" s="5"/>
      <c r="BD591" s="40"/>
      <c r="BE591" s="5"/>
      <c r="BG591" s="40"/>
      <c r="BH591" s="5"/>
      <c r="BJ591" s="40"/>
      <c r="BK591" s="5"/>
      <c r="BM591" s="40"/>
      <c r="BN591" s="5"/>
      <c r="BP591" s="40"/>
      <c r="BQ591" s="5"/>
      <c r="BS591" s="40"/>
      <c r="BT591" s="5"/>
      <c r="BV591" s="40"/>
      <c r="BW591" s="5"/>
      <c r="BY591" s="40"/>
      <c r="BZ591" s="5"/>
      <c r="CB591" s="40"/>
      <c r="CC591" s="5"/>
      <c r="CE591" s="40"/>
      <c r="CF591" s="5"/>
      <c r="CH591" s="40"/>
      <c r="CI591" s="5"/>
      <c r="CK591" s="40"/>
      <c r="CL591" s="5"/>
      <c r="CN591" s="40"/>
      <c r="CO591" s="5"/>
      <c r="CQ591" s="40"/>
      <c r="CR591" s="5"/>
    </row>
    <row r="592">
      <c r="AL592" s="40"/>
      <c r="AM592" s="5"/>
      <c r="AO592" s="40"/>
      <c r="AP592" s="5"/>
      <c r="AR592" s="40"/>
      <c r="AS592" s="5"/>
      <c r="AU592" s="40"/>
      <c r="AV592" s="5"/>
      <c r="AX592" s="40"/>
      <c r="AY592" s="5"/>
      <c r="BA592" s="40"/>
      <c r="BB592" s="5"/>
      <c r="BD592" s="40"/>
      <c r="BE592" s="5"/>
      <c r="BG592" s="40"/>
      <c r="BH592" s="5"/>
      <c r="BJ592" s="40"/>
      <c r="BK592" s="5"/>
      <c r="BM592" s="40"/>
      <c r="BN592" s="5"/>
      <c r="BP592" s="40"/>
      <c r="BQ592" s="5"/>
      <c r="BS592" s="40"/>
      <c r="BT592" s="5"/>
      <c r="BV592" s="40"/>
      <c r="BW592" s="5"/>
      <c r="BY592" s="40"/>
      <c r="BZ592" s="5"/>
      <c r="CB592" s="40"/>
      <c r="CC592" s="5"/>
      <c r="CE592" s="40"/>
      <c r="CF592" s="5"/>
      <c r="CH592" s="40"/>
      <c r="CI592" s="5"/>
      <c r="CK592" s="40"/>
      <c r="CL592" s="5"/>
      <c r="CN592" s="40"/>
      <c r="CO592" s="5"/>
      <c r="CQ592" s="40"/>
      <c r="CR592" s="5"/>
    </row>
    <row r="593">
      <c r="AL593" s="40"/>
      <c r="AM593" s="5"/>
      <c r="AO593" s="40"/>
      <c r="AP593" s="5"/>
      <c r="AR593" s="40"/>
      <c r="AS593" s="5"/>
      <c r="AU593" s="40"/>
      <c r="AV593" s="5"/>
      <c r="AX593" s="40"/>
      <c r="AY593" s="5"/>
      <c r="BA593" s="40"/>
      <c r="BB593" s="5"/>
      <c r="BD593" s="40"/>
      <c r="BE593" s="5"/>
      <c r="BG593" s="40"/>
      <c r="BH593" s="5"/>
      <c r="BJ593" s="40"/>
      <c r="BK593" s="5"/>
      <c r="BM593" s="40"/>
      <c r="BN593" s="5"/>
      <c r="BP593" s="40"/>
      <c r="BQ593" s="5"/>
      <c r="BS593" s="40"/>
      <c r="BT593" s="5"/>
      <c r="BV593" s="40"/>
      <c r="BW593" s="5"/>
      <c r="BY593" s="40"/>
      <c r="BZ593" s="5"/>
      <c r="CB593" s="40"/>
      <c r="CC593" s="5"/>
      <c r="CE593" s="40"/>
      <c r="CF593" s="5"/>
      <c r="CH593" s="40"/>
      <c r="CI593" s="5"/>
      <c r="CK593" s="40"/>
      <c r="CL593" s="5"/>
      <c r="CN593" s="40"/>
      <c r="CO593" s="5"/>
      <c r="CQ593" s="40"/>
      <c r="CR593" s="5"/>
    </row>
    <row r="594">
      <c r="AL594" s="40"/>
      <c r="AM594" s="5"/>
      <c r="AO594" s="40"/>
      <c r="AP594" s="5"/>
      <c r="AR594" s="40"/>
      <c r="AS594" s="5"/>
      <c r="AU594" s="40"/>
      <c r="AV594" s="5"/>
      <c r="AX594" s="40"/>
      <c r="AY594" s="5"/>
      <c r="BA594" s="40"/>
      <c r="BB594" s="5"/>
      <c r="BD594" s="40"/>
      <c r="BE594" s="5"/>
      <c r="BG594" s="40"/>
      <c r="BH594" s="5"/>
      <c r="BJ594" s="40"/>
      <c r="BK594" s="5"/>
      <c r="BM594" s="40"/>
      <c r="BN594" s="5"/>
      <c r="BP594" s="40"/>
      <c r="BQ594" s="5"/>
      <c r="BS594" s="40"/>
      <c r="BT594" s="5"/>
      <c r="BV594" s="40"/>
      <c r="BW594" s="5"/>
      <c r="BY594" s="40"/>
      <c r="BZ594" s="5"/>
      <c r="CB594" s="40"/>
      <c r="CC594" s="5"/>
      <c r="CE594" s="40"/>
      <c r="CF594" s="5"/>
      <c r="CH594" s="40"/>
      <c r="CI594" s="5"/>
      <c r="CK594" s="40"/>
      <c r="CL594" s="5"/>
      <c r="CN594" s="40"/>
      <c r="CO594" s="5"/>
      <c r="CQ594" s="40"/>
      <c r="CR594" s="5"/>
    </row>
    <row r="595">
      <c r="AL595" s="40"/>
      <c r="AM595" s="5"/>
      <c r="AO595" s="40"/>
      <c r="AP595" s="5"/>
      <c r="AR595" s="40"/>
      <c r="AS595" s="5"/>
      <c r="AU595" s="40"/>
      <c r="AV595" s="5"/>
      <c r="AX595" s="40"/>
      <c r="AY595" s="5"/>
      <c r="BA595" s="40"/>
      <c r="BB595" s="5"/>
      <c r="BD595" s="40"/>
      <c r="BE595" s="5"/>
      <c r="BG595" s="40"/>
      <c r="BH595" s="5"/>
      <c r="BJ595" s="40"/>
      <c r="BK595" s="5"/>
      <c r="BM595" s="40"/>
      <c r="BN595" s="5"/>
      <c r="BP595" s="40"/>
      <c r="BQ595" s="5"/>
      <c r="BS595" s="40"/>
      <c r="BT595" s="5"/>
      <c r="BV595" s="40"/>
      <c r="BW595" s="5"/>
      <c r="BY595" s="40"/>
      <c r="BZ595" s="5"/>
      <c r="CB595" s="40"/>
      <c r="CC595" s="5"/>
      <c r="CE595" s="40"/>
      <c r="CF595" s="5"/>
      <c r="CH595" s="40"/>
      <c r="CI595" s="5"/>
      <c r="CK595" s="40"/>
      <c r="CL595" s="5"/>
      <c r="CN595" s="40"/>
      <c r="CO595" s="5"/>
      <c r="CQ595" s="40"/>
      <c r="CR595" s="5"/>
    </row>
    <row r="596">
      <c r="AL596" s="40"/>
      <c r="AM596" s="5"/>
      <c r="AO596" s="40"/>
      <c r="AP596" s="5"/>
      <c r="AR596" s="40"/>
      <c r="AS596" s="5"/>
      <c r="AU596" s="40"/>
      <c r="AV596" s="5"/>
      <c r="AX596" s="40"/>
      <c r="AY596" s="5"/>
      <c r="BA596" s="40"/>
      <c r="BB596" s="5"/>
      <c r="BD596" s="40"/>
      <c r="BE596" s="5"/>
      <c r="BG596" s="40"/>
      <c r="BH596" s="5"/>
      <c r="BJ596" s="40"/>
      <c r="BK596" s="5"/>
      <c r="BM596" s="40"/>
      <c r="BN596" s="5"/>
      <c r="BP596" s="40"/>
      <c r="BQ596" s="5"/>
      <c r="BS596" s="40"/>
      <c r="BT596" s="5"/>
      <c r="BV596" s="40"/>
      <c r="BW596" s="5"/>
      <c r="BY596" s="40"/>
      <c r="BZ596" s="5"/>
      <c r="CB596" s="40"/>
      <c r="CC596" s="5"/>
      <c r="CE596" s="40"/>
      <c r="CF596" s="5"/>
      <c r="CH596" s="40"/>
      <c r="CI596" s="5"/>
      <c r="CK596" s="40"/>
      <c r="CL596" s="5"/>
      <c r="CN596" s="40"/>
      <c r="CO596" s="5"/>
      <c r="CQ596" s="40"/>
      <c r="CR596" s="5"/>
    </row>
    <row r="597">
      <c r="AL597" s="40"/>
      <c r="AM597" s="5"/>
      <c r="AO597" s="40"/>
      <c r="AP597" s="5"/>
      <c r="AR597" s="40"/>
      <c r="AS597" s="5"/>
      <c r="AU597" s="40"/>
      <c r="AV597" s="5"/>
      <c r="AX597" s="40"/>
      <c r="AY597" s="5"/>
      <c r="BA597" s="40"/>
      <c r="BB597" s="5"/>
      <c r="BD597" s="40"/>
      <c r="BE597" s="5"/>
      <c r="BG597" s="40"/>
      <c r="BH597" s="5"/>
      <c r="BJ597" s="40"/>
      <c r="BK597" s="5"/>
      <c r="BM597" s="40"/>
      <c r="BN597" s="5"/>
      <c r="BP597" s="40"/>
      <c r="BQ597" s="5"/>
      <c r="BS597" s="40"/>
      <c r="BT597" s="5"/>
      <c r="BV597" s="40"/>
      <c r="BW597" s="5"/>
      <c r="BY597" s="40"/>
      <c r="BZ597" s="5"/>
      <c r="CB597" s="40"/>
      <c r="CC597" s="5"/>
      <c r="CE597" s="40"/>
      <c r="CF597" s="5"/>
      <c r="CH597" s="40"/>
      <c r="CI597" s="5"/>
      <c r="CK597" s="40"/>
      <c r="CL597" s="5"/>
      <c r="CN597" s="40"/>
      <c r="CO597" s="5"/>
      <c r="CQ597" s="40"/>
      <c r="CR597" s="5"/>
    </row>
    <row r="598">
      <c r="AL598" s="40"/>
      <c r="AM598" s="5"/>
      <c r="AO598" s="40"/>
      <c r="AP598" s="5"/>
      <c r="AR598" s="40"/>
      <c r="AS598" s="5"/>
      <c r="AU598" s="40"/>
      <c r="AV598" s="5"/>
      <c r="AX598" s="40"/>
      <c r="AY598" s="5"/>
      <c r="BA598" s="40"/>
      <c r="BB598" s="5"/>
      <c r="BD598" s="40"/>
      <c r="BE598" s="5"/>
      <c r="BG598" s="40"/>
      <c r="BH598" s="5"/>
      <c r="BJ598" s="40"/>
      <c r="BK598" s="5"/>
      <c r="BM598" s="40"/>
      <c r="BN598" s="5"/>
      <c r="BP598" s="40"/>
      <c r="BQ598" s="5"/>
      <c r="BS598" s="40"/>
      <c r="BT598" s="5"/>
      <c r="BV598" s="40"/>
      <c r="BW598" s="5"/>
      <c r="BY598" s="40"/>
      <c r="BZ598" s="5"/>
      <c r="CB598" s="40"/>
      <c r="CC598" s="5"/>
      <c r="CE598" s="40"/>
      <c r="CF598" s="5"/>
      <c r="CH598" s="40"/>
      <c r="CI598" s="5"/>
      <c r="CK598" s="40"/>
      <c r="CL598" s="5"/>
      <c r="CN598" s="40"/>
      <c r="CO598" s="5"/>
      <c r="CQ598" s="40"/>
      <c r="CR598" s="5"/>
    </row>
    <row r="599">
      <c r="AL599" s="40"/>
      <c r="AM599" s="5"/>
      <c r="AO599" s="40"/>
      <c r="AP599" s="5"/>
      <c r="AR599" s="40"/>
      <c r="AS599" s="5"/>
      <c r="AU599" s="40"/>
      <c r="AV599" s="5"/>
      <c r="AX599" s="40"/>
      <c r="AY599" s="5"/>
      <c r="BA599" s="40"/>
      <c r="BB599" s="5"/>
      <c r="BD599" s="40"/>
      <c r="BE599" s="5"/>
      <c r="BG599" s="40"/>
      <c r="BH599" s="5"/>
      <c r="BJ599" s="40"/>
      <c r="BK599" s="5"/>
      <c r="BM599" s="40"/>
      <c r="BN599" s="5"/>
      <c r="BP599" s="40"/>
      <c r="BQ599" s="5"/>
      <c r="BS599" s="40"/>
      <c r="BT599" s="5"/>
      <c r="BV599" s="40"/>
      <c r="BW599" s="5"/>
      <c r="BY599" s="40"/>
      <c r="BZ599" s="5"/>
      <c r="CB599" s="40"/>
      <c r="CC599" s="5"/>
      <c r="CE599" s="40"/>
      <c r="CF599" s="5"/>
      <c r="CH599" s="40"/>
      <c r="CI599" s="5"/>
      <c r="CK599" s="40"/>
      <c r="CL599" s="5"/>
      <c r="CN599" s="40"/>
      <c r="CO599" s="5"/>
      <c r="CQ599" s="40"/>
      <c r="CR599" s="5"/>
    </row>
    <row r="600">
      <c r="AL600" s="40"/>
      <c r="AM600" s="5"/>
      <c r="AO600" s="40"/>
      <c r="AP600" s="5"/>
      <c r="AR600" s="40"/>
      <c r="AS600" s="5"/>
      <c r="AU600" s="40"/>
      <c r="AV600" s="5"/>
      <c r="AX600" s="40"/>
      <c r="AY600" s="5"/>
      <c r="BA600" s="40"/>
      <c r="BB600" s="5"/>
      <c r="BD600" s="40"/>
      <c r="BE600" s="5"/>
      <c r="BG600" s="40"/>
      <c r="BH600" s="5"/>
      <c r="BJ600" s="40"/>
      <c r="BK600" s="5"/>
      <c r="BM600" s="40"/>
      <c r="BN600" s="5"/>
      <c r="BP600" s="40"/>
      <c r="BQ600" s="5"/>
      <c r="BS600" s="40"/>
      <c r="BT600" s="5"/>
      <c r="BV600" s="40"/>
      <c r="BW600" s="5"/>
      <c r="BY600" s="40"/>
      <c r="BZ600" s="5"/>
      <c r="CB600" s="40"/>
      <c r="CC600" s="5"/>
      <c r="CE600" s="40"/>
      <c r="CF600" s="5"/>
      <c r="CH600" s="40"/>
      <c r="CI600" s="5"/>
      <c r="CK600" s="40"/>
      <c r="CL600" s="5"/>
      <c r="CN600" s="40"/>
      <c r="CO600" s="5"/>
      <c r="CQ600" s="40"/>
      <c r="CR600" s="5"/>
    </row>
    <row r="601">
      <c r="AL601" s="40"/>
      <c r="AM601" s="5"/>
      <c r="AO601" s="40"/>
      <c r="AP601" s="5"/>
      <c r="AR601" s="40"/>
      <c r="AS601" s="5"/>
      <c r="AU601" s="40"/>
      <c r="AV601" s="5"/>
      <c r="AX601" s="40"/>
      <c r="AY601" s="5"/>
      <c r="BA601" s="40"/>
      <c r="BB601" s="5"/>
      <c r="BD601" s="40"/>
      <c r="BE601" s="5"/>
      <c r="BG601" s="40"/>
      <c r="BH601" s="5"/>
      <c r="BJ601" s="40"/>
      <c r="BK601" s="5"/>
      <c r="BM601" s="40"/>
      <c r="BN601" s="5"/>
      <c r="BP601" s="40"/>
      <c r="BQ601" s="5"/>
      <c r="BS601" s="40"/>
      <c r="BT601" s="5"/>
      <c r="BV601" s="40"/>
      <c r="BW601" s="5"/>
      <c r="BY601" s="40"/>
      <c r="BZ601" s="5"/>
      <c r="CB601" s="40"/>
      <c r="CC601" s="5"/>
      <c r="CE601" s="40"/>
      <c r="CF601" s="5"/>
      <c r="CH601" s="40"/>
      <c r="CI601" s="5"/>
      <c r="CK601" s="40"/>
      <c r="CL601" s="5"/>
      <c r="CN601" s="40"/>
      <c r="CO601" s="5"/>
      <c r="CQ601" s="40"/>
      <c r="CR601" s="5"/>
    </row>
    <row r="602">
      <c r="AL602" s="40"/>
      <c r="AM602" s="5"/>
      <c r="AO602" s="40"/>
      <c r="AP602" s="5"/>
      <c r="AR602" s="40"/>
      <c r="AS602" s="5"/>
      <c r="AU602" s="40"/>
      <c r="AV602" s="5"/>
      <c r="AX602" s="40"/>
      <c r="AY602" s="5"/>
      <c r="BA602" s="40"/>
      <c r="BB602" s="5"/>
      <c r="BD602" s="40"/>
      <c r="BE602" s="5"/>
      <c r="BG602" s="40"/>
      <c r="BH602" s="5"/>
      <c r="BJ602" s="40"/>
      <c r="BK602" s="5"/>
      <c r="BM602" s="40"/>
      <c r="BN602" s="5"/>
      <c r="BP602" s="40"/>
      <c r="BQ602" s="5"/>
      <c r="BS602" s="40"/>
      <c r="BT602" s="5"/>
      <c r="BV602" s="40"/>
      <c r="BW602" s="5"/>
      <c r="BY602" s="40"/>
      <c r="BZ602" s="5"/>
      <c r="CB602" s="40"/>
      <c r="CC602" s="5"/>
      <c r="CE602" s="40"/>
      <c r="CF602" s="5"/>
      <c r="CH602" s="40"/>
      <c r="CI602" s="5"/>
      <c r="CK602" s="40"/>
      <c r="CL602" s="5"/>
      <c r="CN602" s="40"/>
      <c r="CO602" s="5"/>
      <c r="CQ602" s="40"/>
      <c r="CR602" s="5"/>
    </row>
    <row r="603">
      <c r="AL603" s="40"/>
      <c r="AM603" s="5"/>
      <c r="AO603" s="40"/>
      <c r="AP603" s="5"/>
      <c r="AR603" s="40"/>
      <c r="AS603" s="5"/>
      <c r="AU603" s="40"/>
      <c r="AV603" s="5"/>
      <c r="AX603" s="40"/>
      <c r="AY603" s="5"/>
      <c r="BA603" s="40"/>
      <c r="BB603" s="5"/>
      <c r="BD603" s="40"/>
      <c r="BE603" s="5"/>
      <c r="BG603" s="40"/>
      <c r="BH603" s="5"/>
      <c r="BJ603" s="40"/>
      <c r="BK603" s="5"/>
      <c r="BM603" s="40"/>
      <c r="BN603" s="5"/>
      <c r="BP603" s="40"/>
      <c r="BQ603" s="5"/>
      <c r="BS603" s="40"/>
      <c r="BT603" s="5"/>
      <c r="BV603" s="40"/>
      <c r="BW603" s="5"/>
      <c r="BY603" s="40"/>
      <c r="BZ603" s="5"/>
      <c r="CB603" s="40"/>
      <c r="CC603" s="5"/>
      <c r="CE603" s="40"/>
      <c r="CF603" s="5"/>
      <c r="CH603" s="40"/>
      <c r="CI603" s="5"/>
      <c r="CK603" s="40"/>
      <c r="CL603" s="5"/>
      <c r="CN603" s="40"/>
      <c r="CO603" s="5"/>
      <c r="CQ603" s="40"/>
      <c r="CR603" s="5"/>
    </row>
    <row r="604">
      <c r="AL604" s="40"/>
      <c r="AM604" s="5"/>
      <c r="AO604" s="40"/>
      <c r="AP604" s="5"/>
      <c r="AR604" s="40"/>
      <c r="AS604" s="5"/>
      <c r="AU604" s="40"/>
      <c r="AV604" s="5"/>
      <c r="AX604" s="40"/>
      <c r="AY604" s="5"/>
      <c r="BA604" s="40"/>
      <c r="BB604" s="5"/>
      <c r="BD604" s="40"/>
      <c r="BE604" s="5"/>
      <c r="BG604" s="40"/>
      <c r="BH604" s="5"/>
      <c r="BJ604" s="40"/>
      <c r="BK604" s="5"/>
      <c r="BM604" s="40"/>
      <c r="BN604" s="5"/>
      <c r="BP604" s="40"/>
      <c r="BQ604" s="5"/>
      <c r="BS604" s="40"/>
      <c r="BT604" s="5"/>
      <c r="BV604" s="40"/>
      <c r="BW604" s="5"/>
      <c r="BY604" s="40"/>
      <c r="BZ604" s="5"/>
      <c r="CB604" s="40"/>
      <c r="CC604" s="5"/>
      <c r="CE604" s="40"/>
      <c r="CF604" s="5"/>
      <c r="CH604" s="40"/>
      <c r="CI604" s="5"/>
      <c r="CK604" s="40"/>
      <c r="CL604" s="5"/>
      <c r="CN604" s="40"/>
      <c r="CO604" s="5"/>
      <c r="CQ604" s="40"/>
      <c r="CR604" s="5"/>
    </row>
    <row r="605">
      <c r="AL605" s="40"/>
      <c r="AM605" s="5"/>
      <c r="AO605" s="40"/>
      <c r="AP605" s="5"/>
      <c r="AR605" s="40"/>
      <c r="AS605" s="5"/>
      <c r="AU605" s="40"/>
      <c r="AV605" s="5"/>
      <c r="AX605" s="40"/>
      <c r="AY605" s="5"/>
      <c r="BA605" s="40"/>
      <c r="BB605" s="5"/>
      <c r="BD605" s="40"/>
      <c r="BE605" s="5"/>
      <c r="BG605" s="40"/>
      <c r="BH605" s="5"/>
      <c r="BJ605" s="40"/>
      <c r="BK605" s="5"/>
      <c r="BM605" s="40"/>
      <c r="BN605" s="5"/>
      <c r="BP605" s="40"/>
      <c r="BQ605" s="5"/>
      <c r="BS605" s="40"/>
      <c r="BT605" s="5"/>
      <c r="BV605" s="40"/>
      <c r="BW605" s="5"/>
      <c r="BY605" s="40"/>
      <c r="BZ605" s="5"/>
      <c r="CB605" s="40"/>
      <c r="CC605" s="5"/>
      <c r="CE605" s="40"/>
      <c r="CF605" s="5"/>
      <c r="CH605" s="40"/>
      <c r="CI605" s="5"/>
      <c r="CK605" s="40"/>
      <c r="CL605" s="5"/>
      <c r="CN605" s="40"/>
      <c r="CO605" s="5"/>
      <c r="CQ605" s="40"/>
      <c r="CR605" s="5"/>
    </row>
    <row r="606">
      <c r="AL606" s="40"/>
      <c r="AM606" s="5"/>
      <c r="AO606" s="40"/>
      <c r="AP606" s="5"/>
      <c r="AR606" s="40"/>
      <c r="AS606" s="5"/>
      <c r="AU606" s="40"/>
      <c r="AV606" s="5"/>
      <c r="AX606" s="40"/>
      <c r="AY606" s="5"/>
      <c r="BA606" s="40"/>
      <c r="BB606" s="5"/>
      <c r="BD606" s="40"/>
      <c r="BE606" s="5"/>
      <c r="BG606" s="40"/>
      <c r="BH606" s="5"/>
      <c r="BJ606" s="40"/>
      <c r="BK606" s="5"/>
      <c r="BM606" s="40"/>
      <c r="BN606" s="5"/>
      <c r="BP606" s="40"/>
      <c r="BQ606" s="5"/>
      <c r="BS606" s="40"/>
      <c r="BT606" s="5"/>
      <c r="BV606" s="40"/>
      <c r="BW606" s="5"/>
      <c r="BY606" s="40"/>
      <c r="BZ606" s="5"/>
      <c r="CB606" s="40"/>
      <c r="CC606" s="5"/>
      <c r="CE606" s="40"/>
      <c r="CF606" s="5"/>
      <c r="CH606" s="40"/>
      <c r="CI606" s="5"/>
      <c r="CK606" s="40"/>
      <c r="CL606" s="5"/>
      <c r="CN606" s="40"/>
      <c r="CO606" s="5"/>
      <c r="CQ606" s="40"/>
      <c r="CR606" s="5"/>
    </row>
    <row r="607">
      <c r="AL607" s="40"/>
      <c r="AM607" s="5"/>
      <c r="AO607" s="40"/>
      <c r="AP607" s="5"/>
      <c r="AR607" s="40"/>
      <c r="AS607" s="5"/>
      <c r="AU607" s="40"/>
      <c r="AV607" s="5"/>
      <c r="AX607" s="40"/>
      <c r="AY607" s="5"/>
      <c r="BA607" s="40"/>
      <c r="BB607" s="5"/>
      <c r="BD607" s="40"/>
      <c r="BE607" s="5"/>
      <c r="BG607" s="40"/>
      <c r="BH607" s="5"/>
      <c r="BJ607" s="40"/>
      <c r="BK607" s="5"/>
      <c r="BM607" s="40"/>
      <c r="BN607" s="5"/>
      <c r="BP607" s="40"/>
      <c r="BQ607" s="5"/>
      <c r="BS607" s="40"/>
      <c r="BT607" s="5"/>
      <c r="BV607" s="40"/>
      <c r="BW607" s="5"/>
      <c r="BY607" s="40"/>
      <c r="BZ607" s="5"/>
      <c r="CB607" s="40"/>
      <c r="CC607" s="5"/>
      <c r="CE607" s="40"/>
      <c r="CF607" s="5"/>
      <c r="CH607" s="40"/>
      <c r="CI607" s="5"/>
      <c r="CK607" s="40"/>
      <c r="CL607" s="5"/>
      <c r="CN607" s="40"/>
      <c r="CO607" s="5"/>
      <c r="CQ607" s="40"/>
      <c r="CR607" s="5"/>
    </row>
    <row r="608">
      <c r="AL608" s="40"/>
      <c r="AM608" s="5"/>
      <c r="AO608" s="40"/>
      <c r="AP608" s="5"/>
      <c r="AR608" s="40"/>
      <c r="AS608" s="5"/>
      <c r="AU608" s="40"/>
      <c r="AV608" s="5"/>
      <c r="AX608" s="40"/>
      <c r="AY608" s="5"/>
      <c r="BA608" s="40"/>
      <c r="BB608" s="5"/>
      <c r="BD608" s="40"/>
      <c r="BE608" s="5"/>
      <c r="BG608" s="40"/>
      <c r="BH608" s="5"/>
      <c r="BJ608" s="40"/>
      <c r="BK608" s="5"/>
      <c r="BM608" s="40"/>
      <c r="BN608" s="5"/>
      <c r="BP608" s="40"/>
      <c r="BQ608" s="5"/>
      <c r="BS608" s="40"/>
      <c r="BT608" s="5"/>
      <c r="BV608" s="40"/>
      <c r="BW608" s="5"/>
      <c r="BY608" s="40"/>
      <c r="BZ608" s="5"/>
      <c r="CB608" s="40"/>
      <c r="CC608" s="5"/>
      <c r="CE608" s="40"/>
      <c r="CF608" s="5"/>
      <c r="CH608" s="40"/>
      <c r="CI608" s="5"/>
      <c r="CK608" s="40"/>
      <c r="CL608" s="5"/>
      <c r="CN608" s="40"/>
      <c r="CO608" s="5"/>
      <c r="CQ608" s="40"/>
      <c r="CR608" s="5"/>
    </row>
    <row r="609">
      <c r="AL609" s="40"/>
      <c r="AM609" s="5"/>
      <c r="AO609" s="40"/>
      <c r="AP609" s="5"/>
      <c r="AR609" s="40"/>
      <c r="AS609" s="5"/>
      <c r="AU609" s="40"/>
      <c r="AV609" s="5"/>
      <c r="AX609" s="40"/>
      <c r="AY609" s="5"/>
      <c r="BA609" s="40"/>
      <c r="BB609" s="5"/>
      <c r="BD609" s="40"/>
      <c r="BE609" s="5"/>
      <c r="BG609" s="40"/>
      <c r="BH609" s="5"/>
      <c r="BJ609" s="40"/>
      <c r="BK609" s="5"/>
      <c r="BM609" s="40"/>
      <c r="BN609" s="5"/>
      <c r="BP609" s="40"/>
      <c r="BQ609" s="5"/>
      <c r="BS609" s="40"/>
      <c r="BT609" s="5"/>
      <c r="BV609" s="40"/>
      <c r="BW609" s="5"/>
      <c r="BY609" s="40"/>
      <c r="BZ609" s="5"/>
      <c r="CB609" s="40"/>
      <c r="CC609" s="5"/>
      <c r="CE609" s="40"/>
      <c r="CF609" s="5"/>
      <c r="CH609" s="40"/>
      <c r="CI609" s="5"/>
      <c r="CK609" s="40"/>
      <c r="CL609" s="5"/>
      <c r="CN609" s="40"/>
      <c r="CO609" s="5"/>
      <c r="CQ609" s="40"/>
      <c r="CR609" s="5"/>
    </row>
    <row r="610">
      <c r="AL610" s="40"/>
      <c r="AM610" s="5"/>
      <c r="AO610" s="40"/>
      <c r="AP610" s="5"/>
      <c r="AR610" s="40"/>
      <c r="AS610" s="5"/>
      <c r="AU610" s="40"/>
      <c r="AV610" s="5"/>
      <c r="AX610" s="40"/>
      <c r="AY610" s="5"/>
      <c r="BA610" s="40"/>
      <c r="BB610" s="5"/>
      <c r="BD610" s="40"/>
      <c r="BE610" s="5"/>
      <c r="BG610" s="40"/>
      <c r="BH610" s="5"/>
      <c r="BJ610" s="40"/>
      <c r="BK610" s="5"/>
      <c r="BM610" s="40"/>
      <c r="BN610" s="5"/>
      <c r="BP610" s="40"/>
      <c r="BQ610" s="5"/>
      <c r="BS610" s="40"/>
      <c r="BT610" s="5"/>
      <c r="BV610" s="40"/>
      <c r="BW610" s="5"/>
      <c r="BY610" s="40"/>
      <c r="BZ610" s="5"/>
      <c r="CB610" s="40"/>
      <c r="CC610" s="5"/>
      <c r="CE610" s="40"/>
      <c r="CF610" s="5"/>
      <c r="CH610" s="40"/>
      <c r="CI610" s="5"/>
      <c r="CK610" s="40"/>
      <c r="CL610" s="5"/>
      <c r="CN610" s="40"/>
      <c r="CO610" s="5"/>
      <c r="CQ610" s="40"/>
      <c r="CR610" s="5"/>
    </row>
    <row r="611">
      <c r="AL611" s="40"/>
      <c r="AM611" s="5"/>
      <c r="AO611" s="40"/>
      <c r="AP611" s="5"/>
      <c r="AR611" s="40"/>
      <c r="AS611" s="5"/>
      <c r="AU611" s="40"/>
      <c r="AV611" s="5"/>
      <c r="AX611" s="40"/>
      <c r="AY611" s="5"/>
      <c r="BA611" s="40"/>
      <c r="BB611" s="5"/>
      <c r="BD611" s="40"/>
      <c r="BE611" s="5"/>
      <c r="BG611" s="40"/>
      <c r="BH611" s="5"/>
      <c r="BJ611" s="40"/>
      <c r="BK611" s="5"/>
      <c r="BM611" s="40"/>
      <c r="BN611" s="5"/>
      <c r="BP611" s="40"/>
      <c r="BQ611" s="5"/>
      <c r="BS611" s="40"/>
      <c r="BT611" s="5"/>
      <c r="BV611" s="40"/>
      <c r="BW611" s="5"/>
      <c r="BY611" s="40"/>
      <c r="BZ611" s="5"/>
      <c r="CB611" s="40"/>
      <c r="CC611" s="5"/>
      <c r="CE611" s="40"/>
      <c r="CF611" s="5"/>
      <c r="CH611" s="40"/>
      <c r="CI611" s="5"/>
      <c r="CK611" s="40"/>
      <c r="CL611" s="5"/>
      <c r="CN611" s="40"/>
      <c r="CO611" s="5"/>
      <c r="CQ611" s="40"/>
      <c r="CR611" s="5"/>
    </row>
    <row r="612">
      <c r="AL612" s="40"/>
      <c r="AM612" s="5"/>
      <c r="AO612" s="40"/>
      <c r="AP612" s="5"/>
      <c r="AR612" s="40"/>
      <c r="AS612" s="5"/>
      <c r="AU612" s="40"/>
      <c r="AV612" s="5"/>
      <c r="AX612" s="40"/>
      <c r="AY612" s="5"/>
      <c r="BA612" s="40"/>
      <c r="BB612" s="5"/>
      <c r="BD612" s="40"/>
      <c r="BE612" s="5"/>
      <c r="BG612" s="40"/>
      <c r="BH612" s="5"/>
      <c r="BJ612" s="40"/>
      <c r="BK612" s="5"/>
      <c r="BM612" s="40"/>
      <c r="BN612" s="5"/>
      <c r="BP612" s="40"/>
      <c r="BQ612" s="5"/>
      <c r="BS612" s="40"/>
      <c r="BT612" s="5"/>
      <c r="BV612" s="40"/>
      <c r="BW612" s="5"/>
      <c r="BY612" s="40"/>
      <c r="BZ612" s="5"/>
      <c r="CB612" s="40"/>
      <c r="CC612" s="5"/>
      <c r="CE612" s="40"/>
      <c r="CF612" s="5"/>
      <c r="CH612" s="40"/>
      <c r="CI612" s="5"/>
      <c r="CK612" s="40"/>
      <c r="CL612" s="5"/>
      <c r="CN612" s="40"/>
      <c r="CO612" s="5"/>
      <c r="CQ612" s="40"/>
      <c r="CR612" s="5"/>
    </row>
    <row r="613">
      <c r="AL613" s="40"/>
      <c r="AM613" s="5"/>
      <c r="AO613" s="40"/>
      <c r="AP613" s="5"/>
      <c r="AR613" s="40"/>
      <c r="AS613" s="5"/>
      <c r="AU613" s="40"/>
      <c r="AV613" s="5"/>
      <c r="AX613" s="40"/>
      <c r="AY613" s="5"/>
      <c r="BA613" s="40"/>
      <c r="BB613" s="5"/>
      <c r="BD613" s="40"/>
      <c r="BE613" s="5"/>
      <c r="BG613" s="40"/>
      <c r="BH613" s="5"/>
      <c r="BJ613" s="40"/>
      <c r="BK613" s="5"/>
      <c r="BM613" s="40"/>
      <c r="BN613" s="5"/>
      <c r="BP613" s="40"/>
      <c r="BQ613" s="5"/>
      <c r="BS613" s="40"/>
      <c r="BT613" s="5"/>
      <c r="BV613" s="40"/>
      <c r="BW613" s="5"/>
      <c r="BY613" s="40"/>
      <c r="BZ613" s="5"/>
      <c r="CB613" s="40"/>
      <c r="CC613" s="5"/>
      <c r="CE613" s="40"/>
      <c r="CF613" s="5"/>
      <c r="CH613" s="40"/>
      <c r="CI613" s="5"/>
      <c r="CK613" s="40"/>
      <c r="CL613" s="5"/>
      <c r="CN613" s="40"/>
      <c r="CO613" s="5"/>
      <c r="CQ613" s="40"/>
      <c r="CR613" s="5"/>
    </row>
    <row r="614">
      <c r="AL614" s="40"/>
      <c r="AM614" s="5"/>
      <c r="AO614" s="40"/>
      <c r="AP614" s="5"/>
      <c r="AR614" s="40"/>
      <c r="AS614" s="5"/>
      <c r="AU614" s="40"/>
      <c r="AV614" s="5"/>
      <c r="AX614" s="40"/>
      <c r="AY614" s="5"/>
      <c r="BA614" s="40"/>
      <c r="BB614" s="5"/>
      <c r="BD614" s="40"/>
      <c r="BE614" s="5"/>
      <c r="BG614" s="40"/>
      <c r="BH614" s="5"/>
      <c r="BJ614" s="40"/>
      <c r="BK614" s="5"/>
      <c r="BM614" s="40"/>
      <c r="BN614" s="5"/>
      <c r="BP614" s="40"/>
      <c r="BQ614" s="5"/>
      <c r="BS614" s="40"/>
      <c r="BT614" s="5"/>
      <c r="BV614" s="40"/>
      <c r="BW614" s="5"/>
      <c r="BY614" s="40"/>
      <c r="BZ614" s="5"/>
      <c r="CB614" s="40"/>
      <c r="CC614" s="5"/>
      <c r="CE614" s="40"/>
      <c r="CF614" s="5"/>
      <c r="CH614" s="40"/>
      <c r="CI614" s="5"/>
      <c r="CK614" s="40"/>
      <c r="CL614" s="5"/>
      <c r="CN614" s="40"/>
      <c r="CO614" s="5"/>
      <c r="CQ614" s="40"/>
      <c r="CR614" s="5"/>
    </row>
    <row r="615">
      <c r="AL615" s="40"/>
      <c r="AM615" s="5"/>
      <c r="AO615" s="40"/>
      <c r="AP615" s="5"/>
      <c r="AR615" s="40"/>
      <c r="AS615" s="5"/>
      <c r="AU615" s="40"/>
      <c r="AV615" s="5"/>
      <c r="AX615" s="40"/>
      <c r="AY615" s="5"/>
      <c r="BA615" s="40"/>
      <c r="BB615" s="5"/>
      <c r="BD615" s="40"/>
      <c r="BE615" s="5"/>
      <c r="BG615" s="40"/>
      <c r="BH615" s="5"/>
      <c r="BJ615" s="40"/>
      <c r="BK615" s="5"/>
      <c r="BM615" s="40"/>
      <c r="BN615" s="5"/>
      <c r="BP615" s="40"/>
      <c r="BQ615" s="5"/>
      <c r="BS615" s="40"/>
      <c r="BT615" s="5"/>
      <c r="BV615" s="40"/>
      <c r="BW615" s="5"/>
      <c r="BY615" s="40"/>
      <c r="BZ615" s="5"/>
      <c r="CB615" s="40"/>
      <c r="CC615" s="5"/>
      <c r="CE615" s="40"/>
      <c r="CF615" s="5"/>
      <c r="CH615" s="40"/>
      <c r="CI615" s="5"/>
      <c r="CK615" s="40"/>
      <c r="CL615" s="5"/>
      <c r="CN615" s="40"/>
      <c r="CO615" s="5"/>
      <c r="CQ615" s="40"/>
      <c r="CR615" s="5"/>
    </row>
    <row r="616">
      <c r="AL616" s="40"/>
      <c r="AM616" s="5"/>
      <c r="AO616" s="40"/>
      <c r="AP616" s="5"/>
      <c r="AR616" s="40"/>
      <c r="AS616" s="5"/>
      <c r="AU616" s="40"/>
      <c r="AV616" s="5"/>
      <c r="AX616" s="40"/>
      <c r="AY616" s="5"/>
      <c r="BA616" s="40"/>
      <c r="BB616" s="5"/>
      <c r="BD616" s="40"/>
      <c r="BE616" s="5"/>
      <c r="BG616" s="40"/>
      <c r="BH616" s="5"/>
      <c r="BJ616" s="40"/>
      <c r="BK616" s="5"/>
      <c r="BM616" s="40"/>
      <c r="BN616" s="5"/>
      <c r="BP616" s="40"/>
      <c r="BQ616" s="5"/>
      <c r="BS616" s="40"/>
      <c r="BT616" s="5"/>
      <c r="BV616" s="40"/>
      <c r="BW616" s="5"/>
      <c r="BY616" s="40"/>
      <c r="BZ616" s="5"/>
      <c r="CB616" s="40"/>
      <c r="CC616" s="5"/>
      <c r="CE616" s="40"/>
      <c r="CF616" s="5"/>
      <c r="CH616" s="40"/>
      <c r="CI616" s="5"/>
      <c r="CK616" s="40"/>
      <c r="CL616" s="5"/>
      <c r="CN616" s="40"/>
      <c r="CO616" s="5"/>
      <c r="CQ616" s="40"/>
      <c r="CR616" s="5"/>
    </row>
    <row r="617">
      <c r="AL617" s="40"/>
      <c r="AM617" s="5"/>
      <c r="AO617" s="40"/>
      <c r="AP617" s="5"/>
      <c r="AR617" s="40"/>
      <c r="AS617" s="5"/>
      <c r="AU617" s="40"/>
      <c r="AV617" s="5"/>
      <c r="AX617" s="40"/>
      <c r="AY617" s="5"/>
      <c r="BA617" s="40"/>
      <c r="BB617" s="5"/>
      <c r="BD617" s="40"/>
      <c r="BE617" s="5"/>
      <c r="BG617" s="40"/>
      <c r="BH617" s="5"/>
      <c r="BJ617" s="40"/>
      <c r="BK617" s="5"/>
      <c r="BM617" s="40"/>
      <c r="BN617" s="5"/>
      <c r="BP617" s="40"/>
      <c r="BQ617" s="5"/>
      <c r="BS617" s="40"/>
      <c r="BT617" s="5"/>
      <c r="BV617" s="40"/>
      <c r="BW617" s="5"/>
      <c r="BY617" s="40"/>
      <c r="BZ617" s="5"/>
      <c r="CB617" s="40"/>
      <c r="CC617" s="5"/>
      <c r="CE617" s="40"/>
      <c r="CF617" s="5"/>
      <c r="CH617" s="40"/>
      <c r="CI617" s="5"/>
      <c r="CK617" s="40"/>
      <c r="CL617" s="5"/>
      <c r="CN617" s="40"/>
      <c r="CO617" s="5"/>
      <c r="CQ617" s="40"/>
      <c r="CR617" s="5"/>
    </row>
    <row r="618">
      <c r="AL618" s="40"/>
      <c r="AM618" s="5"/>
      <c r="AO618" s="40"/>
      <c r="AP618" s="5"/>
      <c r="AR618" s="40"/>
      <c r="AS618" s="5"/>
      <c r="AU618" s="40"/>
      <c r="AV618" s="5"/>
      <c r="AX618" s="40"/>
      <c r="AY618" s="5"/>
      <c r="BA618" s="40"/>
      <c r="BB618" s="5"/>
      <c r="BD618" s="40"/>
      <c r="BE618" s="5"/>
      <c r="BG618" s="40"/>
      <c r="BH618" s="5"/>
      <c r="BJ618" s="40"/>
      <c r="BK618" s="5"/>
      <c r="BM618" s="40"/>
      <c r="BN618" s="5"/>
      <c r="BP618" s="40"/>
      <c r="BQ618" s="5"/>
      <c r="BS618" s="40"/>
      <c r="BT618" s="5"/>
      <c r="BV618" s="40"/>
      <c r="BW618" s="5"/>
      <c r="BY618" s="40"/>
      <c r="BZ618" s="5"/>
      <c r="CB618" s="40"/>
      <c r="CC618" s="5"/>
      <c r="CE618" s="40"/>
      <c r="CF618" s="5"/>
      <c r="CH618" s="40"/>
      <c r="CI618" s="5"/>
      <c r="CK618" s="40"/>
      <c r="CL618" s="5"/>
      <c r="CN618" s="40"/>
      <c r="CO618" s="5"/>
      <c r="CQ618" s="40"/>
      <c r="CR618" s="5"/>
    </row>
    <row r="619">
      <c r="AL619" s="40"/>
      <c r="AM619" s="5"/>
      <c r="AO619" s="40"/>
      <c r="AP619" s="5"/>
      <c r="AR619" s="40"/>
      <c r="AS619" s="5"/>
      <c r="AU619" s="40"/>
      <c r="AV619" s="5"/>
      <c r="AX619" s="40"/>
      <c r="AY619" s="5"/>
      <c r="BA619" s="40"/>
      <c r="BB619" s="5"/>
      <c r="BD619" s="40"/>
      <c r="BE619" s="5"/>
      <c r="BG619" s="40"/>
      <c r="BH619" s="5"/>
      <c r="BJ619" s="40"/>
      <c r="BK619" s="5"/>
      <c r="BM619" s="40"/>
      <c r="BN619" s="5"/>
      <c r="BP619" s="40"/>
      <c r="BQ619" s="5"/>
      <c r="BS619" s="40"/>
      <c r="BT619" s="5"/>
      <c r="BV619" s="40"/>
      <c r="BW619" s="5"/>
      <c r="BY619" s="40"/>
      <c r="BZ619" s="5"/>
      <c r="CB619" s="40"/>
      <c r="CC619" s="5"/>
      <c r="CE619" s="40"/>
      <c r="CF619" s="5"/>
      <c r="CH619" s="40"/>
      <c r="CI619" s="5"/>
      <c r="CK619" s="40"/>
      <c r="CL619" s="5"/>
      <c r="CN619" s="40"/>
      <c r="CO619" s="5"/>
      <c r="CQ619" s="40"/>
      <c r="CR619" s="5"/>
    </row>
    <row r="620">
      <c r="AL620" s="40"/>
      <c r="AM620" s="5"/>
      <c r="AO620" s="40"/>
      <c r="AP620" s="5"/>
      <c r="AR620" s="40"/>
      <c r="AS620" s="5"/>
      <c r="AU620" s="40"/>
      <c r="AV620" s="5"/>
      <c r="AX620" s="40"/>
      <c r="AY620" s="5"/>
      <c r="BA620" s="40"/>
      <c r="BB620" s="5"/>
      <c r="BD620" s="40"/>
      <c r="BE620" s="5"/>
      <c r="BG620" s="40"/>
      <c r="BH620" s="5"/>
      <c r="BJ620" s="40"/>
      <c r="BK620" s="5"/>
      <c r="BM620" s="40"/>
      <c r="BN620" s="5"/>
      <c r="BP620" s="40"/>
      <c r="BQ620" s="5"/>
      <c r="BS620" s="40"/>
      <c r="BT620" s="5"/>
      <c r="BV620" s="40"/>
      <c r="BW620" s="5"/>
      <c r="BY620" s="40"/>
      <c r="BZ620" s="5"/>
      <c r="CB620" s="40"/>
      <c r="CC620" s="5"/>
      <c r="CE620" s="40"/>
      <c r="CF620" s="5"/>
      <c r="CH620" s="40"/>
      <c r="CI620" s="5"/>
      <c r="CK620" s="40"/>
      <c r="CL620" s="5"/>
      <c r="CN620" s="40"/>
      <c r="CO620" s="5"/>
      <c r="CQ620" s="40"/>
      <c r="CR620" s="5"/>
    </row>
    <row r="621">
      <c r="AL621" s="40"/>
      <c r="AM621" s="5"/>
      <c r="AO621" s="40"/>
      <c r="AP621" s="5"/>
      <c r="AR621" s="40"/>
      <c r="AS621" s="5"/>
      <c r="AU621" s="40"/>
      <c r="AV621" s="5"/>
      <c r="AX621" s="40"/>
      <c r="AY621" s="5"/>
      <c r="BA621" s="40"/>
      <c r="BB621" s="5"/>
      <c r="BD621" s="40"/>
      <c r="BE621" s="5"/>
      <c r="BG621" s="40"/>
      <c r="BH621" s="5"/>
      <c r="BJ621" s="40"/>
      <c r="BK621" s="5"/>
      <c r="BM621" s="40"/>
      <c r="BN621" s="5"/>
      <c r="BP621" s="40"/>
      <c r="BQ621" s="5"/>
      <c r="BS621" s="40"/>
      <c r="BT621" s="5"/>
      <c r="BV621" s="40"/>
      <c r="BW621" s="5"/>
      <c r="BY621" s="40"/>
      <c r="BZ621" s="5"/>
      <c r="CB621" s="40"/>
      <c r="CC621" s="5"/>
      <c r="CE621" s="40"/>
      <c r="CF621" s="5"/>
      <c r="CH621" s="40"/>
      <c r="CI621" s="5"/>
      <c r="CK621" s="40"/>
      <c r="CL621" s="5"/>
      <c r="CN621" s="40"/>
      <c r="CO621" s="5"/>
      <c r="CQ621" s="40"/>
      <c r="CR621" s="5"/>
    </row>
    <row r="622">
      <c r="AL622" s="40"/>
      <c r="AM622" s="5"/>
      <c r="AO622" s="40"/>
      <c r="AP622" s="5"/>
      <c r="AR622" s="40"/>
      <c r="AS622" s="5"/>
      <c r="AU622" s="40"/>
      <c r="AV622" s="5"/>
      <c r="AX622" s="40"/>
      <c r="AY622" s="5"/>
      <c r="BA622" s="40"/>
      <c r="BB622" s="5"/>
      <c r="BD622" s="40"/>
      <c r="BE622" s="5"/>
      <c r="BG622" s="40"/>
      <c r="BH622" s="5"/>
      <c r="BJ622" s="40"/>
      <c r="BK622" s="5"/>
      <c r="BM622" s="40"/>
      <c r="BN622" s="5"/>
      <c r="BP622" s="40"/>
      <c r="BQ622" s="5"/>
      <c r="BS622" s="40"/>
      <c r="BT622" s="5"/>
      <c r="BV622" s="40"/>
      <c r="BW622" s="5"/>
      <c r="BY622" s="40"/>
      <c r="BZ622" s="5"/>
      <c r="CB622" s="40"/>
      <c r="CC622" s="5"/>
      <c r="CE622" s="40"/>
      <c r="CF622" s="5"/>
      <c r="CH622" s="40"/>
      <c r="CI622" s="5"/>
      <c r="CK622" s="40"/>
      <c r="CL622" s="5"/>
      <c r="CN622" s="40"/>
      <c r="CO622" s="5"/>
      <c r="CQ622" s="40"/>
      <c r="CR622" s="5"/>
    </row>
    <row r="623">
      <c r="AL623" s="40"/>
      <c r="AM623" s="5"/>
      <c r="AO623" s="40"/>
      <c r="AP623" s="5"/>
      <c r="AR623" s="40"/>
      <c r="AS623" s="5"/>
      <c r="AU623" s="40"/>
      <c r="AV623" s="5"/>
      <c r="AX623" s="40"/>
      <c r="AY623" s="5"/>
      <c r="BA623" s="40"/>
      <c r="BB623" s="5"/>
      <c r="BD623" s="40"/>
      <c r="BE623" s="5"/>
      <c r="BG623" s="40"/>
      <c r="BH623" s="5"/>
      <c r="BJ623" s="40"/>
      <c r="BK623" s="5"/>
      <c r="BM623" s="40"/>
      <c r="BN623" s="5"/>
      <c r="BP623" s="40"/>
      <c r="BQ623" s="5"/>
      <c r="BS623" s="40"/>
      <c r="BT623" s="5"/>
      <c r="BV623" s="40"/>
      <c r="BW623" s="5"/>
      <c r="BY623" s="40"/>
      <c r="BZ623" s="5"/>
      <c r="CB623" s="40"/>
      <c r="CC623" s="5"/>
      <c r="CE623" s="40"/>
      <c r="CF623" s="5"/>
      <c r="CH623" s="40"/>
      <c r="CI623" s="5"/>
      <c r="CK623" s="40"/>
      <c r="CL623" s="5"/>
      <c r="CN623" s="40"/>
      <c r="CO623" s="5"/>
      <c r="CQ623" s="40"/>
      <c r="CR623" s="5"/>
    </row>
    <row r="624">
      <c r="AL624" s="40"/>
      <c r="AM624" s="5"/>
      <c r="AO624" s="40"/>
      <c r="AP624" s="5"/>
      <c r="AR624" s="40"/>
      <c r="AS624" s="5"/>
      <c r="AU624" s="40"/>
      <c r="AV624" s="5"/>
      <c r="AX624" s="40"/>
      <c r="AY624" s="5"/>
      <c r="BA624" s="40"/>
      <c r="BB624" s="5"/>
      <c r="BD624" s="40"/>
      <c r="BE624" s="5"/>
      <c r="BG624" s="40"/>
      <c r="BH624" s="5"/>
      <c r="BJ624" s="40"/>
      <c r="BK624" s="5"/>
      <c r="BM624" s="40"/>
      <c r="BN624" s="5"/>
      <c r="BP624" s="40"/>
      <c r="BQ624" s="5"/>
      <c r="BS624" s="40"/>
      <c r="BT624" s="5"/>
      <c r="BV624" s="40"/>
      <c r="BW624" s="5"/>
      <c r="BY624" s="40"/>
      <c r="BZ624" s="5"/>
      <c r="CB624" s="40"/>
      <c r="CC624" s="5"/>
      <c r="CE624" s="40"/>
      <c r="CF624" s="5"/>
      <c r="CH624" s="40"/>
      <c r="CI624" s="5"/>
      <c r="CK624" s="40"/>
      <c r="CL624" s="5"/>
      <c r="CN624" s="40"/>
      <c r="CO624" s="5"/>
      <c r="CQ624" s="40"/>
      <c r="CR624" s="5"/>
    </row>
    <row r="625">
      <c r="AL625" s="40"/>
      <c r="AM625" s="5"/>
      <c r="AO625" s="40"/>
      <c r="AP625" s="5"/>
      <c r="AR625" s="40"/>
      <c r="AS625" s="5"/>
      <c r="AU625" s="40"/>
      <c r="AV625" s="5"/>
      <c r="AX625" s="40"/>
      <c r="AY625" s="5"/>
      <c r="BA625" s="40"/>
      <c r="BB625" s="5"/>
      <c r="BD625" s="40"/>
      <c r="BE625" s="5"/>
      <c r="BG625" s="40"/>
      <c r="BH625" s="5"/>
      <c r="BJ625" s="40"/>
      <c r="BK625" s="5"/>
      <c r="BM625" s="40"/>
      <c r="BN625" s="5"/>
      <c r="BP625" s="40"/>
      <c r="BQ625" s="5"/>
      <c r="BS625" s="40"/>
      <c r="BT625" s="5"/>
      <c r="BV625" s="40"/>
      <c r="BW625" s="5"/>
      <c r="BY625" s="40"/>
      <c r="BZ625" s="5"/>
      <c r="CB625" s="40"/>
      <c r="CC625" s="5"/>
      <c r="CE625" s="40"/>
      <c r="CF625" s="5"/>
      <c r="CH625" s="40"/>
      <c r="CI625" s="5"/>
      <c r="CK625" s="40"/>
      <c r="CL625" s="5"/>
      <c r="CN625" s="40"/>
      <c r="CO625" s="5"/>
      <c r="CQ625" s="40"/>
      <c r="CR625" s="5"/>
    </row>
    <row r="626">
      <c r="AL626" s="40"/>
      <c r="AM626" s="5"/>
      <c r="AO626" s="40"/>
      <c r="AP626" s="5"/>
      <c r="AR626" s="40"/>
      <c r="AS626" s="5"/>
      <c r="AU626" s="40"/>
      <c r="AV626" s="5"/>
      <c r="AX626" s="40"/>
      <c r="AY626" s="5"/>
      <c r="BA626" s="40"/>
      <c r="BB626" s="5"/>
      <c r="BD626" s="40"/>
      <c r="BE626" s="5"/>
      <c r="BG626" s="40"/>
      <c r="BH626" s="5"/>
      <c r="BJ626" s="40"/>
      <c r="BK626" s="5"/>
      <c r="BM626" s="40"/>
      <c r="BN626" s="5"/>
      <c r="BP626" s="40"/>
      <c r="BQ626" s="5"/>
      <c r="BS626" s="40"/>
      <c r="BT626" s="5"/>
      <c r="BV626" s="40"/>
      <c r="BW626" s="5"/>
      <c r="BY626" s="40"/>
      <c r="BZ626" s="5"/>
      <c r="CB626" s="40"/>
      <c r="CC626" s="5"/>
      <c r="CE626" s="40"/>
      <c r="CF626" s="5"/>
      <c r="CH626" s="40"/>
      <c r="CI626" s="5"/>
      <c r="CK626" s="40"/>
      <c r="CL626" s="5"/>
      <c r="CN626" s="40"/>
      <c r="CO626" s="5"/>
      <c r="CQ626" s="40"/>
      <c r="CR626" s="5"/>
    </row>
    <row r="627">
      <c r="AL627" s="40"/>
      <c r="AM627" s="5"/>
      <c r="AO627" s="40"/>
      <c r="AP627" s="5"/>
      <c r="AR627" s="40"/>
      <c r="AS627" s="5"/>
      <c r="AU627" s="40"/>
      <c r="AV627" s="5"/>
      <c r="AX627" s="40"/>
      <c r="AY627" s="5"/>
      <c r="BA627" s="40"/>
      <c r="BB627" s="5"/>
      <c r="BD627" s="40"/>
      <c r="BE627" s="5"/>
      <c r="BG627" s="40"/>
      <c r="BH627" s="5"/>
      <c r="BJ627" s="40"/>
      <c r="BK627" s="5"/>
      <c r="BM627" s="40"/>
      <c r="BN627" s="5"/>
      <c r="BP627" s="40"/>
      <c r="BQ627" s="5"/>
      <c r="BS627" s="40"/>
      <c r="BT627" s="5"/>
      <c r="BV627" s="40"/>
      <c r="BW627" s="5"/>
      <c r="BY627" s="40"/>
      <c r="BZ627" s="5"/>
      <c r="CB627" s="40"/>
      <c r="CC627" s="5"/>
      <c r="CE627" s="40"/>
      <c r="CF627" s="5"/>
      <c r="CH627" s="40"/>
      <c r="CI627" s="5"/>
      <c r="CK627" s="40"/>
      <c r="CL627" s="5"/>
      <c r="CN627" s="40"/>
      <c r="CO627" s="5"/>
      <c r="CQ627" s="40"/>
      <c r="CR627" s="5"/>
    </row>
    <row r="628">
      <c r="AL628" s="40"/>
      <c r="AM628" s="5"/>
      <c r="AO628" s="40"/>
      <c r="AP628" s="5"/>
      <c r="AR628" s="40"/>
      <c r="AS628" s="5"/>
      <c r="AU628" s="40"/>
      <c r="AV628" s="5"/>
      <c r="AX628" s="40"/>
      <c r="AY628" s="5"/>
      <c r="BA628" s="40"/>
      <c r="BB628" s="5"/>
      <c r="BD628" s="40"/>
      <c r="BE628" s="5"/>
      <c r="BG628" s="40"/>
      <c r="BH628" s="5"/>
      <c r="BJ628" s="40"/>
      <c r="BK628" s="5"/>
      <c r="BM628" s="40"/>
      <c r="BN628" s="5"/>
      <c r="BP628" s="40"/>
      <c r="BQ628" s="5"/>
      <c r="BS628" s="40"/>
      <c r="BT628" s="5"/>
      <c r="BV628" s="40"/>
      <c r="BW628" s="5"/>
      <c r="BY628" s="40"/>
      <c r="BZ628" s="5"/>
      <c r="CB628" s="40"/>
      <c r="CC628" s="5"/>
      <c r="CE628" s="40"/>
      <c r="CF628" s="5"/>
      <c r="CH628" s="40"/>
      <c r="CI628" s="5"/>
      <c r="CK628" s="40"/>
      <c r="CL628" s="5"/>
      <c r="CN628" s="40"/>
      <c r="CO628" s="5"/>
      <c r="CQ628" s="40"/>
      <c r="CR628" s="5"/>
    </row>
    <row r="629">
      <c r="AL629" s="40"/>
      <c r="AM629" s="5"/>
      <c r="AO629" s="40"/>
      <c r="AP629" s="5"/>
      <c r="AR629" s="40"/>
      <c r="AS629" s="5"/>
      <c r="AU629" s="40"/>
      <c r="AV629" s="5"/>
      <c r="AX629" s="40"/>
      <c r="AY629" s="5"/>
      <c r="BA629" s="40"/>
      <c r="BB629" s="5"/>
      <c r="BD629" s="40"/>
      <c r="BE629" s="5"/>
      <c r="BG629" s="40"/>
      <c r="BH629" s="5"/>
      <c r="BJ629" s="40"/>
      <c r="BK629" s="5"/>
      <c r="BM629" s="40"/>
      <c r="BN629" s="5"/>
      <c r="BP629" s="40"/>
      <c r="BQ629" s="5"/>
      <c r="BS629" s="40"/>
      <c r="BT629" s="5"/>
      <c r="BV629" s="40"/>
      <c r="BW629" s="5"/>
      <c r="BY629" s="40"/>
      <c r="BZ629" s="5"/>
      <c r="CB629" s="40"/>
      <c r="CC629" s="5"/>
      <c r="CE629" s="40"/>
      <c r="CF629" s="5"/>
      <c r="CH629" s="40"/>
      <c r="CI629" s="5"/>
      <c r="CK629" s="40"/>
      <c r="CL629" s="5"/>
      <c r="CN629" s="40"/>
      <c r="CO629" s="5"/>
      <c r="CQ629" s="40"/>
      <c r="CR629" s="5"/>
    </row>
    <row r="630">
      <c r="AL630" s="40"/>
      <c r="AM630" s="5"/>
      <c r="AO630" s="40"/>
      <c r="AP630" s="5"/>
      <c r="AR630" s="40"/>
      <c r="AS630" s="5"/>
      <c r="AU630" s="40"/>
      <c r="AV630" s="5"/>
      <c r="AX630" s="40"/>
      <c r="AY630" s="5"/>
      <c r="BA630" s="40"/>
      <c r="BB630" s="5"/>
      <c r="BD630" s="40"/>
      <c r="BE630" s="5"/>
      <c r="BG630" s="40"/>
      <c r="BH630" s="5"/>
      <c r="BJ630" s="40"/>
      <c r="BK630" s="5"/>
      <c r="BM630" s="40"/>
      <c r="BN630" s="5"/>
      <c r="BP630" s="40"/>
      <c r="BQ630" s="5"/>
      <c r="BS630" s="40"/>
      <c r="BT630" s="5"/>
      <c r="BV630" s="40"/>
      <c r="BW630" s="5"/>
      <c r="BY630" s="40"/>
      <c r="BZ630" s="5"/>
      <c r="CB630" s="40"/>
      <c r="CC630" s="5"/>
      <c r="CE630" s="40"/>
      <c r="CF630" s="5"/>
      <c r="CH630" s="40"/>
      <c r="CI630" s="5"/>
      <c r="CK630" s="40"/>
      <c r="CL630" s="5"/>
      <c r="CN630" s="40"/>
      <c r="CO630" s="5"/>
      <c r="CQ630" s="40"/>
      <c r="CR630" s="5"/>
    </row>
    <row r="631">
      <c r="AL631" s="40"/>
      <c r="AM631" s="5"/>
      <c r="AO631" s="40"/>
      <c r="AP631" s="5"/>
      <c r="AR631" s="40"/>
      <c r="AS631" s="5"/>
      <c r="AU631" s="40"/>
      <c r="AV631" s="5"/>
      <c r="AX631" s="40"/>
      <c r="AY631" s="5"/>
      <c r="BA631" s="40"/>
      <c r="BB631" s="5"/>
      <c r="BD631" s="40"/>
      <c r="BE631" s="5"/>
      <c r="BG631" s="40"/>
      <c r="BH631" s="5"/>
      <c r="BJ631" s="40"/>
      <c r="BK631" s="5"/>
      <c r="BM631" s="40"/>
      <c r="BN631" s="5"/>
      <c r="BP631" s="40"/>
      <c r="BQ631" s="5"/>
      <c r="BS631" s="40"/>
      <c r="BT631" s="5"/>
      <c r="BV631" s="40"/>
      <c r="BW631" s="5"/>
      <c r="BY631" s="40"/>
      <c r="BZ631" s="5"/>
      <c r="CB631" s="40"/>
      <c r="CC631" s="5"/>
      <c r="CE631" s="40"/>
      <c r="CF631" s="5"/>
      <c r="CH631" s="40"/>
      <c r="CI631" s="5"/>
      <c r="CK631" s="40"/>
      <c r="CL631" s="5"/>
      <c r="CN631" s="40"/>
      <c r="CO631" s="5"/>
      <c r="CQ631" s="40"/>
      <c r="CR631" s="5"/>
    </row>
    <row r="632">
      <c r="AL632" s="40"/>
      <c r="AM632" s="5"/>
      <c r="AO632" s="40"/>
      <c r="AP632" s="5"/>
      <c r="AR632" s="40"/>
      <c r="AS632" s="5"/>
      <c r="AU632" s="40"/>
      <c r="AV632" s="5"/>
      <c r="AX632" s="40"/>
      <c r="AY632" s="5"/>
      <c r="BA632" s="40"/>
      <c r="BB632" s="5"/>
      <c r="BD632" s="40"/>
      <c r="BE632" s="5"/>
      <c r="BG632" s="40"/>
      <c r="BH632" s="5"/>
      <c r="BJ632" s="40"/>
      <c r="BK632" s="5"/>
      <c r="BM632" s="40"/>
      <c r="BN632" s="5"/>
      <c r="BP632" s="40"/>
      <c r="BQ632" s="5"/>
      <c r="BS632" s="40"/>
      <c r="BT632" s="5"/>
      <c r="BV632" s="40"/>
      <c r="BW632" s="5"/>
      <c r="BY632" s="40"/>
      <c r="BZ632" s="5"/>
      <c r="CB632" s="40"/>
      <c r="CC632" s="5"/>
      <c r="CE632" s="40"/>
      <c r="CF632" s="5"/>
      <c r="CH632" s="40"/>
      <c r="CI632" s="5"/>
      <c r="CK632" s="40"/>
      <c r="CL632" s="5"/>
      <c r="CN632" s="40"/>
      <c r="CO632" s="5"/>
      <c r="CQ632" s="40"/>
      <c r="CR632" s="5"/>
    </row>
    <row r="633">
      <c r="AL633" s="40"/>
      <c r="AM633" s="5"/>
      <c r="AO633" s="40"/>
      <c r="AP633" s="5"/>
      <c r="AR633" s="40"/>
      <c r="AS633" s="5"/>
      <c r="AU633" s="40"/>
      <c r="AV633" s="5"/>
      <c r="AX633" s="40"/>
      <c r="AY633" s="5"/>
      <c r="BA633" s="40"/>
      <c r="BB633" s="5"/>
      <c r="BD633" s="40"/>
      <c r="BE633" s="5"/>
      <c r="BG633" s="40"/>
      <c r="BH633" s="5"/>
      <c r="BJ633" s="40"/>
      <c r="BK633" s="5"/>
      <c r="BM633" s="40"/>
      <c r="BN633" s="5"/>
      <c r="BP633" s="40"/>
      <c r="BQ633" s="5"/>
      <c r="BS633" s="40"/>
      <c r="BT633" s="5"/>
      <c r="BV633" s="40"/>
      <c r="BW633" s="5"/>
      <c r="BY633" s="40"/>
      <c r="BZ633" s="5"/>
      <c r="CB633" s="40"/>
      <c r="CC633" s="5"/>
      <c r="CE633" s="40"/>
      <c r="CF633" s="5"/>
      <c r="CH633" s="40"/>
      <c r="CI633" s="5"/>
      <c r="CK633" s="40"/>
      <c r="CL633" s="5"/>
      <c r="CN633" s="40"/>
      <c r="CO633" s="5"/>
      <c r="CQ633" s="40"/>
      <c r="CR633" s="5"/>
    </row>
    <row r="634">
      <c r="AL634" s="40"/>
      <c r="AM634" s="5"/>
      <c r="AO634" s="40"/>
      <c r="AP634" s="5"/>
      <c r="AR634" s="40"/>
      <c r="AS634" s="5"/>
      <c r="AU634" s="40"/>
      <c r="AV634" s="5"/>
      <c r="AX634" s="40"/>
      <c r="AY634" s="5"/>
      <c r="BA634" s="40"/>
      <c r="BB634" s="5"/>
      <c r="BD634" s="40"/>
      <c r="BE634" s="5"/>
      <c r="BG634" s="40"/>
      <c r="BH634" s="5"/>
      <c r="BJ634" s="40"/>
      <c r="BK634" s="5"/>
      <c r="BM634" s="40"/>
      <c r="BN634" s="5"/>
      <c r="BP634" s="40"/>
      <c r="BQ634" s="5"/>
      <c r="BS634" s="40"/>
      <c r="BT634" s="5"/>
      <c r="BV634" s="40"/>
      <c r="BW634" s="5"/>
      <c r="BY634" s="40"/>
      <c r="BZ634" s="5"/>
      <c r="CB634" s="40"/>
      <c r="CC634" s="5"/>
      <c r="CE634" s="40"/>
      <c r="CF634" s="5"/>
      <c r="CH634" s="40"/>
      <c r="CI634" s="5"/>
      <c r="CK634" s="40"/>
      <c r="CL634" s="5"/>
      <c r="CN634" s="40"/>
      <c r="CO634" s="5"/>
      <c r="CQ634" s="40"/>
      <c r="CR634" s="5"/>
    </row>
    <row r="635">
      <c r="AL635" s="40"/>
      <c r="AM635" s="5"/>
      <c r="AO635" s="40"/>
      <c r="AP635" s="5"/>
      <c r="AR635" s="40"/>
      <c r="AS635" s="5"/>
      <c r="AU635" s="40"/>
      <c r="AV635" s="5"/>
      <c r="AX635" s="40"/>
      <c r="AY635" s="5"/>
      <c r="BA635" s="40"/>
      <c r="BB635" s="5"/>
      <c r="BD635" s="40"/>
      <c r="BE635" s="5"/>
      <c r="BG635" s="40"/>
      <c r="BH635" s="5"/>
      <c r="BJ635" s="40"/>
      <c r="BK635" s="5"/>
      <c r="BM635" s="40"/>
      <c r="BN635" s="5"/>
      <c r="BP635" s="40"/>
      <c r="BQ635" s="5"/>
      <c r="BS635" s="40"/>
      <c r="BT635" s="5"/>
      <c r="BV635" s="40"/>
      <c r="BW635" s="5"/>
      <c r="BY635" s="40"/>
      <c r="BZ635" s="5"/>
      <c r="CB635" s="40"/>
      <c r="CC635" s="5"/>
      <c r="CE635" s="40"/>
      <c r="CF635" s="5"/>
      <c r="CH635" s="40"/>
      <c r="CI635" s="5"/>
      <c r="CK635" s="40"/>
      <c r="CL635" s="5"/>
      <c r="CN635" s="40"/>
      <c r="CO635" s="5"/>
      <c r="CQ635" s="40"/>
      <c r="CR635" s="5"/>
    </row>
    <row r="636">
      <c r="AL636" s="40"/>
      <c r="AM636" s="5"/>
      <c r="AO636" s="40"/>
      <c r="AP636" s="5"/>
      <c r="AR636" s="40"/>
      <c r="AS636" s="5"/>
      <c r="AU636" s="40"/>
      <c r="AV636" s="5"/>
      <c r="AX636" s="40"/>
      <c r="AY636" s="5"/>
      <c r="BA636" s="40"/>
      <c r="BB636" s="5"/>
      <c r="BD636" s="40"/>
      <c r="BE636" s="5"/>
      <c r="BG636" s="40"/>
      <c r="BH636" s="5"/>
      <c r="BJ636" s="40"/>
      <c r="BK636" s="5"/>
      <c r="BM636" s="40"/>
      <c r="BN636" s="5"/>
      <c r="BP636" s="40"/>
      <c r="BQ636" s="5"/>
      <c r="BS636" s="40"/>
      <c r="BT636" s="5"/>
      <c r="BV636" s="40"/>
      <c r="BW636" s="5"/>
      <c r="BY636" s="40"/>
      <c r="BZ636" s="5"/>
      <c r="CB636" s="40"/>
      <c r="CC636" s="5"/>
      <c r="CE636" s="40"/>
      <c r="CF636" s="5"/>
      <c r="CH636" s="40"/>
      <c r="CI636" s="5"/>
      <c r="CK636" s="40"/>
      <c r="CL636" s="5"/>
      <c r="CN636" s="40"/>
      <c r="CO636" s="5"/>
      <c r="CQ636" s="40"/>
      <c r="CR636" s="5"/>
    </row>
    <row r="637">
      <c r="AL637" s="40"/>
      <c r="AM637" s="5"/>
      <c r="AO637" s="40"/>
      <c r="AP637" s="5"/>
      <c r="AR637" s="40"/>
      <c r="AS637" s="5"/>
      <c r="AU637" s="40"/>
      <c r="AV637" s="5"/>
      <c r="AX637" s="40"/>
      <c r="AY637" s="5"/>
      <c r="BA637" s="40"/>
      <c r="BB637" s="5"/>
      <c r="BD637" s="40"/>
      <c r="BE637" s="5"/>
      <c r="BG637" s="40"/>
      <c r="BH637" s="5"/>
      <c r="BJ637" s="40"/>
      <c r="BK637" s="5"/>
      <c r="BM637" s="40"/>
      <c r="BN637" s="5"/>
      <c r="BP637" s="40"/>
      <c r="BQ637" s="5"/>
      <c r="BS637" s="40"/>
      <c r="BT637" s="5"/>
      <c r="BV637" s="40"/>
      <c r="BW637" s="5"/>
      <c r="BY637" s="40"/>
      <c r="BZ637" s="5"/>
      <c r="CB637" s="40"/>
      <c r="CC637" s="5"/>
      <c r="CE637" s="40"/>
      <c r="CF637" s="5"/>
      <c r="CH637" s="40"/>
      <c r="CI637" s="5"/>
      <c r="CK637" s="40"/>
      <c r="CL637" s="5"/>
      <c r="CN637" s="40"/>
      <c r="CO637" s="5"/>
      <c r="CQ637" s="40"/>
      <c r="CR637" s="5"/>
    </row>
    <row r="638">
      <c r="AL638" s="40"/>
      <c r="AM638" s="5"/>
      <c r="AO638" s="40"/>
      <c r="AP638" s="5"/>
      <c r="AR638" s="40"/>
      <c r="AS638" s="5"/>
      <c r="AU638" s="40"/>
      <c r="AV638" s="5"/>
      <c r="AX638" s="40"/>
      <c r="AY638" s="5"/>
      <c r="BA638" s="40"/>
      <c r="BB638" s="5"/>
      <c r="BD638" s="40"/>
      <c r="BE638" s="5"/>
      <c r="BG638" s="40"/>
      <c r="BH638" s="5"/>
      <c r="BJ638" s="40"/>
      <c r="BK638" s="5"/>
      <c r="BM638" s="40"/>
      <c r="BN638" s="5"/>
      <c r="BP638" s="40"/>
      <c r="BQ638" s="5"/>
      <c r="BS638" s="40"/>
      <c r="BT638" s="5"/>
      <c r="BV638" s="40"/>
      <c r="BW638" s="5"/>
      <c r="BY638" s="40"/>
      <c r="BZ638" s="5"/>
      <c r="CB638" s="40"/>
      <c r="CC638" s="5"/>
      <c r="CE638" s="40"/>
      <c r="CF638" s="5"/>
      <c r="CH638" s="40"/>
      <c r="CI638" s="5"/>
      <c r="CK638" s="40"/>
      <c r="CL638" s="5"/>
      <c r="CN638" s="40"/>
      <c r="CO638" s="5"/>
      <c r="CQ638" s="40"/>
      <c r="CR638" s="5"/>
    </row>
    <row r="639">
      <c r="AL639" s="40"/>
      <c r="AM639" s="5"/>
      <c r="AO639" s="40"/>
      <c r="AP639" s="5"/>
      <c r="AR639" s="40"/>
      <c r="AS639" s="5"/>
      <c r="AU639" s="40"/>
      <c r="AV639" s="5"/>
      <c r="AX639" s="40"/>
      <c r="AY639" s="5"/>
      <c r="BA639" s="40"/>
      <c r="BB639" s="5"/>
      <c r="BD639" s="40"/>
      <c r="BE639" s="5"/>
      <c r="BG639" s="40"/>
      <c r="BH639" s="5"/>
      <c r="BJ639" s="40"/>
      <c r="BK639" s="5"/>
      <c r="BM639" s="40"/>
      <c r="BN639" s="5"/>
      <c r="BP639" s="40"/>
      <c r="BQ639" s="5"/>
      <c r="BS639" s="40"/>
      <c r="BT639" s="5"/>
      <c r="BV639" s="40"/>
      <c r="BW639" s="5"/>
      <c r="BY639" s="40"/>
      <c r="BZ639" s="5"/>
      <c r="CB639" s="40"/>
      <c r="CC639" s="5"/>
      <c r="CE639" s="40"/>
      <c r="CF639" s="5"/>
      <c r="CH639" s="40"/>
      <c r="CI639" s="5"/>
      <c r="CK639" s="40"/>
      <c r="CL639" s="5"/>
      <c r="CN639" s="40"/>
      <c r="CO639" s="5"/>
      <c r="CQ639" s="40"/>
      <c r="CR639" s="5"/>
    </row>
    <row r="640">
      <c r="AL640" s="40"/>
      <c r="AM640" s="5"/>
      <c r="AO640" s="40"/>
      <c r="AP640" s="5"/>
      <c r="AR640" s="40"/>
      <c r="AS640" s="5"/>
      <c r="AU640" s="40"/>
      <c r="AV640" s="5"/>
      <c r="AX640" s="40"/>
      <c r="AY640" s="5"/>
      <c r="BA640" s="40"/>
      <c r="BB640" s="5"/>
      <c r="BD640" s="40"/>
      <c r="BE640" s="5"/>
      <c r="BG640" s="40"/>
      <c r="BH640" s="5"/>
      <c r="BJ640" s="40"/>
      <c r="BK640" s="5"/>
      <c r="BM640" s="40"/>
      <c r="BN640" s="5"/>
      <c r="BP640" s="40"/>
      <c r="BQ640" s="5"/>
      <c r="BS640" s="40"/>
      <c r="BT640" s="5"/>
      <c r="BV640" s="40"/>
      <c r="BW640" s="5"/>
      <c r="BY640" s="40"/>
      <c r="BZ640" s="5"/>
      <c r="CB640" s="40"/>
      <c r="CC640" s="5"/>
      <c r="CE640" s="40"/>
      <c r="CF640" s="5"/>
      <c r="CH640" s="40"/>
      <c r="CI640" s="5"/>
      <c r="CK640" s="40"/>
      <c r="CL640" s="5"/>
      <c r="CN640" s="40"/>
      <c r="CO640" s="5"/>
      <c r="CQ640" s="40"/>
      <c r="CR640" s="5"/>
    </row>
    <row r="641">
      <c r="AL641" s="40"/>
      <c r="AM641" s="5"/>
      <c r="AO641" s="40"/>
      <c r="AP641" s="5"/>
      <c r="AR641" s="40"/>
      <c r="AS641" s="5"/>
      <c r="AU641" s="40"/>
      <c r="AV641" s="5"/>
      <c r="AX641" s="40"/>
      <c r="AY641" s="5"/>
      <c r="BA641" s="40"/>
      <c r="BB641" s="5"/>
      <c r="BD641" s="40"/>
      <c r="BE641" s="5"/>
      <c r="BG641" s="40"/>
      <c r="BH641" s="5"/>
      <c r="BJ641" s="40"/>
      <c r="BK641" s="5"/>
      <c r="BM641" s="40"/>
      <c r="BN641" s="5"/>
      <c r="BP641" s="40"/>
      <c r="BQ641" s="5"/>
      <c r="BS641" s="40"/>
      <c r="BT641" s="5"/>
      <c r="BV641" s="40"/>
      <c r="BW641" s="5"/>
      <c r="BY641" s="40"/>
      <c r="BZ641" s="5"/>
      <c r="CB641" s="40"/>
      <c r="CC641" s="5"/>
      <c r="CE641" s="40"/>
      <c r="CF641" s="5"/>
      <c r="CH641" s="40"/>
      <c r="CI641" s="5"/>
      <c r="CK641" s="40"/>
      <c r="CL641" s="5"/>
      <c r="CN641" s="40"/>
      <c r="CO641" s="5"/>
      <c r="CQ641" s="40"/>
      <c r="CR641" s="5"/>
    </row>
    <row r="642">
      <c r="AL642" s="40"/>
      <c r="AM642" s="5"/>
      <c r="AO642" s="40"/>
      <c r="AP642" s="5"/>
      <c r="AR642" s="40"/>
      <c r="AS642" s="5"/>
      <c r="AU642" s="40"/>
      <c r="AV642" s="5"/>
      <c r="AX642" s="40"/>
      <c r="AY642" s="5"/>
      <c r="BA642" s="40"/>
      <c r="BB642" s="5"/>
      <c r="BD642" s="40"/>
      <c r="BE642" s="5"/>
      <c r="BG642" s="40"/>
      <c r="BH642" s="5"/>
      <c r="BJ642" s="40"/>
      <c r="BK642" s="5"/>
      <c r="BM642" s="40"/>
      <c r="BN642" s="5"/>
      <c r="BP642" s="40"/>
      <c r="BQ642" s="5"/>
      <c r="BS642" s="40"/>
      <c r="BT642" s="5"/>
      <c r="BV642" s="40"/>
      <c r="BW642" s="5"/>
      <c r="BY642" s="40"/>
      <c r="BZ642" s="5"/>
      <c r="CB642" s="40"/>
      <c r="CC642" s="5"/>
      <c r="CE642" s="40"/>
      <c r="CF642" s="5"/>
      <c r="CH642" s="40"/>
      <c r="CI642" s="5"/>
      <c r="CK642" s="40"/>
      <c r="CL642" s="5"/>
      <c r="CN642" s="40"/>
      <c r="CO642" s="5"/>
      <c r="CQ642" s="40"/>
      <c r="CR642" s="5"/>
    </row>
    <row r="643">
      <c r="AL643" s="40"/>
      <c r="AM643" s="5"/>
      <c r="AO643" s="40"/>
      <c r="AP643" s="5"/>
      <c r="AR643" s="40"/>
      <c r="AS643" s="5"/>
      <c r="AU643" s="40"/>
      <c r="AV643" s="5"/>
      <c r="AX643" s="40"/>
      <c r="AY643" s="5"/>
      <c r="BA643" s="40"/>
      <c r="BB643" s="5"/>
      <c r="BD643" s="40"/>
      <c r="BE643" s="5"/>
      <c r="BG643" s="40"/>
      <c r="BH643" s="5"/>
      <c r="BJ643" s="40"/>
      <c r="BK643" s="5"/>
      <c r="BM643" s="40"/>
      <c r="BN643" s="5"/>
      <c r="BP643" s="40"/>
      <c r="BQ643" s="5"/>
      <c r="BS643" s="40"/>
      <c r="BT643" s="5"/>
      <c r="BV643" s="40"/>
      <c r="BW643" s="5"/>
      <c r="BY643" s="40"/>
      <c r="BZ643" s="5"/>
      <c r="CB643" s="40"/>
      <c r="CC643" s="5"/>
      <c r="CE643" s="40"/>
      <c r="CF643" s="5"/>
      <c r="CH643" s="40"/>
      <c r="CI643" s="5"/>
      <c r="CK643" s="40"/>
      <c r="CL643" s="5"/>
      <c r="CN643" s="40"/>
      <c r="CO643" s="5"/>
      <c r="CQ643" s="40"/>
      <c r="CR643" s="5"/>
    </row>
    <row r="644">
      <c r="AL644" s="40"/>
      <c r="AM644" s="5"/>
      <c r="AO644" s="40"/>
      <c r="AP644" s="5"/>
      <c r="AR644" s="40"/>
      <c r="AS644" s="5"/>
      <c r="AU644" s="40"/>
      <c r="AV644" s="5"/>
      <c r="AX644" s="40"/>
      <c r="AY644" s="5"/>
      <c r="BA644" s="40"/>
      <c r="BB644" s="5"/>
      <c r="BD644" s="40"/>
      <c r="BE644" s="5"/>
      <c r="BG644" s="40"/>
      <c r="BH644" s="5"/>
      <c r="BJ644" s="40"/>
      <c r="BK644" s="5"/>
      <c r="BM644" s="40"/>
      <c r="BN644" s="5"/>
      <c r="BP644" s="40"/>
      <c r="BQ644" s="5"/>
      <c r="BS644" s="40"/>
      <c r="BT644" s="5"/>
      <c r="BV644" s="40"/>
      <c r="BW644" s="5"/>
      <c r="BY644" s="40"/>
      <c r="BZ644" s="5"/>
      <c r="CB644" s="40"/>
      <c r="CC644" s="5"/>
      <c r="CE644" s="40"/>
      <c r="CF644" s="5"/>
      <c r="CH644" s="40"/>
      <c r="CI644" s="5"/>
      <c r="CK644" s="40"/>
      <c r="CL644" s="5"/>
      <c r="CN644" s="40"/>
      <c r="CO644" s="5"/>
      <c r="CQ644" s="40"/>
      <c r="CR644" s="5"/>
    </row>
    <row r="645">
      <c r="AL645" s="40"/>
      <c r="AM645" s="5"/>
      <c r="AO645" s="40"/>
      <c r="AP645" s="5"/>
      <c r="AR645" s="40"/>
      <c r="AS645" s="5"/>
      <c r="AU645" s="40"/>
      <c r="AV645" s="5"/>
      <c r="AX645" s="40"/>
      <c r="AY645" s="5"/>
      <c r="BA645" s="40"/>
      <c r="BB645" s="5"/>
      <c r="BD645" s="40"/>
      <c r="BE645" s="5"/>
      <c r="BG645" s="40"/>
      <c r="BH645" s="5"/>
      <c r="BJ645" s="40"/>
      <c r="BK645" s="5"/>
      <c r="BM645" s="40"/>
      <c r="BN645" s="5"/>
      <c r="BP645" s="40"/>
      <c r="BQ645" s="5"/>
      <c r="BS645" s="40"/>
      <c r="BT645" s="5"/>
      <c r="BV645" s="40"/>
      <c r="BW645" s="5"/>
      <c r="BY645" s="40"/>
      <c r="BZ645" s="5"/>
      <c r="CB645" s="40"/>
      <c r="CC645" s="5"/>
      <c r="CE645" s="40"/>
      <c r="CF645" s="5"/>
      <c r="CH645" s="40"/>
      <c r="CI645" s="5"/>
      <c r="CK645" s="40"/>
      <c r="CL645" s="5"/>
      <c r="CN645" s="40"/>
      <c r="CO645" s="5"/>
      <c r="CQ645" s="40"/>
      <c r="CR645" s="5"/>
    </row>
    <row r="646">
      <c r="AL646" s="40"/>
      <c r="AM646" s="5"/>
      <c r="AO646" s="40"/>
      <c r="AP646" s="5"/>
      <c r="AR646" s="40"/>
      <c r="AS646" s="5"/>
      <c r="AU646" s="40"/>
      <c r="AV646" s="5"/>
      <c r="AX646" s="40"/>
      <c r="AY646" s="5"/>
      <c r="BA646" s="40"/>
      <c r="BB646" s="5"/>
      <c r="BD646" s="40"/>
      <c r="BE646" s="5"/>
      <c r="BG646" s="40"/>
      <c r="BH646" s="5"/>
      <c r="BJ646" s="40"/>
      <c r="BK646" s="5"/>
      <c r="BM646" s="40"/>
      <c r="BN646" s="5"/>
      <c r="BP646" s="40"/>
      <c r="BQ646" s="5"/>
      <c r="BS646" s="40"/>
      <c r="BT646" s="5"/>
      <c r="BV646" s="40"/>
      <c r="BW646" s="5"/>
      <c r="BY646" s="40"/>
      <c r="BZ646" s="5"/>
      <c r="CB646" s="40"/>
      <c r="CC646" s="5"/>
      <c r="CE646" s="40"/>
      <c r="CF646" s="5"/>
      <c r="CH646" s="40"/>
      <c r="CI646" s="5"/>
      <c r="CK646" s="40"/>
      <c r="CL646" s="5"/>
      <c r="CN646" s="40"/>
      <c r="CO646" s="5"/>
      <c r="CQ646" s="40"/>
      <c r="CR646" s="5"/>
    </row>
    <row r="647">
      <c r="AL647" s="40"/>
      <c r="AM647" s="5"/>
      <c r="AO647" s="40"/>
      <c r="AP647" s="5"/>
      <c r="AR647" s="40"/>
      <c r="AS647" s="5"/>
      <c r="AU647" s="40"/>
      <c r="AV647" s="5"/>
      <c r="AX647" s="40"/>
      <c r="AY647" s="5"/>
      <c r="BA647" s="40"/>
      <c r="BB647" s="5"/>
      <c r="BD647" s="40"/>
      <c r="BE647" s="5"/>
      <c r="BG647" s="40"/>
      <c r="BH647" s="5"/>
      <c r="BJ647" s="40"/>
      <c r="BK647" s="5"/>
      <c r="BM647" s="40"/>
      <c r="BN647" s="5"/>
      <c r="BP647" s="40"/>
      <c r="BQ647" s="5"/>
      <c r="BS647" s="40"/>
      <c r="BT647" s="5"/>
      <c r="BV647" s="40"/>
      <c r="BW647" s="5"/>
      <c r="BY647" s="40"/>
      <c r="BZ647" s="5"/>
      <c r="CB647" s="40"/>
      <c r="CC647" s="5"/>
      <c r="CE647" s="40"/>
      <c r="CF647" s="5"/>
      <c r="CH647" s="40"/>
      <c r="CI647" s="5"/>
      <c r="CK647" s="40"/>
      <c r="CL647" s="5"/>
      <c r="CN647" s="40"/>
      <c r="CO647" s="5"/>
      <c r="CQ647" s="40"/>
      <c r="CR647" s="5"/>
    </row>
    <row r="648">
      <c r="AL648" s="40"/>
      <c r="AM648" s="5"/>
      <c r="AO648" s="40"/>
      <c r="AP648" s="5"/>
      <c r="AR648" s="40"/>
      <c r="AS648" s="5"/>
      <c r="AU648" s="40"/>
      <c r="AV648" s="5"/>
      <c r="AX648" s="40"/>
      <c r="AY648" s="5"/>
      <c r="BA648" s="40"/>
      <c r="BB648" s="5"/>
      <c r="BD648" s="40"/>
      <c r="BE648" s="5"/>
      <c r="BG648" s="40"/>
      <c r="BH648" s="5"/>
      <c r="BJ648" s="40"/>
      <c r="BK648" s="5"/>
      <c r="BM648" s="40"/>
      <c r="BN648" s="5"/>
      <c r="BP648" s="40"/>
      <c r="BQ648" s="5"/>
      <c r="BS648" s="40"/>
      <c r="BT648" s="5"/>
      <c r="BV648" s="40"/>
      <c r="BW648" s="5"/>
      <c r="BY648" s="40"/>
      <c r="BZ648" s="5"/>
      <c r="CB648" s="40"/>
      <c r="CC648" s="5"/>
      <c r="CE648" s="40"/>
      <c r="CF648" s="5"/>
      <c r="CH648" s="40"/>
      <c r="CI648" s="5"/>
      <c r="CK648" s="40"/>
      <c r="CL648" s="5"/>
      <c r="CN648" s="40"/>
      <c r="CO648" s="5"/>
      <c r="CQ648" s="40"/>
      <c r="CR648" s="5"/>
    </row>
    <row r="649">
      <c r="AL649" s="40"/>
      <c r="AM649" s="5"/>
      <c r="AO649" s="40"/>
      <c r="AP649" s="5"/>
      <c r="AR649" s="40"/>
      <c r="AS649" s="5"/>
      <c r="AU649" s="40"/>
      <c r="AV649" s="5"/>
      <c r="AX649" s="40"/>
      <c r="AY649" s="5"/>
      <c r="BA649" s="40"/>
      <c r="BB649" s="5"/>
      <c r="BD649" s="40"/>
      <c r="BE649" s="5"/>
      <c r="BG649" s="40"/>
      <c r="BH649" s="5"/>
      <c r="BJ649" s="40"/>
      <c r="BK649" s="5"/>
      <c r="BM649" s="40"/>
      <c r="BN649" s="5"/>
      <c r="BP649" s="40"/>
      <c r="BQ649" s="5"/>
      <c r="BS649" s="40"/>
      <c r="BT649" s="5"/>
      <c r="BV649" s="40"/>
      <c r="BW649" s="5"/>
      <c r="BY649" s="40"/>
      <c r="BZ649" s="5"/>
      <c r="CB649" s="40"/>
      <c r="CC649" s="5"/>
      <c r="CE649" s="40"/>
      <c r="CF649" s="5"/>
      <c r="CH649" s="40"/>
      <c r="CI649" s="5"/>
      <c r="CK649" s="40"/>
      <c r="CL649" s="5"/>
      <c r="CN649" s="40"/>
      <c r="CO649" s="5"/>
      <c r="CQ649" s="40"/>
      <c r="CR649" s="5"/>
    </row>
    <row r="650">
      <c r="AL650" s="40"/>
      <c r="AM650" s="5"/>
      <c r="AO650" s="40"/>
      <c r="AP650" s="5"/>
      <c r="AR650" s="40"/>
      <c r="AS650" s="5"/>
      <c r="AU650" s="40"/>
      <c r="AV650" s="5"/>
      <c r="AX650" s="40"/>
      <c r="AY650" s="5"/>
      <c r="BA650" s="40"/>
      <c r="BB650" s="5"/>
      <c r="BD650" s="40"/>
      <c r="BE650" s="5"/>
      <c r="BG650" s="40"/>
      <c r="BH650" s="5"/>
      <c r="BJ650" s="40"/>
      <c r="BK650" s="5"/>
      <c r="BM650" s="40"/>
      <c r="BN650" s="5"/>
      <c r="BP650" s="40"/>
      <c r="BQ650" s="5"/>
      <c r="BS650" s="40"/>
      <c r="BT650" s="5"/>
      <c r="BV650" s="40"/>
      <c r="BW650" s="5"/>
      <c r="BY650" s="40"/>
      <c r="BZ650" s="5"/>
      <c r="CB650" s="40"/>
      <c r="CC650" s="5"/>
      <c r="CE650" s="40"/>
      <c r="CF650" s="5"/>
      <c r="CH650" s="40"/>
      <c r="CI650" s="5"/>
      <c r="CK650" s="40"/>
      <c r="CL650" s="5"/>
      <c r="CN650" s="40"/>
      <c r="CO650" s="5"/>
      <c r="CQ650" s="40"/>
      <c r="CR650" s="5"/>
    </row>
    <row r="651">
      <c r="AL651" s="40"/>
      <c r="AM651" s="5"/>
      <c r="AO651" s="40"/>
      <c r="AP651" s="5"/>
      <c r="AR651" s="40"/>
      <c r="AS651" s="5"/>
      <c r="AU651" s="40"/>
      <c r="AV651" s="5"/>
      <c r="AX651" s="40"/>
      <c r="AY651" s="5"/>
      <c r="BA651" s="40"/>
      <c r="BB651" s="5"/>
      <c r="BD651" s="40"/>
      <c r="BE651" s="5"/>
      <c r="BG651" s="40"/>
      <c r="BH651" s="5"/>
      <c r="BJ651" s="40"/>
      <c r="BK651" s="5"/>
      <c r="BM651" s="40"/>
      <c r="BN651" s="5"/>
      <c r="BP651" s="40"/>
      <c r="BQ651" s="5"/>
      <c r="BS651" s="40"/>
      <c r="BT651" s="5"/>
      <c r="BV651" s="40"/>
      <c r="BW651" s="5"/>
      <c r="BY651" s="40"/>
      <c r="BZ651" s="5"/>
      <c r="CB651" s="40"/>
      <c r="CC651" s="5"/>
      <c r="CE651" s="40"/>
      <c r="CF651" s="5"/>
      <c r="CH651" s="40"/>
      <c r="CI651" s="5"/>
      <c r="CK651" s="40"/>
      <c r="CL651" s="5"/>
      <c r="CN651" s="40"/>
      <c r="CO651" s="5"/>
      <c r="CQ651" s="40"/>
      <c r="CR651" s="5"/>
    </row>
    <row r="652">
      <c r="AL652" s="40"/>
      <c r="AM652" s="5"/>
      <c r="AO652" s="40"/>
      <c r="AP652" s="5"/>
      <c r="AR652" s="40"/>
      <c r="AS652" s="5"/>
      <c r="AU652" s="40"/>
      <c r="AV652" s="5"/>
      <c r="AX652" s="40"/>
      <c r="AY652" s="5"/>
      <c r="BA652" s="40"/>
      <c r="BB652" s="5"/>
      <c r="BD652" s="40"/>
      <c r="BE652" s="5"/>
      <c r="BG652" s="40"/>
      <c r="BH652" s="5"/>
      <c r="BJ652" s="40"/>
      <c r="BK652" s="5"/>
      <c r="BM652" s="40"/>
      <c r="BN652" s="5"/>
      <c r="BP652" s="40"/>
      <c r="BQ652" s="5"/>
      <c r="BS652" s="40"/>
      <c r="BT652" s="5"/>
      <c r="BV652" s="40"/>
      <c r="BW652" s="5"/>
      <c r="BY652" s="40"/>
      <c r="BZ652" s="5"/>
      <c r="CB652" s="40"/>
      <c r="CC652" s="5"/>
      <c r="CE652" s="40"/>
      <c r="CF652" s="5"/>
      <c r="CH652" s="40"/>
      <c r="CI652" s="5"/>
      <c r="CK652" s="40"/>
      <c r="CL652" s="5"/>
      <c r="CN652" s="40"/>
      <c r="CO652" s="5"/>
      <c r="CQ652" s="40"/>
      <c r="CR652" s="5"/>
    </row>
    <row r="653">
      <c r="AL653" s="40"/>
      <c r="AM653" s="5"/>
      <c r="AO653" s="40"/>
      <c r="AP653" s="5"/>
      <c r="AR653" s="40"/>
      <c r="AS653" s="5"/>
      <c r="AU653" s="40"/>
      <c r="AV653" s="5"/>
      <c r="AX653" s="40"/>
      <c r="AY653" s="5"/>
      <c r="BA653" s="40"/>
      <c r="BB653" s="5"/>
      <c r="BD653" s="40"/>
      <c r="BE653" s="5"/>
      <c r="BG653" s="40"/>
      <c r="BH653" s="5"/>
      <c r="BJ653" s="40"/>
      <c r="BK653" s="5"/>
      <c r="BM653" s="40"/>
      <c r="BN653" s="5"/>
      <c r="BP653" s="40"/>
      <c r="BQ653" s="5"/>
      <c r="BS653" s="40"/>
      <c r="BT653" s="5"/>
      <c r="BV653" s="40"/>
      <c r="BW653" s="5"/>
      <c r="BY653" s="40"/>
      <c r="BZ653" s="5"/>
      <c r="CB653" s="40"/>
      <c r="CC653" s="5"/>
      <c r="CE653" s="40"/>
      <c r="CF653" s="5"/>
      <c r="CH653" s="40"/>
      <c r="CI653" s="5"/>
      <c r="CK653" s="40"/>
      <c r="CL653" s="5"/>
      <c r="CN653" s="40"/>
      <c r="CO653" s="5"/>
      <c r="CQ653" s="40"/>
      <c r="CR653" s="5"/>
    </row>
    <row r="654">
      <c r="AL654" s="40"/>
      <c r="AM654" s="5"/>
      <c r="AO654" s="40"/>
      <c r="AP654" s="5"/>
      <c r="AR654" s="40"/>
      <c r="AS654" s="5"/>
      <c r="AU654" s="40"/>
      <c r="AV654" s="5"/>
      <c r="AX654" s="40"/>
      <c r="AY654" s="5"/>
      <c r="BA654" s="40"/>
      <c r="BB654" s="5"/>
      <c r="BD654" s="40"/>
      <c r="BE654" s="5"/>
      <c r="BG654" s="40"/>
      <c r="BH654" s="5"/>
      <c r="BJ654" s="40"/>
      <c r="BK654" s="5"/>
      <c r="BM654" s="40"/>
      <c r="BN654" s="5"/>
      <c r="BP654" s="40"/>
      <c r="BQ654" s="5"/>
      <c r="BS654" s="40"/>
      <c r="BT654" s="5"/>
      <c r="BV654" s="40"/>
      <c r="BW654" s="5"/>
      <c r="BY654" s="40"/>
      <c r="BZ654" s="5"/>
      <c r="CB654" s="40"/>
      <c r="CC654" s="5"/>
      <c r="CE654" s="40"/>
      <c r="CF654" s="5"/>
      <c r="CH654" s="40"/>
      <c r="CI654" s="5"/>
      <c r="CK654" s="40"/>
      <c r="CL654" s="5"/>
      <c r="CN654" s="40"/>
      <c r="CO654" s="5"/>
      <c r="CQ654" s="40"/>
      <c r="CR654" s="5"/>
    </row>
    <row r="655">
      <c r="AL655" s="40"/>
      <c r="AM655" s="5"/>
      <c r="AO655" s="40"/>
      <c r="AP655" s="5"/>
      <c r="AR655" s="40"/>
      <c r="AS655" s="5"/>
      <c r="AU655" s="40"/>
      <c r="AV655" s="5"/>
      <c r="AX655" s="40"/>
      <c r="AY655" s="5"/>
      <c r="BA655" s="40"/>
      <c r="BB655" s="5"/>
      <c r="BD655" s="40"/>
      <c r="BE655" s="5"/>
      <c r="BG655" s="40"/>
      <c r="BH655" s="5"/>
      <c r="BJ655" s="40"/>
      <c r="BK655" s="5"/>
      <c r="BM655" s="40"/>
      <c r="BN655" s="5"/>
      <c r="BP655" s="40"/>
      <c r="BQ655" s="5"/>
      <c r="BS655" s="40"/>
      <c r="BT655" s="5"/>
      <c r="BV655" s="40"/>
      <c r="BW655" s="5"/>
      <c r="BY655" s="40"/>
      <c r="BZ655" s="5"/>
      <c r="CB655" s="40"/>
      <c r="CC655" s="5"/>
      <c r="CE655" s="40"/>
      <c r="CF655" s="5"/>
      <c r="CH655" s="40"/>
      <c r="CI655" s="5"/>
      <c r="CK655" s="40"/>
      <c r="CL655" s="5"/>
      <c r="CN655" s="40"/>
      <c r="CO655" s="5"/>
      <c r="CQ655" s="40"/>
      <c r="CR655" s="5"/>
    </row>
    <row r="656">
      <c r="AL656" s="40"/>
      <c r="AM656" s="5"/>
      <c r="AO656" s="40"/>
      <c r="AP656" s="5"/>
      <c r="AR656" s="40"/>
      <c r="AS656" s="5"/>
      <c r="AU656" s="40"/>
      <c r="AV656" s="5"/>
      <c r="AX656" s="40"/>
      <c r="AY656" s="5"/>
      <c r="BA656" s="40"/>
      <c r="BB656" s="5"/>
      <c r="BD656" s="40"/>
      <c r="BE656" s="5"/>
      <c r="BG656" s="40"/>
      <c r="BH656" s="5"/>
      <c r="BJ656" s="40"/>
      <c r="BK656" s="5"/>
      <c r="BM656" s="40"/>
      <c r="BN656" s="5"/>
      <c r="BP656" s="40"/>
      <c r="BQ656" s="5"/>
      <c r="BS656" s="40"/>
      <c r="BT656" s="5"/>
      <c r="BV656" s="40"/>
      <c r="BW656" s="5"/>
      <c r="BY656" s="40"/>
      <c r="BZ656" s="5"/>
      <c r="CB656" s="40"/>
      <c r="CC656" s="5"/>
      <c r="CE656" s="40"/>
      <c r="CF656" s="5"/>
      <c r="CH656" s="40"/>
      <c r="CI656" s="5"/>
      <c r="CK656" s="40"/>
      <c r="CL656" s="5"/>
      <c r="CN656" s="40"/>
      <c r="CO656" s="5"/>
      <c r="CQ656" s="40"/>
      <c r="CR656" s="5"/>
    </row>
    <row r="657">
      <c r="AL657" s="40"/>
      <c r="AM657" s="5"/>
      <c r="AO657" s="40"/>
      <c r="AP657" s="5"/>
      <c r="AR657" s="40"/>
      <c r="AS657" s="5"/>
      <c r="AU657" s="40"/>
      <c r="AV657" s="5"/>
      <c r="AX657" s="40"/>
      <c r="AY657" s="5"/>
      <c r="BA657" s="40"/>
      <c r="BB657" s="5"/>
      <c r="BD657" s="40"/>
      <c r="BE657" s="5"/>
      <c r="BG657" s="40"/>
      <c r="BH657" s="5"/>
      <c r="BJ657" s="40"/>
      <c r="BK657" s="5"/>
      <c r="BM657" s="40"/>
      <c r="BN657" s="5"/>
      <c r="BP657" s="40"/>
      <c r="BQ657" s="5"/>
      <c r="BS657" s="40"/>
      <c r="BT657" s="5"/>
      <c r="BV657" s="40"/>
      <c r="BW657" s="5"/>
      <c r="BY657" s="40"/>
      <c r="BZ657" s="5"/>
      <c r="CB657" s="40"/>
      <c r="CC657" s="5"/>
      <c r="CE657" s="40"/>
      <c r="CF657" s="5"/>
      <c r="CH657" s="40"/>
      <c r="CI657" s="5"/>
      <c r="CK657" s="40"/>
      <c r="CL657" s="5"/>
      <c r="CN657" s="40"/>
      <c r="CO657" s="5"/>
      <c r="CQ657" s="40"/>
      <c r="CR657" s="5"/>
    </row>
    <row r="658">
      <c r="AL658" s="40"/>
      <c r="AM658" s="5"/>
      <c r="AO658" s="40"/>
      <c r="AP658" s="5"/>
      <c r="AR658" s="40"/>
      <c r="AS658" s="5"/>
      <c r="AU658" s="40"/>
      <c r="AV658" s="5"/>
      <c r="AX658" s="40"/>
      <c r="AY658" s="5"/>
      <c r="BA658" s="40"/>
      <c r="BB658" s="5"/>
      <c r="BD658" s="40"/>
      <c r="BE658" s="5"/>
      <c r="BG658" s="40"/>
      <c r="BH658" s="5"/>
      <c r="BJ658" s="40"/>
      <c r="BK658" s="5"/>
      <c r="BM658" s="40"/>
      <c r="BN658" s="5"/>
      <c r="BP658" s="40"/>
      <c r="BQ658" s="5"/>
      <c r="BS658" s="40"/>
      <c r="BT658" s="5"/>
      <c r="BV658" s="40"/>
      <c r="BW658" s="5"/>
      <c r="BY658" s="40"/>
      <c r="BZ658" s="5"/>
      <c r="CB658" s="40"/>
      <c r="CC658" s="5"/>
      <c r="CE658" s="40"/>
      <c r="CF658" s="5"/>
      <c r="CH658" s="40"/>
      <c r="CI658" s="5"/>
      <c r="CK658" s="40"/>
      <c r="CL658" s="5"/>
      <c r="CN658" s="40"/>
      <c r="CO658" s="5"/>
      <c r="CQ658" s="40"/>
      <c r="CR658" s="5"/>
    </row>
    <row r="659">
      <c r="AL659" s="40"/>
      <c r="AM659" s="5"/>
      <c r="AO659" s="40"/>
      <c r="AP659" s="5"/>
      <c r="AR659" s="40"/>
      <c r="AS659" s="5"/>
      <c r="AU659" s="40"/>
      <c r="AV659" s="5"/>
      <c r="AX659" s="40"/>
      <c r="AY659" s="5"/>
      <c r="BA659" s="40"/>
      <c r="BB659" s="5"/>
      <c r="BD659" s="40"/>
      <c r="BE659" s="5"/>
      <c r="BG659" s="40"/>
      <c r="BH659" s="5"/>
      <c r="BJ659" s="40"/>
      <c r="BK659" s="5"/>
      <c r="BM659" s="40"/>
      <c r="BN659" s="5"/>
      <c r="BP659" s="40"/>
      <c r="BQ659" s="5"/>
      <c r="BS659" s="40"/>
      <c r="BT659" s="5"/>
      <c r="BV659" s="40"/>
      <c r="BW659" s="5"/>
      <c r="BY659" s="40"/>
      <c r="BZ659" s="5"/>
      <c r="CB659" s="40"/>
      <c r="CC659" s="5"/>
      <c r="CE659" s="40"/>
      <c r="CF659" s="5"/>
      <c r="CH659" s="40"/>
      <c r="CI659" s="5"/>
      <c r="CK659" s="40"/>
      <c r="CL659" s="5"/>
      <c r="CN659" s="40"/>
      <c r="CO659" s="5"/>
      <c r="CQ659" s="40"/>
      <c r="CR659" s="5"/>
    </row>
    <row r="660">
      <c r="AL660" s="40"/>
      <c r="AM660" s="5"/>
      <c r="AO660" s="40"/>
      <c r="AP660" s="5"/>
      <c r="AR660" s="40"/>
      <c r="AS660" s="5"/>
      <c r="AU660" s="40"/>
      <c r="AV660" s="5"/>
      <c r="AX660" s="40"/>
      <c r="AY660" s="5"/>
      <c r="BA660" s="40"/>
      <c r="BB660" s="5"/>
      <c r="BD660" s="40"/>
      <c r="BE660" s="5"/>
      <c r="BG660" s="40"/>
      <c r="BH660" s="5"/>
      <c r="BJ660" s="40"/>
      <c r="BK660" s="5"/>
      <c r="BM660" s="40"/>
      <c r="BN660" s="5"/>
      <c r="BP660" s="40"/>
      <c r="BQ660" s="5"/>
      <c r="BS660" s="40"/>
      <c r="BT660" s="5"/>
      <c r="BV660" s="40"/>
      <c r="BW660" s="5"/>
      <c r="BY660" s="40"/>
      <c r="BZ660" s="5"/>
      <c r="CB660" s="40"/>
      <c r="CC660" s="5"/>
      <c r="CE660" s="40"/>
      <c r="CF660" s="5"/>
      <c r="CH660" s="40"/>
      <c r="CI660" s="5"/>
      <c r="CK660" s="40"/>
      <c r="CL660" s="5"/>
      <c r="CN660" s="40"/>
      <c r="CO660" s="5"/>
      <c r="CQ660" s="40"/>
      <c r="CR660" s="5"/>
    </row>
    <row r="661">
      <c r="AL661" s="40"/>
      <c r="AM661" s="5"/>
      <c r="AO661" s="40"/>
      <c r="AP661" s="5"/>
      <c r="AR661" s="40"/>
      <c r="AS661" s="5"/>
      <c r="AU661" s="40"/>
      <c r="AV661" s="5"/>
      <c r="AX661" s="40"/>
      <c r="AY661" s="5"/>
      <c r="BA661" s="40"/>
      <c r="BB661" s="5"/>
      <c r="BD661" s="40"/>
      <c r="BE661" s="5"/>
      <c r="BG661" s="40"/>
      <c r="BH661" s="5"/>
      <c r="BJ661" s="40"/>
      <c r="BK661" s="5"/>
      <c r="BM661" s="40"/>
      <c r="BN661" s="5"/>
      <c r="BP661" s="40"/>
      <c r="BQ661" s="5"/>
      <c r="BS661" s="40"/>
      <c r="BT661" s="5"/>
      <c r="BV661" s="40"/>
      <c r="BW661" s="5"/>
      <c r="BY661" s="40"/>
      <c r="BZ661" s="5"/>
      <c r="CB661" s="40"/>
      <c r="CC661" s="5"/>
      <c r="CE661" s="40"/>
      <c r="CF661" s="5"/>
      <c r="CH661" s="40"/>
      <c r="CI661" s="5"/>
      <c r="CK661" s="40"/>
      <c r="CL661" s="5"/>
      <c r="CN661" s="40"/>
      <c r="CO661" s="5"/>
      <c r="CQ661" s="40"/>
      <c r="CR661" s="5"/>
    </row>
    <row r="662">
      <c r="AL662" s="40"/>
      <c r="AM662" s="5"/>
      <c r="AO662" s="40"/>
      <c r="AP662" s="5"/>
      <c r="AR662" s="40"/>
      <c r="AS662" s="5"/>
      <c r="AU662" s="40"/>
      <c r="AV662" s="5"/>
      <c r="AX662" s="40"/>
      <c r="AY662" s="5"/>
      <c r="BA662" s="40"/>
      <c r="BB662" s="5"/>
      <c r="BD662" s="40"/>
      <c r="BE662" s="5"/>
      <c r="BG662" s="40"/>
      <c r="BH662" s="5"/>
      <c r="BJ662" s="40"/>
      <c r="BK662" s="5"/>
      <c r="BM662" s="40"/>
      <c r="BN662" s="5"/>
      <c r="BP662" s="40"/>
      <c r="BQ662" s="5"/>
      <c r="BS662" s="40"/>
      <c r="BT662" s="5"/>
      <c r="BV662" s="40"/>
      <c r="BW662" s="5"/>
      <c r="BY662" s="40"/>
      <c r="BZ662" s="5"/>
      <c r="CB662" s="40"/>
      <c r="CC662" s="5"/>
      <c r="CE662" s="40"/>
      <c r="CF662" s="5"/>
      <c r="CH662" s="40"/>
      <c r="CI662" s="5"/>
      <c r="CK662" s="40"/>
      <c r="CL662" s="5"/>
      <c r="CN662" s="40"/>
      <c r="CO662" s="5"/>
      <c r="CQ662" s="40"/>
      <c r="CR662" s="5"/>
    </row>
    <row r="663">
      <c r="AL663" s="40"/>
      <c r="AM663" s="5"/>
      <c r="AO663" s="40"/>
      <c r="AP663" s="5"/>
      <c r="AR663" s="40"/>
      <c r="AS663" s="5"/>
      <c r="AU663" s="40"/>
      <c r="AV663" s="5"/>
      <c r="AX663" s="40"/>
      <c r="AY663" s="5"/>
      <c r="BA663" s="40"/>
      <c r="BB663" s="5"/>
      <c r="BD663" s="40"/>
      <c r="BE663" s="5"/>
      <c r="BG663" s="40"/>
      <c r="BH663" s="5"/>
      <c r="BJ663" s="40"/>
      <c r="BK663" s="5"/>
      <c r="BM663" s="40"/>
      <c r="BN663" s="5"/>
      <c r="BP663" s="40"/>
      <c r="BQ663" s="5"/>
      <c r="BS663" s="40"/>
      <c r="BT663" s="5"/>
      <c r="BV663" s="40"/>
      <c r="BW663" s="5"/>
      <c r="BY663" s="40"/>
      <c r="BZ663" s="5"/>
      <c r="CB663" s="40"/>
      <c r="CC663" s="5"/>
      <c r="CE663" s="40"/>
      <c r="CF663" s="5"/>
      <c r="CH663" s="40"/>
      <c r="CI663" s="5"/>
      <c r="CK663" s="40"/>
      <c r="CL663" s="5"/>
      <c r="CN663" s="40"/>
      <c r="CO663" s="5"/>
      <c r="CQ663" s="40"/>
      <c r="CR663" s="5"/>
    </row>
    <row r="664">
      <c r="AL664" s="40"/>
      <c r="AM664" s="5"/>
      <c r="AO664" s="40"/>
      <c r="AP664" s="5"/>
      <c r="AR664" s="40"/>
      <c r="AS664" s="5"/>
      <c r="AU664" s="40"/>
      <c r="AV664" s="5"/>
      <c r="AX664" s="40"/>
      <c r="AY664" s="5"/>
      <c r="BA664" s="40"/>
      <c r="BB664" s="5"/>
      <c r="BD664" s="40"/>
      <c r="BE664" s="5"/>
      <c r="BG664" s="40"/>
      <c r="BH664" s="5"/>
      <c r="BJ664" s="40"/>
      <c r="BK664" s="5"/>
      <c r="BM664" s="40"/>
      <c r="BN664" s="5"/>
      <c r="BP664" s="40"/>
      <c r="BQ664" s="5"/>
      <c r="BS664" s="40"/>
      <c r="BT664" s="5"/>
      <c r="BV664" s="40"/>
      <c r="BW664" s="5"/>
      <c r="BY664" s="40"/>
      <c r="BZ664" s="5"/>
      <c r="CB664" s="40"/>
      <c r="CC664" s="5"/>
      <c r="CE664" s="40"/>
      <c r="CF664" s="5"/>
      <c r="CH664" s="40"/>
      <c r="CI664" s="5"/>
      <c r="CK664" s="40"/>
      <c r="CL664" s="5"/>
      <c r="CN664" s="40"/>
      <c r="CO664" s="5"/>
      <c r="CQ664" s="40"/>
      <c r="CR664" s="5"/>
    </row>
    <row r="665">
      <c r="AL665" s="40"/>
      <c r="AM665" s="5"/>
      <c r="AO665" s="40"/>
      <c r="AP665" s="5"/>
      <c r="AR665" s="40"/>
      <c r="AS665" s="5"/>
      <c r="AU665" s="40"/>
      <c r="AV665" s="5"/>
      <c r="AX665" s="40"/>
      <c r="AY665" s="5"/>
      <c r="BA665" s="40"/>
      <c r="BB665" s="5"/>
      <c r="BD665" s="40"/>
      <c r="BE665" s="5"/>
      <c r="BG665" s="40"/>
      <c r="BH665" s="5"/>
      <c r="BJ665" s="40"/>
      <c r="BK665" s="5"/>
      <c r="BM665" s="40"/>
      <c r="BN665" s="5"/>
      <c r="BP665" s="40"/>
      <c r="BQ665" s="5"/>
      <c r="BS665" s="40"/>
      <c r="BT665" s="5"/>
      <c r="BV665" s="40"/>
      <c r="BW665" s="5"/>
      <c r="BY665" s="40"/>
      <c r="BZ665" s="5"/>
      <c r="CB665" s="40"/>
      <c r="CC665" s="5"/>
      <c r="CE665" s="40"/>
      <c r="CF665" s="5"/>
      <c r="CH665" s="40"/>
      <c r="CI665" s="5"/>
      <c r="CK665" s="40"/>
      <c r="CL665" s="5"/>
      <c r="CN665" s="40"/>
      <c r="CO665" s="5"/>
      <c r="CQ665" s="40"/>
      <c r="CR665" s="5"/>
    </row>
    <row r="666">
      <c r="AL666" s="40"/>
      <c r="AM666" s="5"/>
      <c r="AO666" s="40"/>
      <c r="AP666" s="5"/>
      <c r="AR666" s="40"/>
      <c r="AS666" s="5"/>
      <c r="AU666" s="40"/>
      <c r="AV666" s="5"/>
      <c r="AX666" s="40"/>
      <c r="AY666" s="5"/>
      <c r="BA666" s="40"/>
      <c r="BB666" s="5"/>
      <c r="BD666" s="40"/>
      <c r="BE666" s="5"/>
      <c r="BG666" s="40"/>
      <c r="BH666" s="5"/>
      <c r="BJ666" s="40"/>
      <c r="BK666" s="5"/>
      <c r="BM666" s="40"/>
      <c r="BN666" s="5"/>
      <c r="BP666" s="40"/>
      <c r="BQ666" s="5"/>
      <c r="BS666" s="40"/>
      <c r="BT666" s="5"/>
      <c r="BV666" s="40"/>
      <c r="BW666" s="5"/>
      <c r="BY666" s="40"/>
      <c r="BZ666" s="5"/>
      <c r="CB666" s="40"/>
      <c r="CC666" s="5"/>
      <c r="CE666" s="40"/>
      <c r="CF666" s="5"/>
      <c r="CH666" s="40"/>
      <c r="CI666" s="5"/>
      <c r="CK666" s="40"/>
      <c r="CL666" s="5"/>
      <c r="CN666" s="40"/>
      <c r="CO666" s="5"/>
      <c r="CQ666" s="40"/>
      <c r="CR666" s="5"/>
    </row>
    <row r="667">
      <c r="AL667" s="40"/>
      <c r="AM667" s="5"/>
      <c r="AO667" s="40"/>
      <c r="AP667" s="5"/>
      <c r="AR667" s="40"/>
      <c r="AS667" s="5"/>
      <c r="AU667" s="40"/>
      <c r="AV667" s="5"/>
      <c r="AX667" s="40"/>
      <c r="AY667" s="5"/>
      <c r="BA667" s="40"/>
      <c r="BB667" s="5"/>
      <c r="BD667" s="40"/>
      <c r="BE667" s="5"/>
      <c r="BG667" s="40"/>
      <c r="BH667" s="5"/>
      <c r="BJ667" s="40"/>
      <c r="BK667" s="5"/>
      <c r="BM667" s="40"/>
      <c r="BN667" s="5"/>
      <c r="BP667" s="40"/>
      <c r="BQ667" s="5"/>
      <c r="BS667" s="40"/>
      <c r="BT667" s="5"/>
      <c r="BV667" s="40"/>
      <c r="BW667" s="5"/>
      <c r="BY667" s="40"/>
      <c r="BZ667" s="5"/>
      <c r="CB667" s="40"/>
      <c r="CC667" s="5"/>
      <c r="CE667" s="40"/>
      <c r="CF667" s="5"/>
      <c r="CH667" s="40"/>
      <c r="CI667" s="5"/>
      <c r="CK667" s="40"/>
      <c r="CL667" s="5"/>
      <c r="CN667" s="40"/>
      <c r="CO667" s="5"/>
      <c r="CQ667" s="40"/>
      <c r="CR667" s="5"/>
    </row>
    <row r="668">
      <c r="AL668" s="40"/>
      <c r="AM668" s="5"/>
      <c r="AO668" s="40"/>
      <c r="AP668" s="5"/>
      <c r="AR668" s="40"/>
      <c r="AS668" s="5"/>
      <c r="AU668" s="40"/>
      <c r="AV668" s="5"/>
      <c r="AX668" s="40"/>
      <c r="AY668" s="5"/>
      <c r="BA668" s="40"/>
      <c r="BB668" s="5"/>
      <c r="BD668" s="40"/>
      <c r="BE668" s="5"/>
      <c r="BG668" s="40"/>
      <c r="BH668" s="5"/>
      <c r="BJ668" s="40"/>
      <c r="BK668" s="5"/>
      <c r="BM668" s="40"/>
      <c r="BN668" s="5"/>
      <c r="BP668" s="40"/>
      <c r="BQ668" s="5"/>
      <c r="BS668" s="40"/>
      <c r="BT668" s="5"/>
      <c r="BV668" s="40"/>
      <c r="BW668" s="5"/>
      <c r="BY668" s="40"/>
      <c r="BZ668" s="5"/>
      <c r="CB668" s="40"/>
      <c r="CC668" s="5"/>
      <c r="CE668" s="40"/>
      <c r="CF668" s="5"/>
      <c r="CH668" s="40"/>
      <c r="CI668" s="5"/>
      <c r="CK668" s="40"/>
      <c r="CL668" s="5"/>
      <c r="CN668" s="40"/>
      <c r="CO668" s="5"/>
      <c r="CQ668" s="40"/>
      <c r="CR668" s="5"/>
    </row>
    <row r="669">
      <c r="AL669" s="40"/>
      <c r="AM669" s="5"/>
      <c r="AO669" s="40"/>
      <c r="AP669" s="5"/>
      <c r="AR669" s="40"/>
      <c r="AS669" s="5"/>
      <c r="AU669" s="40"/>
      <c r="AV669" s="5"/>
      <c r="AX669" s="40"/>
      <c r="AY669" s="5"/>
      <c r="BA669" s="40"/>
      <c r="BB669" s="5"/>
      <c r="BD669" s="40"/>
      <c r="BE669" s="5"/>
      <c r="BG669" s="40"/>
      <c r="BH669" s="5"/>
      <c r="BJ669" s="40"/>
      <c r="BK669" s="5"/>
      <c r="BM669" s="40"/>
      <c r="BN669" s="5"/>
      <c r="BP669" s="40"/>
      <c r="BQ669" s="5"/>
      <c r="BS669" s="40"/>
      <c r="BT669" s="5"/>
      <c r="BV669" s="40"/>
      <c r="BW669" s="5"/>
      <c r="BY669" s="40"/>
      <c r="BZ669" s="5"/>
      <c r="CB669" s="40"/>
      <c r="CC669" s="5"/>
      <c r="CE669" s="40"/>
      <c r="CF669" s="5"/>
      <c r="CH669" s="40"/>
      <c r="CI669" s="5"/>
      <c r="CK669" s="40"/>
      <c r="CL669" s="5"/>
      <c r="CN669" s="40"/>
      <c r="CO669" s="5"/>
      <c r="CQ669" s="40"/>
      <c r="CR669" s="5"/>
    </row>
    <row r="670">
      <c r="AL670" s="40"/>
      <c r="AM670" s="5"/>
      <c r="AO670" s="40"/>
      <c r="AP670" s="5"/>
      <c r="AR670" s="40"/>
      <c r="AS670" s="5"/>
      <c r="AU670" s="40"/>
      <c r="AV670" s="5"/>
      <c r="AX670" s="40"/>
      <c r="AY670" s="5"/>
      <c r="BA670" s="40"/>
      <c r="BB670" s="5"/>
      <c r="BD670" s="40"/>
      <c r="BE670" s="5"/>
      <c r="BG670" s="40"/>
      <c r="BH670" s="5"/>
      <c r="BJ670" s="40"/>
      <c r="BK670" s="5"/>
      <c r="BM670" s="40"/>
      <c r="BN670" s="5"/>
      <c r="BP670" s="40"/>
      <c r="BQ670" s="5"/>
      <c r="BS670" s="40"/>
      <c r="BT670" s="5"/>
      <c r="BV670" s="40"/>
      <c r="BW670" s="5"/>
      <c r="BY670" s="40"/>
      <c r="BZ670" s="5"/>
      <c r="CB670" s="40"/>
      <c r="CC670" s="5"/>
      <c r="CE670" s="40"/>
      <c r="CF670" s="5"/>
      <c r="CH670" s="40"/>
      <c r="CI670" s="5"/>
      <c r="CK670" s="40"/>
      <c r="CL670" s="5"/>
      <c r="CN670" s="40"/>
      <c r="CO670" s="5"/>
      <c r="CQ670" s="40"/>
      <c r="CR670" s="5"/>
    </row>
    <row r="671">
      <c r="AL671" s="40"/>
      <c r="AM671" s="5"/>
      <c r="AO671" s="40"/>
      <c r="AP671" s="5"/>
      <c r="AR671" s="40"/>
      <c r="AS671" s="5"/>
      <c r="AU671" s="40"/>
      <c r="AV671" s="5"/>
      <c r="AX671" s="40"/>
      <c r="AY671" s="5"/>
      <c r="BA671" s="40"/>
      <c r="BB671" s="5"/>
      <c r="BD671" s="40"/>
      <c r="BE671" s="5"/>
      <c r="BG671" s="40"/>
      <c r="BH671" s="5"/>
      <c r="BJ671" s="40"/>
      <c r="BK671" s="5"/>
      <c r="BM671" s="40"/>
      <c r="BN671" s="5"/>
      <c r="BP671" s="40"/>
      <c r="BQ671" s="5"/>
      <c r="BS671" s="40"/>
      <c r="BT671" s="5"/>
      <c r="BV671" s="40"/>
      <c r="BW671" s="5"/>
      <c r="BY671" s="40"/>
      <c r="BZ671" s="5"/>
      <c r="CB671" s="40"/>
      <c r="CC671" s="5"/>
      <c r="CE671" s="40"/>
      <c r="CF671" s="5"/>
      <c r="CH671" s="40"/>
      <c r="CI671" s="5"/>
      <c r="CK671" s="40"/>
      <c r="CL671" s="5"/>
      <c r="CN671" s="40"/>
      <c r="CO671" s="5"/>
      <c r="CQ671" s="40"/>
      <c r="CR671" s="5"/>
    </row>
    <row r="672">
      <c r="AL672" s="40"/>
      <c r="AM672" s="5"/>
      <c r="AO672" s="40"/>
      <c r="AP672" s="5"/>
      <c r="AR672" s="40"/>
      <c r="AS672" s="5"/>
      <c r="AU672" s="40"/>
      <c r="AV672" s="5"/>
      <c r="AX672" s="40"/>
      <c r="AY672" s="5"/>
      <c r="BA672" s="40"/>
      <c r="BB672" s="5"/>
      <c r="BD672" s="40"/>
      <c r="BE672" s="5"/>
      <c r="BG672" s="40"/>
      <c r="BH672" s="5"/>
      <c r="BJ672" s="40"/>
      <c r="BK672" s="5"/>
      <c r="BM672" s="40"/>
      <c r="BN672" s="5"/>
      <c r="BP672" s="40"/>
      <c r="BQ672" s="5"/>
      <c r="BS672" s="40"/>
      <c r="BT672" s="5"/>
      <c r="BV672" s="40"/>
      <c r="BW672" s="5"/>
      <c r="BY672" s="40"/>
      <c r="BZ672" s="5"/>
      <c r="CB672" s="40"/>
      <c r="CC672" s="5"/>
      <c r="CE672" s="40"/>
      <c r="CF672" s="5"/>
      <c r="CH672" s="40"/>
      <c r="CI672" s="5"/>
      <c r="CK672" s="40"/>
      <c r="CL672" s="5"/>
      <c r="CN672" s="40"/>
      <c r="CO672" s="5"/>
      <c r="CQ672" s="40"/>
      <c r="CR672" s="5"/>
    </row>
    <row r="673">
      <c r="AL673" s="40"/>
      <c r="AM673" s="5"/>
      <c r="AO673" s="40"/>
      <c r="AP673" s="5"/>
      <c r="AR673" s="40"/>
      <c r="AS673" s="5"/>
      <c r="AU673" s="40"/>
      <c r="AV673" s="5"/>
      <c r="AX673" s="40"/>
      <c r="AY673" s="5"/>
      <c r="BA673" s="40"/>
      <c r="BB673" s="5"/>
      <c r="BD673" s="40"/>
      <c r="BE673" s="5"/>
      <c r="BG673" s="40"/>
      <c r="BH673" s="5"/>
      <c r="BJ673" s="40"/>
      <c r="BK673" s="5"/>
      <c r="BM673" s="40"/>
      <c r="BN673" s="5"/>
      <c r="BP673" s="40"/>
      <c r="BQ673" s="5"/>
      <c r="BS673" s="40"/>
      <c r="BT673" s="5"/>
      <c r="BV673" s="40"/>
      <c r="BW673" s="5"/>
      <c r="BY673" s="40"/>
      <c r="BZ673" s="5"/>
      <c r="CB673" s="40"/>
      <c r="CC673" s="5"/>
      <c r="CE673" s="40"/>
      <c r="CF673" s="5"/>
      <c r="CH673" s="40"/>
      <c r="CI673" s="5"/>
      <c r="CK673" s="40"/>
      <c r="CL673" s="5"/>
      <c r="CN673" s="40"/>
      <c r="CO673" s="5"/>
      <c r="CQ673" s="40"/>
      <c r="CR673" s="5"/>
    </row>
    <row r="674">
      <c r="AL674" s="40"/>
      <c r="AM674" s="5"/>
      <c r="AO674" s="40"/>
      <c r="AP674" s="5"/>
      <c r="AR674" s="40"/>
      <c r="AS674" s="5"/>
      <c r="AU674" s="40"/>
      <c r="AV674" s="5"/>
      <c r="AX674" s="40"/>
      <c r="AY674" s="5"/>
      <c r="BA674" s="40"/>
      <c r="BB674" s="5"/>
      <c r="BD674" s="40"/>
      <c r="BE674" s="5"/>
      <c r="BG674" s="40"/>
      <c r="BH674" s="5"/>
      <c r="BJ674" s="40"/>
      <c r="BK674" s="5"/>
      <c r="BM674" s="40"/>
      <c r="BN674" s="5"/>
      <c r="BP674" s="40"/>
      <c r="BQ674" s="5"/>
      <c r="BS674" s="40"/>
      <c r="BT674" s="5"/>
      <c r="BV674" s="40"/>
      <c r="BW674" s="5"/>
      <c r="BY674" s="40"/>
      <c r="BZ674" s="5"/>
      <c r="CB674" s="40"/>
      <c r="CC674" s="5"/>
      <c r="CE674" s="40"/>
      <c r="CF674" s="5"/>
      <c r="CH674" s="40"/>
      <c r="CI674" s="5"/>
      <c r="CK674" s="40"/>
      <c r="CL674" s="5"/>
      <c r="CN674" s="40"/>
      <c r="CO674" s="5"/>
      <c r="CQ674" s="40"/>
      <c r="CR674" s="5"/>
    </row>
    <row r="675">
      <c r="AL675" s="40"/>
      <c r="AM675" s="5"/>
      <c r="AO675" s="40"/>
      <c r="AP675" s="5"/>
      <c r="AR675" s="40"/>
      <c r="AS675" s="5"/>
      <c r="AU675" s="40"/>
      <c r="AV675" s="5"/>
      <c r="AX675" s="40"/>
      <c r="AY675" s="5"/>
      <c r="BA675" s="40"/>
      <c r="BB675" s="5"/>
      <c r="BD675" s="40"/>
      <c r="BE675" s="5"/>
      <c r="BG675" s="40"/>
      <c r="BH675" s="5"/>
      <c r="BJ675" s="40"/>
      <c r="BK675" s="5"/>
      <c r="BM675" s="40"/>
      <c r="BN675" s="5"/>
      <c r="BP675" s="40"/>
      <c r="BQ675" s="5"/>
      <c r="BS675" s="40"/>
      <c r="BT675" s="5"/>
      <c r="BV675" s="40"/>
      <c r="BW675" s="5"/>
      <c r="BY675" s="40"/>
      <c r="BZ675" s="5"/>
      <c r="CB675" s="40"/>
      <c r="CC675" s="5"/>
      <c r="CE675" s="40"/>
      <c r="CF675" s="5"/>
      <c r="CH675" s="40"/>
      <c r="CI675" s="5"/>
      <c r="CK675" s="40"/>
      <c r="CL675" s="5"/>
      <c r="CN675" s="40"/>
      <c r="CO675" s="5"/>
      <c r="CQ675" s="40"/>
      <c r="CR675" s="5"/>
    </row>
    <row r="676">
      <c r="AL676" s="40"/>
      <c r="AM676" s="5"/>
      <c r="AO676" s="40"/>
      <c r="AP676" s="5"/>
      <c r="AR676" s="40"/>
      <c r="AS676" s="5"/>
      <c r="AU676" s="40"/>
      <c r="AV676" s="5"/>
      <c r="AX676" s="40"/>
      <c r="AY676" s="5"/>
      <c r="BA676" s="40"/>
      <c r="BB676" s="5"/>
      <c r="BD676" s="40"/>
      <c r="BE676" s="5"/>
      <c r="BG676" s="40"/>
      <c r="BH676" s="5"/>
      <c r="BJ676" s="40"/>
      <c r="BK676" s="5"/>
      <c r="BM676" s="40"/>
      <c r="BN676" s="5"/>
      <c r="BP676" s="40"/>
      <c r="BQ676" s="5"/>
      <c r="BS676" s="40"/>
      <c r="BT676" s="5"/>
      <c r="BV676" s="40"/>
      <c r="BW676" s="5"/>
      <c r="BY676" s="40"/>
      <c r="BZ676" s="5"/>
      <c r="CB676" s="40"/>
      <c r="CC676" s="5"/>
      <c r="CE676" s="40"/>
      <c r="CF676" s="5"/>
      <c r="CH676" s="40"/>
      <c r="CI676" s="5"/>
      <c r="CK676" s="40"/>
      <c r="CL676" s="5"/>
      <c r="CN676" s="40"/>
      <c r="CO676" s="5"/>
      <c r="CQ676" s="40"/>
      <c r="CR676" s="5"/>
    </row>
    <row r="677">
      <c r="AL677" s="40"/>
      <c r="AM677" s="5"/>
      <c r="AO677" s="40"/>
      <c r="AP677" s="5"/>
      <c r="AR677" s="40"/>
      <c r="AS677" s="5"/>
      <c r="AU677" s="40"/>
      <c r="AV677" s="5"/>
      <c r="AX677" s="40"/>
      <c r="AY677" s="5"/>
      <c r="BA677" s="40"/>
      <c r="BB677" s="5"/>
      <c r="BD677" s="40"/>
      <c r="BE677" s="5"/>
      <c r="BG677" s="40"/>
      <c r="BH677" s="5"/>
      <c r="BJ677" s="40"/>
      <c r="BK677" s="5"/>
      <c r="BM677" s="40"/>
      <c r="BN677" s="5"/>
      <c r="BP677" s="40"/>
      <c r="BQ677" s="5"/>
      <c r="BS677" s="40"/>
      <c r="BT677" s="5"/>
      <c r="BV677" s="40"/>
      <c r="BW677" s="5"/>
      <c r="BY677" s="40"/>
      <c r="BZ677" s="5"/>
      <c r="CB677" s="40"/>
      <c r="CC677" s="5"/>
      <c r="CE677" s="40"/>
      <c r="CF677" s="5"/>
      <c r="CH677" s="40"/>
      <c r="CI677" s="5"/>
      <c r="CK677" s="40"/>
      <c r="CL677" s="5"/>
      <c r="CN677" s="40"/>
      <c r="CO677" s="5"/>
      <c r="CQ677" s="40"/>
      <c r="CR677" s="5"/>
    </row>
    <row r="678">
      <c r="AL678" s="40"/>
      <c r="AM678" s="5"/>
      <c r="AO678" s="40"/>
      <c r="AP678" s="5"/>
      <c r="AR678" s="40"/>
      <c r="AS678" s="5"/>
      <c r="AU678" s="40"/>
      <c r="AV678" s="5"/>
      <c r="AX678" s="40"/>
      <c r="AY678" s="5"/>
      <c r="BA678" s="40"/>
      <c r="BB678" s="5"/>
      <c r="BD678" s="40"/>
      <c r="BE678" s="5"/>
      <c r="BG678" s="40"/>
      <c r="BH678" s="5"/>
      <c r="BJ678" s="40"/>
      <c r="BK678" s="5"/>
      <c r="BM678" s="40"/>
      <c r="BN678" s="5"/>
      <c r="BP678" s="40"/>
      <c r="BQ678" s="5"/>
      <c r="BS678" s="40"/>
      <c r="BT678" s="5"/>
      <c r="BV678" s="40"/>
      <c r="BW678" s="5"/>
      <c r="BY678" s="40"/>
      <c r="BZ678" s="5"/>
      <c r="CB678" s="40"/>
      <c r="CC678" s="5"/>
      <c r="CE678" s="40"/>
      <c r="CF678" s="5"/>
      <c r="CH678" s="40"/>
      <c r="CI678" s="5"/>
      <c r="CK678" s="40"/>
      <c r="CL678" s="5"/>
      <c r="CN678" s="40"/>
      <c r="CO678" s="5"/>
      <c r="CQ678" s="40"/>
      <c r="CR678" s="5"/>
    </row>
    <row r="679">
      <c r="AL679" s="40"/>
      <c r="AM679" s="5"/>
      <c r="AO679" s="40"/>
      <c r="AP679" s="5"/>
      <c r="AR679" s="40"/>
      <c r="AS679" s="5"/>
      <c r="AU679" s="40"/>
      <c r="AV679" s="5"/>
      <c r="AX679" s="40"/>
      <c r="AY679" s="5"/>
      <c r="BA679" s="40"/>
      <c r="BB679" s="5"/>
      <c r="BD679" s="40"/>
      <c r="BE679" s="5"/>
      <c r="BG679" s="40"/>
      <c r="BH679" s="5"/>
      <c r="BJ679" s="40"/>
      <c r="BK679" s="5"/>
      <c r="BM679" s="40"/>
      <c r="BN679" s="5"/>
      <c r="BP679" s="40"/>
      <c r="BQ679" s="5"/>
      <c r="BS679" s="40"/>
      <c r="BT679" s="5"/>
      <c r="BV679" s="40"/>
      <c r="BW679" s="5"/>
      <c r="BY679" s="40"/>
      <c r="BZ679" s="5"/>
      <c r="CB679" s="40"/>
      <c r="CC679" s="5"/>
      <c r="CE679" s="40"/>
      <c r="CF679" s="5"/>
      <c r="CH679" s="40"/>
      <c r="CI679" s="5"/>
      <c r="CK679" s="40"/>
      <c r="CL679" s="5"/>
      <c r="CN679" s="40"/>
      <c r="CO679" s="5"/>
      <c r="CQ679" s="40"/>
      <c r="CR679" s="5"/>
    </row>
    <row r="680">
      <c r="AL680" s="40"/>
      <c r="AM680" s="5"/>
      <c r="AO680" s="40"/>
      <c r="AP680" s="5"/>
      <c r="AR680" s="40"/>
      <c r="AS680" s="5"/>
      <c r="AU680" s="40"/>
      <c r="AV680" s="5"/>
      <c r="AX680" s="40"/>
      <c r="AY680" s="5"/>
      <c r="BA680" s="40"/>
      <c r="BB680" s="5"/>
      <c r="BD680" s="40"/>
      <c r="BE680" s="5"/>
      <c r="BG680" s="40"/>
      <c r="BH680" s="5"/>
      <c r="BJ680" s="40"/>
      <c r="BK680" s="5"/>
      <c r="BM680" s="40"/>
      <c r="BN680" s="5"/>
      <c r="BP680" s="40"/>
      <c r="BQ680" s="5"/>
      <c r="BS680" s="40"/>
      <c r="BT680" s="5"/>
      <c r="BV680" s="40"/>
      <c r="BW680" s="5"/>
      <c r="BY680" s="40"/>
      <c r="BZ680" s="5"/>
      <c r="CB680" s="40"/>
      <c r="CC680" s="5"/>
      <c r="CE680" s="40"/>
      <c r="CF680" s="5"/>
      <c r="CH680" s="40"/>
      <c r="CI680" s="5"/>
      <c r="CK680" s="40"/>
      <c r="CL680" s="5"/>
      <c r="CN680" s="40"/>
      <c r="CO680" s="5"/>
      <c r="CQ680" s="40"/>
      <c r="CR680" s="5"/>
    </row>
    <row r="681">
      <c r="AL681" s="40"/>
      <c r="AM681" s="5"/>
      <c r="AO681" s="40"/>
      <c r="AP681" s="5"/>
      <c r="AR681" s="40"/>
      <c r="AS681" s="5"/>
      <c r="AU681" s="40"/>
      <c r="AV681" s="5"/>
      <c r="AX681" s="40"/>
      <c r="AY681" s="5"/>
      <c r="BA681" s="40"/>
      <c r="BB681" s="5"/>
      <c r="BD681" s="40"/>
      <c r="BE681" s="5"/>
      <c r="BG681" s="40"/>
      <c r="BH681" s="5"/>
      <c r="BJ681" s="40"/>
      <c r="BK681" s="5"/>
      <c r="BM681" s="40"/>
      <c r="BN681" s="5"/>
      <c r="BP681" s="40"/>
      <c r="BQ681" s="5"/>
      <c r="BS681" s="40"/>
      <c r="BT681" s="5"/>
      <c r="BV681" s="40"/>
      <c r="BW681" s="5"/>
      <c r="BY681" s="40"/>
      <c r="BZ681" s="5"/>
      <c r="CB681" s="40"/>
      <c r="CC681" s="5"/>
      <c r="CE681" s="40"/>
      <c r="CF681" s="5"/>
      <c r="CH681" s="40"/>
      <c r="CI681" s="5"/>
      <c r="CK681" s="40"/>
      <c r="CL681" s="5"/>
      <c r="CN681" s="40"/>
      <c r="CO681" s="5"/>
      <c r="CQ681" s="40"/>
      <c r="CR681" s="5"/>
    </row>
    <row r="682">
      <c r="AL682" s="40"/>
      <c r="AM682" s="5"/>
      <c r="AO682" s="40"/>
      <c r="AP682" s="5"/>
      <c r="AR682" s="40"/>
      <c r="AS682" s="5"/>
      <c r="AU682" s="40"/>
      <c r="AV682" s="5"/>
      <c r="AX682" s="40"/>
      <c r="AY682" s="5"/>
      <c r="BA682" s="40"/>
      <c r="BB682" s="5"/>
      <c r="BD682" s="40"/>
      <c r="BE682" s="5"/>
      <c r="BG682" s="40"/>
      <c r="BH682" s="5"/>
      <c r="BJ682" s="40"/>
      <c r="BK682" s="5"/>
      <c r="BM682" s="40"/>
      <c r="BN682" s="5"/>
      <c r="BP682" s="40"/>
      <c r="BQ682" s="5"/>
      <c r="BS682" s="40"/>
      <c r="BT682" s="5"/>
      <c r="BV682" s="40"/>
      <c r="BW682" s="5"/>
      <c r="BY682" s="40"/>
      <c r="BZ682" s="5"/>
      <c r="CB682" s="40"/>
      <c r="CC682" s="5"/>
      <c r="CE682" s="40"/>
      <c r="CF682" s="5"/>
      <c r="CH682" s="40"/>
      <c r="CI682" s="5"/>
      <c r="CK682" s="40"/>
      <c r="CL682" s="5"/>
      <c r="CN682" s="40"/>
      <c r="CO682" s="5"/>
      <c r="CQ682" s="40"/>
      <c r="CR682" s="5"/>
    </row>
    <row r="683">
      <c r="AL683" s="40"/>
      <c r="AM683" s="5"/>
      <c r="AO683" s="40"/>
      <c r="AP683" s="5"/>
      <c r="AR683" s="40"/>
      <c r="AS683" s="5"/>
      <c r="AU683" s="40"/>
      <c r="AV683" s="5"/>
      <c r="AX683" s="40"/>
      <c r="AY683" s="5"/>
      <c r="BA683" s="40"/>
      <c r="BB683" s="5"/>
      <c r="BD683" s="40"/>
      <c r="BE683" s="5"/>
      <c r="BG683" s="40"/>
      <c r="BH683" s="5"/>
      <c r="BJ683" s="40"/>
      <c r="BK683" s="5"/>
      <c r="BM683" s="40"/>
      <c r="BN683" s="5"/>
      <c r="BP683" s="40"/>
      <c r="BQ683" s="5"/>
      <c r="BS683" s="40"/>
      <c r="BT683" s="5"/>
      <c r="BV683" s="40"/>
      <c r="BW683" s="5"/>
      <c r="BY683" s="40"/>
      <c r="BZ683" s="5"/>
      <c r="CB683" s="40"/>
      <c r="CC683" s="5"/>
      <c r="CE683" s="40"/>
      <c r="CF683" s="5"/>
      <c r="CH683" s="40"/>
      <c r="CI683" s="5"/>
      <c r="CK683" s="40"/>
      <c r="CL683" s="5"/>
      <c r="CN683" s="40"/>
      <c r="CO683" s="5"/>
      <c r="CQ683" s="40"/>
      <c r="CR683" s="5"/>
    </row>
    <row r="684">
      <c r="AL684" s="40"/>
      <c r="AM684" s="5"/>
      <c r="AO684" s="40"/>
      <c r="AP684" s="5"/>
      <c r="AR684" s="40"/>
      <c r="AS684" s="5"/>
      <c r="AU684" s="40"/>
      <c r="AV684" s="5"/>
      <c r="AX684" s="40"/>
      <c r="AY684" s="5"/>
      <c r="BA684" s="40"/>
      <c r="BB684" s="5"/>
      <c r="BD684" s="40"/>
      <c r="BE684" s="5"/>
      <c r="BG684" s="40"/>
      <c r="BH684" s="5"/>
      <c r="BJ684" s="40"/>
      <c r="BK684" s="5"/>
      <c r="BM684" s="40"/>
      <c r="BN684" s="5"/>
      <c r="BP684" s="40"/>
      <c r="BQ684" s="5"/>
      <c r="BS684" s="40"/>
      <c r="BT684" s="5"/>
      <c r="BV684" s="40"/>
      <c r="BW684" s="5"/>
      <c r="BY684" s="40"/>
      <c r="BZ684" s="5"/>
      <c r="CB684" s="40"/>
      <c r="CC684" s="5"/>
      <c r="CE684" s="40"/>
      <c r="CF684" s="5"/>
      <c r="CH684" s="40"/>
      <c r="CI684" s="5"/>
      <c r="CK684" s="40"/>
      <c r="CL684" s="5"/>
      <c r="CN684" s="40"/>
      <c r="CO684" s="5"/>
      <c r="CQ684" s="40"/>
      <c r="CR684" s="5"/>
    </row>
    <row r="685">
      <c r="AL685" s="40"/>
      <c r="AM685" s="5"/>
      <c r="AO685" s="40"/>
      <c r="AP685" s="5"/>
      <c r="AR685" s="40"/>
      <c r="AS685" s="5"/>
      <c r="AU685" s="40"/>
      <c r="AV685" s="5"/>
      <c r="AX685" s="40"/>
      <c r="AY685" s="5"/>
      <c r="BA685" s="40"/>
      <c r="BB685" s="5"/>
      <c r="BD685" s="40"/>
      <c r="BE685" s="5"/>
      <c r="BG685" s="40"/>
      <c r="BH685" s="5"/>
      <c r="BJ685" s="40"/>
      <c r="BK685" s="5"/>
      <c r="BM685" s="40"/>
      <c r="BN685" s="5"/>
      <c r="BP685" s="40"/>
      <c r="BQ685" s="5"/>
      <c r="BS685" s="40"/>
      <c r="BT685" s="5"/>
      <c r="BV685" s="40"/>
      <c r="BW685" s="5"/>
      <c r="BY685" s="40"/>
      <c r="BZ685" s="5"/>
      <c r="CB685" s="40"/>
      <c r="CC685" s="5"/>
      <c r="CE685" s="40"/>
      <c r="CF685" s="5"/>
      <c r="CH685" s="40"/>
      <c r="CI685" s="5"/>
      <c r="CK685" s="40"/>
      <c r="CL685" s="5"/>
      <c r="CN685" s="40"/>
      <c r="CO685" s="5"/>
      <c r="CQ685" s="40"/>
      <c r="CR685" s="5"/>
    </row>
    <row r="686">
      <c r="AL686" s="40"/>
      <c r="AM686" s="5"/>
      <c r="AO686" s="40"/>
      <c r="AP686" s="5"/>
      <c r="AR686" s="40"/>
      <c r="AS686" s="5"/>
      <c r="AU686" s="40"/>
      <c r="AV686" s="5"/>
      <c r="AX686" s="40"/>
      <c r="AY686" s="5"/>
      <c r="BA686" s="40"/>
      <c r="BB686" s="5"/>
      <c r="BD686" s="40"/>
      <c r="BE686" s="5"/>
      <c r="BG686" s="40"/>
      <c r="BH686" s="5"/>
      <c r="BJ686" s="40"/>
      <c r="BK686" s="5"/>
      <c r="BM686" s="40"/>
      <c r="BN686" s="5"/>
      <c r="BP686" s="40"/>
      <c r="BQ686" s="5"/>
      <c r="BS686" s="40"/>
      <c r="BT686" s="5"/>
      <c r="BV686" s="40"/>
      <c r="BW686" s="5"/>
      <c r="BY686" s="40"/>
      <c r="BZ686" s="5"/>
      <c r="CB686" s="40"/>
      <c r="CC686" s="5"/>
      <c r="CE686" s="40"/>
      <c r="CF686" s="5"/>
      <c r="CH686" s="40"/>
      <c r="CI686" s="5"/>
      <c r="CK686" s="40"/>
      <c r="CL686" s="5"/>
      <c r="CN686" s="40"/>
      <c r="CO686" s="5"/>
      <c r="CQ686" s="40"/>
      <c r="CR686" s="5"/>
    </row>
    <row r="687">
      <c r="AL687" s="40"/>
      <c r="AM687" s="5"/>
      <c r="AO687" s="40"/>
      <c r="AP687" s="5"/>
      <c r="AR687" s="40"/>
      <c r="AS687" s="5"/>
      <c r="AU687" s="40"/>
      <c r="AV687" s="5"/>
      <c r="AX687" s="40"/>
      <c r="AY687" s="5"/>
      <c r="BA687" s="40"/>
      <c r="BB687" s="5"/>
      <c r="BD687" s="40"/>
      <c r="BE687" s="5"/>
      <c r="BG687" s="40"/>
      <c r="BH687" s="5"/>
      <c r="BJ687" s="40"/>
      <c r="BK687" s="5"/>
      <c r="BM687" s="40"/>
      <c r="BN687" s="5"/>
      <c r="BP687" s="40"/>
      <c r="BQ687" s="5"/>
      <c r="BS687" s="40"/>
      <c r="BT687" s="5"/>
      <c r="BV687" s="40"/>
      <c r="BW687" s="5"/>
      <c r="BY687" s="40"/>
      <c r="BZ687" s="5"/>
      <c r="CB687" s="40"/>
      <c r="CC687" s="5"/>
      <c r="CE687" s="40"/>
      <c r="CF687" s="5"/>
      <c r="CH687" s="40"/>
      <c r="CI687" s="5"/>
      <c r="CK687" s="40"/>
      <c r="CL687" s="5"/>
      <c r="CN687" s="40"/>
      <c r="CO687" s="5"/>
      <c r="CQ687" s="40"/>
      <c r="CR687" s="5"/>
    </row>
    <row r="688">
      <c r="AL688" s="40"/>
      <c r="AM688" s="5"/>
      <c r="AO688" s="40"/>
      <c r="AP688" s="5"/>
      <c r="AR688" s="40"/>
      <c r="AS688" s="5"/>
      <c r="AU688" s="40"/>
      <c r="AV688" s="5"/>
      <c r="AX688" s="40"/>
      <c r="AY688" s="5"/>
      <c r="BA688" s="40"/>
      <c r="BB688" s="5"/>
      <c r="BD688" s="40"/>
      <c r="BE688" s="5"/>
      <c r="BG688" s="40"/>
      <c r="BH688" s="5"/>
      <c r="BJ688" s="40"/>
      <c r="BK688" s="5"/>
      <c r="BM688" s="40"/>
      <c r="BN688" s="5"/>
      <c r="BP688" s="40"/>
      <c r="BQ688" s="5"/>
      <c r="BS688" s="40"/>
      <c r="BT688" s="5"/>
      <c r="BV688" s="40"/>
      <c r="BW688" s="5"/>
      <c r="BY688" s="40"/>
      <c r="BZ688" s="5"/>
      <c r="CB688" s="40"/>
      <c r="CC688" s="5"/>
      <c r="CE688" s="40"/>
      <c r="CF688" s="5"/>
      <c r="CH688" s="40"/>
      <c r="CI688" s="5"/>
      <c r="CK688" s="40"/>
      <c r="CL688" s="5"/>
      <c r="CN688" s="40"/>
      <c r="CO688" s="5"/>
      <c r="CQ688" s="40"/>
      <c r="CR688" s="5"/>
    </row>
    <row r="689">
      <c r="AL689" s="40"/>
      <c r="AM689" s="5"/>
      <c r="AO689" s="40"/>
      <c r="AP689" s="5"/>
      <c r="AR689" s="40"/>
      <c r="AS689" s="5"/>
      <c r="AU689" s="40"/>
      <c r="AV689" s="5"/>
      <c r="AX689" s="40"/>
      <c r="AY689" s="5"/>
      <c r="BA689" s="40"/>
      <c r="BB689" s="5"/>
      <c r="BD689" s="40"/>
      <c r="BE689" s="5"/>
      <c r="BG689" s="40"/>
      <c r="BH689" s="5"/>
      <c r="BJ689" s="40"/>
      <c r="BK689" s="5"/>
      <c r="BM689" s="40"/>
      <c r="BN689" s="5"/>
      <c r="BP689" s="40"/>
      <c r="BQ689" s="5"/>
      <c r="BS689" s="40"/>
      <c r="BT689" s="5"/>
      <c r="BV689" s="40"/>
      <c r="BW689" s="5"/>
      <c r="BY689" s="40"/>
      <c r="BZ689" s="5"/>
      <c r="CB689" s="40"/>
      <c r="CC689" s="5"/>
      <c r="CE689" s="40"/>
      <c r="CF689" s="5"/>
      <c r="CH689" s="40"/>
      <c r="CI689" s="5"/>
      <c r="CK689" s="40"/>
      <c r="CL689" s="5"/>
      <c r="CN689" s="40"/>
      <c r="CO689" s="5"/>
      <c r="CQ689" s="40"/>
      <c r="CR689" s="5"/>
    </row>
    <row r="690">
      <c r="AL690" s="40"/>
      <c r="AM690" s="5"/>
      <c r="AO690" s="40"/>
      <c r="AP690" s="5"/>
      <c r="AR690" s="40"/>
      <c r="AS690" s="5"/>
      <c r="AU690" s="40"/>
      <c r="AV690" s="5"/>
      <c r="AX690" s="40"/>
      <c r="AY690" s="5"/>
      <c r="BA690" s="40"/>
      <c r="BB690" s="5"/>
      <c r="BD690" s="40"/>
      <c r="BE690" s="5"/>
      <c r="BG690" s="40"/>
      <c r="BH690" s="5"/>
      <c r="BJ690" s="40"/>
      <c r="BK690" s="5"/>
      <c r="BM690" s="40"/>
      <c r="BN690" s="5"/>
      <c r="BP690" s="40"/>
      <c r="BQ690" s="5"/>
      <c r="BS690" s="40"/>
      <c r="BT690" s="5"/>
      <c r="BV690" s="40"/>
      <c r="BW690" s="5"/>
      <c r="BY690" s="40"/>
      <c r="BZ690" s="5"/>
      <c r="CB690" s="40"/>
      <c r="CC690" s="5"/>
      <c r="CE690" s="40"/>
      <c r="CF690" s="5"/>
      <c r="CH690" s="40"/>
      <c r="CI690" s="5"/>
      <c r="CK690" s="40"/>
      <c r="CL690" s="5"/>
      <c r="CN690" s="40"/>
      <c r="CO690" s="5"/>
      <c r="CQ690" s="40"/>
      <c r="CR690" s="5"/>
    </row>
    <row r="691">
      <c r="AL691" s="40"/>
      <c r="AM691" s="5"/>
      <c r="AO691" s="40"/>
      <c r="AP691" s="5"/>
      <c r="AR691" s="40"/>
      <c r="AS691" s="5"/>
      <c r="AU691" s="40"/>
      <c r="AV691" s="5"/>
      <c r="AX691" s="40"/>
      <c r="AY691" s="5"/>
      <c r="BA691" s="40"/>
      <c r="BB691" s="5"/>
      <c r="BD691" s="40"/>
      <c r="BE691" s="5"/>
      <c r="BG691" s="40"/>
      <c r="BH691" s="5"/>
      <c r="BJ691" s="40"/>
      <c r="BK691" s="5"/>
      <c r="BM691" s="40"/>
      <c r="BN691" s="5"/>
      <c r="BP691" s="40"/>
      <c r="BQ691" s="5"/>
      <c r="BS691" s="40"/>
      <c r="BT691" s="5"/>
      <c r="BV691" s="40"/>
      <c r="BW691" s="5"/>
      <c r="BY691" s="40"/>
      <c r="BZ691" s="5"/>
      <c r="CB691" s="40"/>
      <c r="CC691" s="5"/>
      <c r="CE691" s="40"/>
      <c r="CF691" s="5"/>
      <c r="CH691" s="40"/>
      <c r="CI691" s="5"/>
      <c r="CK691" s="40"/>
      <c r="CL691" s="5"/>
      <c r="CN691" s="40"/>
      <c r="CO691" s="5"/>
      <c r="CQ691" s="40"/>
      <c r="CR691" s="5"/>
    </row>
    <row r="692">
      <c r="AL692" s="40"/>
      <c r="AM692" s="5"/>
      <c r="AO692" s="40"/>
      <c r="AP692" s="5"/>
      <c r="AR692" s="40"/>
      <c r="AS692" s="5"/>
      <c r="AU692" s="40"/>
      <c r="AV692" s="5"/>
      <c r="AX692" s="40"/>
      <c r="AY692" s="5"/>
      <c r="BA692" s="40"/>
      <c r="BB692" s="5"/>
      <c r="BD692" s="40"/>
      <c r="BE692" s="5"/>
      <c r="BG692" s="40"/>
      <c r="BH692" s="5"/>
      <c r="BJ692" s="40"/>
      <c r="BK692" s="5"/>
      <c r="BM692" s="40"/>
      <c r="BN692" s="5"/>
      <c r="BP692" s="40"/>
      <c r="BQ692" s="5"/>
      <c r="BS692" s="40"/>
      <c r="BT692" s="5"/>
      <c r="BV692" s="40"/>
      <c r="BW692" s="5"/>
      <c r="BY692" s="40"/>
      <c r="BZ692" s="5"/>
      <c r="CB692" s="40"/>
      <c r="CC692" s="5"/>
      <c r="CE692" s="40"/>
      <c r="CF692" s="5"/>
      <c r="CH692" s="40"/>
      <c r="CI692" s="5"/>
      <c r="CK692" s="40"/>
      <c r="CL692" s="5"/>
      <c r="CN692" s="40"/>
      <c r="CO692" s="5"/>
      <c r="CQ692" s="40"/>
      <c r="CR692" s="5"/>
    </row>
    <row r="693">
      <c r="AL693" s="40"/>
      <c r="AM693" s="5"/>
      <c r="AO693" s="40"/>
      <c r="AP693" s="5"/>
      <c r="AR693" s="40"/>
      <c r="AS693" s="5"/>
      <c r="AU693" s="40"/>
      <c r="AV693" s="5"/>
      <c r="AX693" s="40"/>
      <c r="AY693" s="5"/>
      <c r="BA693" s="40"/>
      <c r="BB693" s="5"/>
      <c r="BD693" s="40"/>
      <c r="BE693" s="5"/>
      <c r="BG693" s="40"/>
      <c r="BH693" s="5"/>
      <c r="BJ693" s="40"/>
      <c r="BK693" s="5"/>
      <c r="BM693" s="40"/>
      <c r="BN693" s="5"/>
      <c r="BP693" s="40"/>
      <c r="BQ693" s="5"/>
      <c r="BS693" s="40"/>
      <c r="BT693" s="5"/>
      <c r="BV693" s="40"/>
      <c r="BW693" s="5"/>
      <c r="BY693" s="40"/>
      <c r="BZ693" s="5"/>
      <c r="CB693" s="40"/>
      <c r="CC693" s="5"/>
      <c r="CE693" s="40"/>
      <c r="CF693" s="5"/>
      <c r="CH693" s="40"/>
      <c r="CI693" s="5"/>
      <c r="CK693" s="40"/>
      <c r="CL693" s="5"/>
      <c r="CN693" s="40"/>
      <c r="CO693" s="5"/>
      <c r="CQ693" s="40"/>
      <c r="CR693" s="5"/>
    </row>
    <row r="694">
      <c r="AL694" s="40"/>
      <c r="AM694" s="5"/>
      <c r="AO694" s="40"/>
      <c r="AP694" s="5"/>
      <c r="AR694" s="40"/>
      <c r="AS694" s="5"/>
      <c r="AU694" s="40"/>
      <c r="AV694" s="5"/>
      <c r="AX694" s="40"/>
      <c r="AY694" s="5"/>
      <c r="BA694" s="40"/>
      <c r="BB694" s="5"/>
      <c r="BD694" s="40"/>
      <c r="BE694" s="5"/>
      <c r="BG694" s="40"/>
      <c r="BH694" s="5"/>
      <c r="BJ694" s="40"/>
      <c r="BK694" s="5"/>
      <c r="BM694" s="40"/>
      <c r="BN694" s="5"/>
      <c r="BP694" s="40"/>
      <c r="BQ694" s="5"/>
      <c r="BS694" s="40"/>
      <c r="BT694" s="5"/>
      <c r="BV694" s="40"/>
      <c r="BW694" s="5"/>
      <c r="BY694" s="40"/>
      <c r="BZ694" s="5"/>
      <c r="CB694" s="40"/>
      <c r="CC694" s="5"/>
      <c r="CE694" s="40"/>
      <c r="CF694" s="5"/>
      <c r="CH694" s="40"/>
      <c r="CI694" s="5"/>
      <c r="CK694" s="40"/>
      <c r="CL694" s="5"/>
      <c r="CN694" s="40"/>
      <c r="CO694" s="5"/>
      <c r="CQ694" s="40"/>
      <c r="CR694" s="5"/>
    </row>
    <row r="695">
      <c r="AL695" s="40"/>
      <c r="AM695" s="5"/>
      <c r="AO695" s="40"/>
      <c r="AP695" s="5"/>
      <c r="AR695" s="40"/>
      <c r="AS695" s="5"/>
      <c r="AU695" s="40"/>
      <c r="AV695" s="5"/>
      <c r="AX695" s="40"/>
      <c r="AY695" s="5"/>
      <c r="BA695" s="40"/>
      <c r="BB695" s="5"/>
      <c r="BD695" s="40"/>
      <c r="BE695" s="5"/>
      <c r="BG695" s="40"/>
      <c r="BH695" s="5"/>
      <c r="BJ695" s="40"/>
      <c r="BK695" s="5"/>
      <c r="BM695" s="40"/>
      <c r="BN695" s="5"/>
      <c r="BP695" s="40"/>
      <c r="BQ695" s="5"/>
      <c r="BS695" s="40"/>
      <c r="BT695" s="5"/>
      <c r="BV695" s="40"/>
      <c r="BW695" s="5"/>
      <c r="BY695" s="40"/>
      <c r="BZ695" s="5"/>
      <c r="CB695" s="40"/>
      <c r="CC695" s="5"/>
      <c r="CE695" s="40"/>
      <c r="CF695" s="5"/>
      <c r="CH695" s="40"/>
      <c r="CI695" s="5"/>
      <c r="CK695" s="40"/>
      <c r="CL695" s="5"/>
      <c r="CN695" s="40"/>
      <c r="CO695" s="5"/>
      <c r="CQ695" s="40"/>
      <c r="CR695" s="5"/>
    </row>
    <row r="696">
      <c r="AL696" s="40"/>
      <c r="AM696" s="5"/>
      <c r="AO696" s="40"/>
      <c r="AP696" s="5"/>
      <c r="AR696" s="40"/>
      <c r="AS696" s="5"/>
      <c r="AU696" s="40"/>
      <c r="AV696" s="5"/>
      <c r="AX696" s="40"/>
      <c r="AY696" s="5"/>
      <c r="BA696" s="40"/>
      <c r="BB696" s="5"/>
      <c r="BD696" s="40"/>
      <c r="BE696" s="5"/>
      <c r="BG696" s="40"/>
      <c r="BH696" s="5"/>
      <c r="BJ696" s="40"/>
      <c r="BK696" s="5"/>
      <c r="BM696" s="40"/>
      <c r="BN696" s="5"/>
      <c r="BP696" s="40"/>
      <c r="BQ696" s="5"/>
      <c r="BS696" s="40"/>
      <c r="BT696" s="5"/>
      <c r="BV696" s="40"/>
      <c r="BW696" s="5"/>
      <c r="BY696" s="40"/>
      <c r="BZ696" s="5"/>
      <c r="CB696" s="40"/>
      <c r="CC696" s="5"/>
      <c r="CE696" s="40"/>
      <c r="CF696" s="5"/>
      <c r="CH696" s="40"/>
      <c r="CI696" s="5"/>
      <c r="CK696" s="40"/>
      <c r="CL696" s="5"/>
      <c r="CN696" s="40"/>
      <c r="CO696" s="5"/>
      <c r="CQ696" s="40"/>
      <c r="CR696" s="5"/>
    </row>
    <row r="697">
      <c r="AL697" s="40"/>
      <c r="AM697" s="5"/>
      <c r="AO697" s="40"/>
      <c r="AP697" s="5"/>
      <c r="AR697" s="40"/>
      <c r="AS697" s="5"/>
      <c r="AU697" s="40"/>
      <c r="AV697" s="5"/>
      <c r="AX697" s="40"/>
      <c r="AY697" s="5"/>
      <c r="BA697" s="40"/>
      <c r="BB697" s="5"/>
      <c r="BD697" s="40"/>
      <c r="BE697" s="5"/>
      <c r="BG697" s="40"/>
      <c r="BH697" s="5"/>
      <c r="BJ697" s="40"/>
      <c r="BK697" s="5"/>
      <c r="BM697" s="40"/>
      <c r="BN697" s="5"/>
      <c r="BP697" s="40"/>
      <c r="BQ697" s="5"/>
      <c r="BS697" s="40"/>
      <c r="BT697" s="5"/>
      <c r="BV697" s="40"/>
      <c r="BW697" s="5"/>
      <c r="BY697" s="40"/>
      <c r="BZ697" s="5"/>
      <c r="CB697" s="40"/>
      <c r="CC697" s="5"/>
      <c r="CE697" s="40"/>
      <c r="CF697" s="5"/>
      <c r="CH697" s="40"/>
      <c r="CI697" s="5"/>
      <c r="CK697" s="40"/>
      <c r="CL697" s="5"/>
      <c r="CN697" s="40"/>
      <c r="CO697" s="5"/>
      <c r="CQ697" s="40"/>
      <c r="CR697" s="5"/>
    </row>
    <row r="698">
      <c r="AL698" s="40"/>
      <c r="AM698" s="5"/>
      <c r="AO698" s="40"/>
      <c r="AP698" s="5"/>
      <c r="AR698" s="40"/>
      <c r="AS698" s="5"/>
      <c r="AU698" s="40"/>
      <c r="AV698" s="5"/>
      <c r="AX698" s="40"/>
      <c r="AY698" s="5"/>
      <c r="BA698" s="40"/>
      <c r="BB698" s="5"/>
      <c r="BD698" s="40"/>
      <c r="BE698" s="5"/>
      <c r="BG698" s="40"/>
      <c r="BH698" s="5"/>
      <c r="BJ698" s="40"/>
      <c r="BK698" s="5"/>
      <c r="BM698" s="40"/>
      <c r="BN698" s="5"/>
      <c r="BP698" s="40"/>
      <c r="BQ698" s="5"/>
      <c r="BS698" s="40"/>
      <c r="BT698" s="5"/>
      <c r="BV698" s="40"/>
      <c r="BW698" s="5"/>
      <c r="BY698" s="40"/>
      <c r="BZ698" s="5"/>
      <c r="CB698" s="40"/>
      <c r="CC698" s="5"/>
      <c r="CE698" s="40"/>
      <c r="CF698" s="5"/>
      <c r="CH698" s="40"/>
      <c r="CI698" s="5"/>
      <c r="CK698" s="40"/>
      <c r="CL698" s="5"/>
      <c r="CN698" s="40"/>
      <c r="CO698" s="5"/>
      <c r="CQ698" s="40"/>
      <c r="CR698" s="5"/>
    </row>
    <row r="699">
      <c r="AL699" s="40"/>
      <c r="AM699" s="5"/>
      <c r="AO699" s="40"/>
      <c r="AP699" s="5"/>
      <c r="AR699" s="40"/>
      <c r="AS699" s="5"/>
      <c r="AU699" s="40"/>
      <c r="AV699" s="5"/>
      <c r="AX699" s="40"/>
      <c r="AY699" s="5"/>
      <c r="BA699" s="40"/>
      <c r="BB699" s="5"/>
      <c r="BD699" s="40"/>
      <c r="BE699" s="5"/>
      <c r="BG699" s="40"/>
      <c r="BH699" s="5"/>
      <c r="BJ699" s="40"/>
      <c r="BK699" s="5"/>
      <c r="BM699" s="40"/>
      <c r="BN699" s="5"/>
      <c r="BP699" s="40"/>
      <c r="BQ699" s="5"/>
      <c r="BS699" s="40"/>
      <c r="BT699" s="5"/>
      <c r="BV699" s="40"/>
      <c r="BW699" s="5"/>
      <c r="BY699" s="40"/>
      <c r="BZ699" s="5"/>
      <c r="CB699" s="40"/>
      <c r="CC699" s="5"/>
      <c r="CE699" s="40"/>
      <c r="CF699" s="5"/>
      <c r="CH699" s="40"/>
      <c r="CI699" s="5"/>
      <c r="CK699" s="40"/>
      <c r="CL699" s="5"/>
      <c r="CN699" s="40"/>
      <c r="CO699" s="5"/>
      <c r="CQ699" s="40"/>
      <c r="CR699" s="5"/>
    </row>
    <row r="700">
      <c r="AL700" s="40"/>
      <c r="AM700" s="5"/>
      <c r="AO700" s="40"/>
      <c r="AP700" s="5"/>
      <c r="AR700" s="40"/>
      <c r="AS700" s="5"/>
      <c r="AU700" s="40"/>
      <c r="AV700" s="5"/>
      <c r="AX700" s="40"/>
      <c r="AY700" s="5"/>
      <c r="BA700" s="40"/>
      <c r="BB700" s="5"/>
      <c r="BD700" s="40"/>
      <c r="BE700" s="5"/>
      <c r="BG700" s="40"/>
      <c r="BH700" s="5"/>
      <c r="BJ700" s="40"/>
      <c r="BK700" s="5"/>
      <c r="BM700" s="40"/>
      <c r="BN700" s="5"/>
      <c r="BP700" s="40"/>
      <c r="BQ700" s="5"/>
      <c r="BS700" s="40"/>
      <c r="BT700" s="5"/>
      <c r="BV700" s="40"/>
      <c r="BW700" s="5"/>
      <c r="BY700" s="40"/>
      <c r="BZ700" s="5"/>
      <c r="CB700" s="40"/>
      <c r="CC700" s="5"/>
      <c r="CE700" s="40"/>
      <c r="CF700" s="5"/>
      <c r="CH700" s="40"/>
      <c r="CI700" s="5"/>
      <c r="CK700" s="40"/>
      <c r="CL700" s="5"/>
      <c r="CN700" s="40"/>
      <c r="CO700" s="5"/>
      <c r="CQ700" s="40"/>
      <c r="CR700" s="5"/>
    </row>
    <row r="701">
      <c r="AL701" s="40"/>
      <c r="AM701" s="5"/>
      <c r="AO701" s="40"/>
      <c r="AP701" s="5"/>
      <c r="AR701" s="40"/>
      <c r="AS701" s="5"/>
      <c r="AU701" s="40"/>
      <c r="AV701" s="5"/>
      <c r="AX701" s="40"/>
      <c r="AY701" s="5"/>
      <c r="BA701" s="40"/>
      <c r="BB701" s="5"/>
      <c r="BD701" s="40"/>
      <c r="BE701" s="5"/>
      <c r="BG701" s="40"/>
      <c r="BH701" s="5"/>
      <c r="BJ701" s="40"/>
      <c r="BK701" s="5"/>
      <c r="BM701" s="40"/>
      <c r="BN701" s="5"/>
      <c r="BP701" s="40"/>
      <c r="BQ701" s="5"/>
      <c r="BS701" s="40"/>
      <c r="BT701" s="5"/>
      <c r="BV701" s="40"/>
      <c r="BW701" s="5"/>
      <c r="BY701" s="40"/>
      <c r="BZ701" s="5"/>
      <c r="CB701" s="40"/>
      <c r="CC701" s="5"/>
      <c r="CE701" s="40"/>
      <c r="CF701" s="5"/>
      <c r="CH701" s="40"/>
      <c r="CI701" s="5"/>
      <c r="CK701" s="40"/>
      <c r="CL701" s="5"/>
      <c r="CN701" s="40"/>
      <c r="CO701" s="5"/>
      <c r="CQ701" s="40"/>
      <c r="CR701" s="5"/>
    </row>
    <row r="702">
      <c r="AL702" s="40"/>
      <c r="AM702" s="5"/>
      <c r="AO702" s="40"/>
      <c r="AP702" s="5"/>
      <c r="AR702" s="40"/>
      <c r="AS702" s="5"/>
      <c r="AU702" s="40"/>
      <c r="AV702" s="5"/>
      <c r="AX702" s="40"/>
      <c r="AY702" s="5"/>
      <c r="BA702" s="40"/>
      <c r="BB702" s="5"/>
      <c r="BD702" s="40"/>
      <c r="BE702" s="5"/>
      <c r="BG702" s="40"/>
      <c r="BH702" s="5"/>
      <c r="BJ702" s="40"/>
      <c r="BK702" s="5"/>
      <c r="BM702" s="40"/>
      <c r="BN702" s="5"/>
      <c r="BP702" s="40"/>
      <c r="BQ702" s="5"/>
      <c r="BS702" s="40"/>
      <c r="BT702" s="5"/>
      <c r="BV702" s="40"/>
      <c r="BW702" s="5"/>
      <c r="BY702" s="40"/>
      <c r="BZ702" s="5"/>
      <c r="CB702" s="40"/>
      <c r="CC702" s="5"/>
      <c r="CE702" s="40"/>
      <c r="CF702" s="5"/>
      <c r="CH702" s="40"/>
      <c r="CI702" s="5"/>
      <c r="CK702" s="40"/>
      <c r="CL702" s="5"/>
      <c r="CN702" s="40"/>
      <c r="CO702" s="5"/>
      <c r="CQ702" s="40"/>
      <c r="CR702" s="5"/>
    </row>
    <row r="703">
      <c r="AL703" s="40"/>
      <c r="AM703" s="5"/>
      <c r="AO703" s="40"/>
      <c r="AP703" s="5"/>
      <c r="AR703" s="40"/>
      <c r="AS703" s="5"/>
      <c r="AU703" s="40"/>
      <c r="AV703" s="5"/>
      <c r="AX703" s="40"/>
      <c r="AY703" s="5"/>
      <c r="BA703" s="40"/>
      <c r="BB703" s="5"/>
      <c r="BD703" s="40"/>
      <c r="BE703" s="5"/>
      <c r="BG703" s="40"/>
      <c r="BH703" s="5"/>
      <c r="BJ703" s="40"/>
      <c r="BK703" s="5"/>
      <c r="BM703" s="40"/>
      <c r="BN703" s="5"/>
      <c r="BP703" s="40"/>
      <c r="BQ703" s="5"/>
      <c r="BS703" s="40"/>
      <c r="BT703" s="5"/>
      <c r="BV703" s="40"/>
      <c r="BW703" s="5"/>
      <c r="BY703" s="40"/>
      <c r="BZ703" s="5"/>
      <c r="CB703" s="40"/>
      <c r="CC703" s="5"/>
      <c r="CE703" s="40"/>
      <c r="CF703" s="5"/>
      <c r="CH703" s="40"/>
      <c r="CI703" s="5"/>
      <c r="CK703" s="40"/>
      <c r="CL703" s="5"/>
      <c r="CN703" s="40"/>
      <c r="CO703" s="5"/>
      <c r="CQ703" s="40"/>
      <c r="CR703" s="5"/>
    </row>
    <row r="704">
      <c r="AL704" s="40"/>
      <c r="AM704" s="5"/>
      <c r="AO704" s="40"/>
      <c r="AP704" s="5"/>
      <c r="AR704" s="40"/>
      <c r="AS704" s="5"/>
      <c r="AU704" s="40"/>
      <c r="AV704" s="5"/>
      <c r="AX704" s="40"/>
      <c r="AY704" s="5"/>
      <c r="BA704" s="40"/>
      <c r="BB704" s="5"/>
      <c r="BD704" s="40"/>
      <c r="BE704" s="5"/>
      <c r="BG704" s="40"/>
      <c r="BH704" s="5"/>
      <c r="BJ704" s="40"/>
      <c r="BK704" s="5"/>
      <c r="BM704" s="40"/>
      <c r="BN704" s="5"/>
      <c r="BP704" s="40"/>
      <c r="BQ704" s="5"/>
      <c r="BS704" s="40"/>
      <c r="BT704" s="5"/>
      <c r="BV704" s="40"/>
      <c r="BW704" s="5"/>
      <c r="BY704" s="40"/>
      <c r="BZ704" s="5"/>
      <c r="CB704" s="40"/>
      <c r="CC704" s="5"/>
      <c r="CE704" s="40"/>
      <c r="CF704" s="5"/>
      <c r="CH704" s="40"/>
      <c r="CI704" s="5"/>
      <c r="CK704" s="40"/>
      <c r="CL704" s="5"/>
      <c r="CN704" s="40"/>
      <c r="CO704" s="5"/>
      <c r="CQ704" s="40"/>
      <c r="CR704" s="5"/>
    </row>
    <row r="705">
      <c r="AL705" s="40"/>
      <c r="AM705" s="5"/>
      <c r="AO705" s="40"/>
      <c r="AP705" s="5"/>
      <c r="AR705" s="40"/>
      <c r="AS705" s="5"/>
      <c r="AU705" s="40"/>
      <c r="AV705" s="5"/>
      <c r="AX705" s="40"/>
      <c r="AY705" s="5"/>
      <c r="BA705" s="40"/>
      <c r="BB705" s="5"/>
      <c r="BD705" s="40"/>
      <c r="BE705" s="5"/>
      <c r="BG705" s="40"/>
      <c r="BH705" s="5"/>
      <c r="BJ705" s="40"/>
      <c r="BK705" s="5"/>
      <c r="BM705" s="40"/>
      <c r="BN705" s="5"/>
      <c r="BP705" s="40"/>
      <c r="BQ705" s="5"/>
      <c r="BS705" s="40"/>
      <c r="BT705" s="5"/>
      <c r="BV705" s="40"/>
      <c r="BW705" s="5"/>
      <c r="BY705" s="40"/>
      <c r="BZ705" s="5"/>
      <c r="CB705" s="40"/>
      <c r="CC705" s="5"/>
      <c r="CE705" s="40"/>
      <c r="CF705" s="5"/>
      <c r="CH705" s="40"/>
      <c r="CI705" s="5"/>
      <c r="CK705" s="40"/>
      <c r="CL705" s="5"/>
      <c r="CN705" s="40"/>
      <c r="CO705" s="5"/>
      <c r="CQ705" s="40"/>
      <c r="CR705" s="5"/>
    </row>
    <row r="706">
      <c r="AL706" s="40"/>
      <c r="AM706" s="5"/>
      <c r="AO706" s="40"/>
      <c r="AP706" s="5"/>
      <c r="AR706" s="40"/>
      <c r="AS706" s="5"/>
      <c r="AU706" s="40"/>
      <c r="AV706" s="5"/>
      <c r="AX706" s="40"/>
      <c r="AY706" s="5"/>
      <c r="BA706" s="40"/>
      <c r="BB706" s="5"/>
      <c r="BD706" s="40"/>
      <c r="BE706" s="5"/>
      <c r="BG706" s="40"/>
      <c r="BH706" s="5"/>
      <c r="BJ706" s="40"/>
      <c r="BK706" s="5"/>
      <c r="BM706" s="40"/>
      <c r="BN706" s="5"/>
      <c r="BP706" s="40"/>
      <c r="BQ706" s="5"/>
      <c r="BS706" s="40"/>
      <c r="BT706" s="5"/>
      <c r="BV706" s="40"/>
      <c r="BW706" s="5"/>
      <c r="BY706" s="40"/>
      <c r="BZ706" s="5"/>
      <c r="CB706" s="40"/>
      <c r="CC706" s="5"/>
      <c r="CE706" s="40"/>
      <c r="CF706" s="5"/>
      <c r="CH706" s="40"/>
      <c r="CI706" s="5"/>
      <c r="CK706" s="40"/>
      <c r="CL706" s="5"/>
      <c r="CN706" s="40"/>
      <c r="CO706" s="5"/>
      <c r="CQ706" s="40"/>
      <c r="CR706" s="5"/>
    </row>
    <row r="707">
      <c r="AL707" s="40"/>
      <c r="AM707" s="5"/>
      <c r="AO707" s="40"/>
      <c r="AP707" s="5"/>
      <c r="AR707" s="40"/>
      <c r="AS707" s="5"/>
      <c r="AU707" s="40"/>
      <c r="AV707" s="5"/>
      <c r="AX707" s="40"/>
      <c r="AY707" s="5"/>
      <c r="BA707" s="40"/>
      <c r="BB707" s="5"/>
      <c r="BD707" s="40"/>
      <c r="BE707" s="5"/>
      <c r="BG707" s="40"/>
      <c r="BH707" s="5"/>
      <c r="BJ707" s="40"/>
      <c r="BK707" s="5"/>
      <c r="BM707" s="40"/>
      <c r="BN707" s="5"/>
      <c r="BP707" s="40"/>
      <c r="BQ707" s="5"/>
      <c r="BS707" s="40"/>
      <c r="BT707" s="5"/>
      <c r="BV707" s="40"/>
      <c r="BW707" s="5"/>
      <c r="BY707" s="40"/>
      <c r="BZ707" s="5"/>
      <c r="CB707" s="40"/>
      <c r="CC707" s="5"/>
      <c r="CE707" s="40"/>
      <c r="CF707" s="5"/>
      <c r="CH707" s="40"/>
      <c r="CI707" s="5"/>
      <c r="CK707" s="40"/>
      <c r="CL707" s="5"/>
      <c r="CN707" s="40"/>
      <c r="CO707" s="5"/>
      <c r="CQ707" s="40"/>
      <c r="CR707" s="5"/>
    </row>
    <row r="708">
      <c r="AL708" s="40"/>
      <c r="AM708" s="5"/>
      <c r="AO708" s="40"/>
      <c r="AP708" s="5"/>
      <c r="AR708" s="40"/>
      <c r="AS708" s="5"/>
      <c r="AU708" s="40"/>
      <c r="AV708" s="5"/>
      <c r="AX708" s="40"/>
      <c r="AY708" s="5"/>
      <c r="BA708" s="40"/>
      <c r="BB708" s="5"/>
      <c r="BD708" s="40"/>
      <c r="BE708" s="5"/>
      <c r="BG708" s="40"/>
      <c r="BH708" s="5"/>
      <c r="BJ708" s="40"/>
      <c r="BK708" s="5"/>
      <c r="BM708" s="40"/>
      <c r="BN708" s="5"/>
      <c r="BP708" s="40"/>
      <c r="BQ708" s="5"/>
      <c r="BS708" s="40"/>
      <c r="BT708" s="5"/>
      <c r="BV708" s="40"/>
      <c r="BW708" s="5"/>
      <c r="BY708" s="40"/>
      <c r="BZ708" s="5"/>
      <c r="CB708" s="40"/>
      <c r="CC708" s="5"/>
      <c r="CE708" s="40"/>
      <c r="CF708" s="5"/>
      <c r="CH708" s="40"/>
      <c r="CI708" s="5"/>
      <c r="CK708" s="40"/>
      <c r="CL708" s="5"/>
      <c r="CN708" s="40"/>
      <c r="CO708" s="5"/>
      <c r="CQ708" s="40"/>
      <c r="CR708" s="5"/>
    </row>
    <row r="709">
      <c r="AL709" s="40"/>
      <c r="AM709" s="5"/>
      <c r="AO709" s="40"/>
      <c r="AP709" s="5"/>
      <c r="AR709" s="40"/>
      <c r="AS709" s="5"/>
      <c r="AU709" s="40"/>
      <c r="AV709" s="5"/>
      <c r="AX709" s="40"/>
      <c r="AY709" s="5"/>
      <c r="BA709" s="40"/>
      <c r="BB709" s="5"/>
      <c r="BD709" s="40"/>
      <c r="BE709" s="5"/>
      <c r="BG709" s="40"/>
      <c r="BH709" s="5"/>
      <c r="BJ709" s="40"/>
      <c r="BK709" s="5"/>
      <c r="BM709" s="40"/>
      <c r="BN709" s="5"/>
      <c r="BP709" s="40"/>
      <c r="BQ709" s="5"/>
      <c r="BS709" s="40"/>
      <c r="BT709" s="5"/>
      <c r="BV709" s="40"/>
      <c r="BW709" s="5"/>
      <c r="BY709" s="40"/>
      <c r="BZ709" s="5"/>
      <c r="CB709" s="40"/>
      <c r="CC709" s="5"/>
      <c r="CE709" s="40"/>
      <c r="CF709" s="5"/>
      <c r="CH709" s="40"/>
      <c r="CI709" s="5"/>
      <c r="CK709" s="40"/>
      <c r="CL709" s="5"/>
      <c r="CN709" s="40"/>
      <c r="CO709" s="5"/>
      <c r="CQ709" s="40"/>
      <c r="CR709" s="5"/>
    </row>
    <row r="710">
      <c r="AL710" s="40"/>
      <c r="AM710" s="5"/>
      <c r="AO710" s="40"/>
      <c r="AP710" s="5"/>
      <c r="AR710" s="40"/>
      <c r="AS710" s="5"/>
      <c r="AU710" s="40"/>
      <c r="AV710" s="5"/>
      <c r="AX710" s="40"/>
      <c r="AY710" s="5"/>
      <c r="BA710" s="40"/>
      <c r="BB710" s="5"/>
      <c r="BD710" s="40"/>
      <c r="BE710" s="5"/>
      <c r="BG710" s="40"/>
      <c r="BH710" s="5"/>
      <c r="BJ710" s="40"/>
      <c r="BK710" s="5"/>
      <c r="BM710" s="40"/>
      <c r="BN710" s="5"/>
      <c r="BP710" s="40"/>
      <c r="BQ710" s="5"/>
      <c r="BS710" s="40"/>
      <c r="BT710" s="5"/>
      <c r="BV710" s="40"/>
      <c r="BW710" s="5"/>
      <c r="BY710" s="40"/>
      <c r="BZ710" s="5"/>
      <c r="CB710" s="40"/>
      <c r="CC710" s="5"/>
      <c r="CE710" s="40"/>
      <c r="CF710" s="5"/>
      <c r="CH710" s="40"/>
      <c r="CI710" s="5"/>
      <c r="CK710" s="40"/>
      <c r="CL710" s="5"/>
      <c r="CN710" s="40"/>
      <c r="CO710" s="5"/>
      <c r="CQ710" s="40"/>
      <c r="CR710" s="5"/>
    </row>
    <row r="711">
      <c r="AL711" s="40"/>
      <c r="AM711" s="5"/>
      <c r="AO711" s="40"/>
      <c r="AP711" s="5"/>
      <c r="AR711" s="40"/>
      <c r="AS711" s="5"/>
      <c r="AU711" s="40"/>
      <c r="AV711" s="5"/>
      <c r="AX711" s="40"/>
      <c r="AY711" s="5"/>
      <c r="BA711" s="40"/>
      <c r="BB711" s="5"/>
      <c r="BD711" s="40"/>
      <c r="BE711" s="5"/>
      <c r="BG711" s="40"/>
      <c r="BH711" s="5"/>
      <c r="BJ711" s="40"/>
      <c r="BK711" s="5"/>
      <c r="BM711" s="40"/>
      <c r="BN711" s="5"/>
      <c r="BP711" s="40"/>
      <c r="BQ711" s="5"/>
      <c r="BS711" s="40"/>
      <c r="BT711" s="5"/>
      <c r="BV711" s="40"/>
      <c r="BW711" s="5"/>
      <c r="BY711" s="40"/>
      <c r="BZ711" s="5"/>
      <c r="CB711" s="40"/>
      <c r="CC711" s="5"/>
      <c r="CE711" s="40"/>
      <c r="CF711" s="5"/>
      <c r="CH711" s="40"/>
      <c r="CI711" s="5"/>
      <c r="CK711" s="40"/>
      <c r="CL711" s="5"/>
      <c r="CN711" s="40"/>
      <c r="CO711" s="5"/>
      <c r="CQ711" s="40"/>
      <c r="CR711" s="5"/>
    </row>
    <row r="712">
      <c r="AL712" s="40"/>
      <c r="AM712" s="5"/>
      <c r="AO712" s="40"/>
      <c r="AP712" s="5"/>
      <c r="AR712" s="40"/>
      <c r="AS712" s="5"/>
      <c r="AU712" s="40"/>
      <c r="AV712" s="5"/>
      <c r="AX712" s="40"/>
      <c r="AY712" s="5"/>
      <c r="BA712" s="40"/>
      <c r="BB712" s="5"/>
      <c r="BD712" s="40"/>
      <c r="BE712" s="5"/>
      <c r="BG712" s="40"/>
      <c r="BH712" s="5"/>
      <c r="BJ712" s="40"/>
      <c r="BK712" s="5"/>
      <c r="BM712" s="40"/>
      <c r="BN712" s="5"/>
      <c r="BP712" s="40"/>
      <c r="BQ712" s="5"/>
      <c r="BS712" s="40"/>
      <c r="BT712" s="5"/>
      <c r="BV712" s="40"/>
      <c r="BW712" s="5"/>
      <c r="BY712" s="40"/>
      <c r="BZ712" s="5"/>
      <c r="CB712" s="40"/>
      <c r="CC712" s="5"/>
      <c r="CE712" s="40"/>
      <c r="CF712" s="5"/>
      <c r="CH712" s="40"/>
      <c r="CI712" s="5"/>
      <c r="CK712" s="40"/>
      <c r="CL712" s="5"/>
      <c r="CN712" s="40"/>
      <c r="CO712" s="5"/>
      <c r="CQ712" s="40"/>
      <c r="CR712" s="5"/>
    </row>
    <row r="713">
      <c r="AL713" s="40"/>
      <c r="AM713" s="5"/>
      <c r="AO713" s="40"/>
      <c r="AP713" s="5"/>
      <c r="AR713" s="40"/>
      <c r="AS713" s="5"/>
      <c r="AU713" s="40"/>
      <c r="AV713" s="5"/>
      <c r="AX713" s="40"/>
      <c r="AY713" s="5"/>
      <c r="BA713" s="40"/>
      <c r="BB713" s="5"/>
      <c r="BD713" s="40"/>
      <c r="BE713" s="5"/>
      <c r="BG713" s="40"/>
      <c r="BH713" s="5"/>
      <c r="BJ713" s="40"/>
      <c r="BK713" s="5"/>
      <c r="BM713" s="40"/>
      <c r="BN713" s="5"/>
      <c r="BP713" s="40"/>
      <c r="BQ713" s="5"/>
      <c r="BS713" s="40"/>
      <c r="BT713" s="5"/>
      <c r="BV713" s="40"/>
      <c r="BW713" s="5"/>
      <c r="BY713" s="40"/>
      <c r="BZ713" s="5"/>
      <c r="CB713" s="40"/>
      <c r="CC713" s="5"/>
      <c r="CE713" s="40"/>
      <c r="CF713" s="5"/>
      <c r="CH713" s="40"/>
      <c r="CI713" s="5"/>
      <c r="CK713" s="40"/>
      <c r="CL713" s="5"/>
      <c r="CN713" s="40"/>
      <c r="CO713" s="5"/>
      <c r="CQ713" s="40"/>
      <c r="CR713" s="5"/>
    </row>
    <row r="714">
      <c r="AL714" s="40"/>
      <c r="AM714" s="5"/>
      <c r="AO714" s="40"/>
      <c r="AP714" s="5"/>
      <c r="AR714" s="40"/>
      <c r="AS714" s="5"/>
      <c r="AU714" s="40"/>
      <c r="AV714" s="5"/>
      <c r="AX714" s="40"/>
      <c r="AY714" s="5"/>
      <c r="BA714" s="40"/>
      <c r="BB714" s="5"/>
      <c r="BD714" s="40"/>
      <c r="BE714" s="5"/>
      <c r="BG714" s="40"/>
      <c r="BH714" s="5"/>
      <c r="BJ714" s="40"/>
      <c r="BK714" s="5"/>
      <c r="BM714" s="40"/>
      <c r="BN714" s="5"/>
      <c r="BP714" s="40"/>
      <c r="BQ714" s="5"/>
      <c r="BS714" s="40"/>
      <c r="BT714" s="5"/>
      <c r="BV714" s="40"/>
      <c r="BW714" s="5"/>
      <c r="BY714" s="40"/>
      <c r="BZ714" s="5"/>
      <c r="CB714" s="40"/>
      <c r="CC714" s="5"/>
      <c r="CE714" s="40"/>
      <c r="CF714" s="5"/>
      <c r="CH714" s="40"/>
      <c r="CI714" s="5"/>
      <c r="CK714" s="40"/>
      <c r="CL714" s="5"/>
      <c r="CN714" s="40"/>
      <c r="CO714" s="5"/>
      <c r="CQ714" s="40"/>
      <c r="CR714" s="5"/>
    </row>
    <row r="715">
      <c r="AL715" s="40"/>
      <c r="AM715" s="5"/>
      <c r="AO715" s="40"/>
      <c r="AP715" s="5"/>
      <c r="AR715" s="40"/>
      <c r="AS715" s="5"/>
      <c r="AU715" s="40"/>
      <c r="AV715" s="5"/>
      <c r="AX715" s="40"/>
      <c r="AY715" s="5"/>
      <c r="BA715" s="40"/>
      <c r="BB715" s="5"/>
      <c r="BD715" s="40"/>
      <c r="BE715" s="5"/>
      <c r="BG715" s="40"/>
      <c r="BH715" s="5"/>
      <c r="BJ715" s="40"/>
      <c r="BK715" s="5"/>
      <c r="BM715" s="40"/>
      <c r="BN715" s="5"/>
      <c r="BP715" s="40"/>
      <c r="BQ715" s="5"/>
      <c r="BS715" s="40"/>
      <c r="BT715" s="5"/>
      <c r="BV715" s="40"/>
      <c r="BW715" s="5"/>
      <c r="BY715" s="40"/>
      <c r="BZ715" s="5"/>
      <c r="CB715" s="40"/>
      <c r="CC715" s="5"/>
      <c r="CE715" s="40"/>
      <c r="CF715" s="5"/>
      <c r="CH715" s="40"/>
      <c r="CI715" s="5"/>
      <c r="CK715" s="40"/>
      <c r="CL715" s="5"/>
      <c r="CN715" s="40"/>
      <c r="CO715" s="5"/>
      <c r="CQ715" s="40"/>
      <c r="CR715" s="5"/>
    </row>
    <row r="716">
      <c r="AL716" s="40"/>
      <c r="AM716" s="5"/>
      <c r="AO716" s="40"/>
      <c r="AP716" s="5"/>
      <c r="AR716" s="40"/>
      <c r="AS716" s="5"/>
      <c r="AU716" s="40"/>
      <c r="AV716" s="5"/>
      <c r="AX716" s="40"/>
      <c r="AY716" s="5"/>
      <c r="BA716" s="40"/>
      <c r="BB716" s="5"/>
      <c r="BD716" s="40"/>
      <c r="BE716" s="5"/>
      <c r="BG716" s="40"/>
      <c r="BH716" s="5"/>
      <c r="BJ716" s="40"/>
      <c r="BK716" s="5"/>
      <c r="BM716" s="40"/>
      <c r="BN716" s="5"/>
      <c r="BP716" s="40"/>
      <c r="BQ716" s="5"/>
      <c r="BS716" s="40"/>
      <c r="BT716" s="5"/>
      <c r="BV716" s="40"/>
      <c r="BW716" s="5"/>
      <c r="BY716" s="40"/>
      <c r="BZ716" s="5"/>
      <c r="CB716" s="40"/>
      <c r="CC716" s="5"/>
      <c r="CE716" s="40"/>
      <c r="CF716" s="5"/>
      <c r="CH716" s="40"/>
      <c r="CI716" s="5"/>
      <c r="CK716" s="40"/>
      <c r="CL716" s="5"/>
      <c r="CN716" s="40"/>
      <c r="CO716" s="5"/>
      <c r="CQ716" s="40"/>
      <c r="CR716" s="5"/>
    </row>
    <row r="717">
      <c r="AL717" s="40"/>
      <c r="AM717" s="5"/>
      <c r="AO717" s="40"/>
      <c r="AP717" s="5"/>
      <c r="AR717" s="40"/>
      <c r="AS717" s="5"/>
      <c r="AU717" s="40"/>
      <c r="AV717" s="5"/>
      <c r="AX717" s="40"/>
      <c r="AY717" s="5"/>
      <c r="BA717" s="40"/>
      <c r="BB717" s="5"/>
      <c r="BD717" s="40"/>
      <c r="BE717" s="5"/>
      <c r="BG717" s="40"/>
      <c r="BH717" s="5"/>
      <c r="BJ717" s="40"/>
      <c r="BK717" s="5"/>
      <c r="BM717" s="40"/>
      <c r="BN717" s="5"/>
      <c r="BP717" s="40"/>
      <c r="BQ717" s="5"/>
      <c r="BS717" s="40"/>
      <c r="BT717" s="5"/>
      <c r="BV717" s="40"/>
      <c r="BW717" s="5"/>
      <c r="BY717" s="40"/>
      <c r="BZ717" s="5"/>
      <c r="CB717" s="40"/>
      <c r="CC717" s="5"/>
      <c r="CE717" s="40"/>
      <c r="CF717" s="5"/>
      <c r="CH717" s="40"/>
      <c r="CI717" s="5"/>
      <c r="CK717" s="40"/>
      <c r="CL717" s="5"/>
      <c r="CN717" s="40"/>
      <c r="CO717" s="5"/>
      <c r="CQ717" s="40"/>
      <c r="CR717" s="5"/>
    </row>
    <row r="718">
      <c r="AL718" s="40"/>
      <c r="AM718" s="5"/>
      <c r="AO718" s="40"/>
      <c r="AP718" s="5"/>
      <c r="AR718" s="40"/>
      <c r="AS718" s="5"/>
      <c r="AU718" s="40"/>
      <c r="AV718" s="5"/>
      <c r="AX718" s="40"/>
      <c r="AY718" s="5"/>
      <c r="BA718" s="40"/>
      <c r="BB718" s="5"/>
      <c r="BD718" s="40"/>
      <c r="BE718" s="5"/>
      <c r="BG718" s="40"/>
      <c r="BH718" s="5"/>
      <c r="BJ718" s="40"/>
      <c r="BK718" s="5"/>
      <c r="BM718" s="40"/>
      <c r="BN718" s="5"/>
      <c r="BP718" s="40"/>
      <c r="BQ718" s="5"/>
      <c r="BS718" s="40"/>
      <c r="BT718" s="5"/>
      <c r="BV718" s="40"/>
      <c r="BW718" s="5"/>
      <c r="BY718" s="40"/>
      <c r="BZ718" s="5"/>
      <c r="CB718" s="40"/>
      <c r="CC718" s="5"/>
      <c r="CE718" s="40"/>
      <c r="CF718" s="5"/>
      <c r="CH718" s="40"/>
      <c r="CI718" s="5"/>
      <c r="CK718" s="40"/>
      <c r="CL718" s="5"/>
      <c r="CN718" s="40"/>
      <c r="CO718" s="5"/>
      <c r="CQ718" s="40"/>
      <c r="CR718" s="5"/>
    </row>
    <row r="719">
      <c r="AL719" s="40"/>
      <c r="AM719" s="5"/>
      <c r="AO719" s="40"/>
      <c r="AP719" s="5"/>
      <c r="AR719" s="40"/>
      <c r="AS719" s="5"/>
      <c r="AU719" s="40"/>
      <c r="AV719" s="5"/>
      <c r="AX719" s="40"/>
      <c r="AY719" s="5"/>
      <c r="BA719" s="40"/>
      <c r="BB719" s="5"/>
      <c r="BD719" s="40"/>
      <c r="BE719" s="5"/>
      <c r="BG719" s="40"/>
      <c r="BH719" s="5"/>
      <c r="BJ719" s="40"/>
      <c r="BK719" s="5"/>
      <c r="BM719" s="40"/>
      <c r="BN719" s="5"/>
      <c r="BP719" s="40"/>
      <c r="BQ719" s="5"/>
      <c r="BS719" s="40"/>
      <c r="BT719" s="5"/>
      <c r="BV719" s="40"/>
      <c r="BW719" s="5"/>
      <c r="BY719" s="40"/>
      <c r="BZ719" s="5"/>
      <c r="CB719" s="40"/>
      <c r="CC719" s="5"/>
      <c r="CE719" s="40"/>
      <c r="CF719" s="5"/>
      <c r="CH719" s="40"/>
      <c r="CI719" s="5"/>
      <c r="CK719" s="40"/>
      <c r="CL719" s="5"/>
      <c r="CN719" s="40"/>
      <c r="CO719" s="5"/>
      <c r="CQ719" s="40"/>
      <c r="CR719" s="5"/>
    </row>
    <row r="720">
      <c r="AL720" s="40"/>
      <c r="AM720" s="5"/>
      <c r="AO720" s="40"/>
      <c r="AP720" s="5"/>
      <c r="AR720" s="40"/>
      <c r="AS720" s="5"/>
      <c r="AU720" s="40"/>
      <c r="AV720" s="5"/>
      <c r="AX720" s="40"/>
      <c r="AY720" s="5"/>
      <c r="BA720" s="40"/>
      <c r="BB720" s="5"/>
      <c r="BD720" s="40"/>
      <c r="BE720" s="5"/>
      <c r="BG720" s="40"/>
      <c r="BH720" s="5"/>
      <c r="BJ720" s="40"/>
      <c r="BK720" s="5"/>
      <c r="BM720" s="40"/>
      <c r="BN720" s="5"/>
      <c r="BP720" s="40"/>
      <c r="BQ720" s="5"/>
      <c r="BS720" s="40"/>
      <c r="BT720" s="5"/>
      <c r="BV720" s="40"/>
      <c r="BW720" s="5"/>
      <c r="BY720" s="40"/>
      <c r="BZ720" s="5"/>
      <c r="CB720" s="40"/>
      <c r="CC720" s="5"/>
      <c r="CE720" s="40"/>
      <c r="CF720" s="5"/>
      <c r="CH720" s="40"/>
      <c r="CI720" s="5"/>
      <c r="CK720" s="40"/>
      <c r="CL720" s="5"/>
      <c r="CN720" s="40"/>
      <c r="CO720" s="5"/>
      <c r="CQ720" s="40"/>
      <c r="CR720" s="5"/>
    </row>
    <row r="721">
      <c r="AL721" s="40"/>
      <c r="AM721" s="5"/>
      <c r="AO721" s="40"/>
      <c r="AP721" s="5"/>
      <c r="AR721" s="40"/>
      <c r="AS721" s="5"/>
      <c r="AU721" s="40"/>
      <c r="AV721" s="5"/>
      <c r="AX721" s="40"/>
      <c r="AY721" s="5"/>
      <c r="BA721" s="40"/>
      <c r="BB721" s="5"/>
      <c r="BD721" s="40"/>
      <c r="BE721" s="5"/>
      <c r="BG721" s="40"/>
      <c r="BH721" s="5"/>
      <c r="BJ721" s="40"/>
      <c r="BK721" s="5"/>
      <c r="BM721" s="40"/>
      <c r="BN721" s="5"/>
      <c r="BP721" s="40"/>
      <c r="BQ721" s="5"/>
      <c r="BS721" s="40"/>
      <c r="BT721" s="5"/>
      <c r="BV721" s="40"/>
      <c r="BW721" s="5"/>
      <c r="BY721" s="40"/>
      <c r="BZ721" s="5"/>
      <c r="CB721" s="40"/>
      <c r="CC721" s="5"/>
      <c r="CE721" s="40"/>
      <c r="CF721" s="5"/>
      <c r="CH721" s="40"/>
      <c r="CI721" s="5"/>
      <c r="CK721" s="40"/>
      <c r="CL721" s="5"/>
      <c r="CN721" s="40"/>
      <c r="CO721" s="5"/>
      <c r="CQ721" s="40"/>
      <c r="CR721" s="5"/>
    </row>
    <row r="722">
      <c r="AL722" s="40"/>
      <c r="AM722" s="5"/>
      <c r="AO722" s="40"/>
      <c r="AP722" s="5"/>
      <c r="AR722" s="40"/>
      <c r="AS722" s="5"/>
      <c r="AU722" s="40"/>
      <c r="AV722" s="5"/>
      <c r="AX722" s="40"/>
      <c r="AY722" s="5"/>
      <c r="BA722" s="40"/>
      <c r="BB722" s="5"/>
      <c r="BD722" s="40"/>
      <c r="BE722" s="5"/>
      <c r="BG722" s="40"/>
      <c r="BH722" s="5"/>
      <c r="BJ722" s="40"/>
      <c r="BK722" s="5"/>
      <c r="BM722" s="40"/>
      <c r="BN722" s="5"/>
      <c r="BP722" s="40"/>
      <c r="BQ722" s="5"/>
      <c r="BS722" s="40"/>
      <c r="BT722" s="5"/>
      <c r="BV722" s="40"/>
      <c r="BW722" s="5"/>
      <c r="BY722" s="40"/>
      <c r="BZ722" s="5"/>
      <c r="CB722" s="40"/>
      <c r="CC722" s="5"/>
      <c r="CE722" s="40"/>
      <c r="CF722" s="5"/>
      <c r="CH722" s="40"/>
      <c r="CI722" s="5"/>
      <c r="CK722" s="40"/>
      <c r="CL722" s="5"/>
      <c r="CN722" s="40"/>
      <c r="CO722" s="5"/>
      <c r="CQ722" s="40"/>
      <c r="CR722" s="5"/>
    </row>
    <row r="723">
      <c r="AL723" s="40"/>
      <c r="AM723" s="5"/>
      <c r="AO723" s="40"/>
      <c r="AP723" s="5"/>
      <c r="AR723" s="40"/>
      <c r="AS723" s="5"/>
      <c r="AU723" s="40"/>
      <c r="AV723" s="5"/>
      <c r="AX723" s="40"/>
      <c r="AY723" s="5"/>
      <c r="BA723" s="40"/>
      <c r="BB723" s="5"/>
      <c r="BD723" s="40"/>
      <c r="BE723" s="5"/>
      <c r="BG723" s="40"/>
      <c r="BH723" s="5"/>
      <c r="BJ723" s="40"/>
      <c r="BK723" s="5"/>
      <c r="BM723" s="40"/>
      <c r="BN723" s="5"/>
      <c r="BP723" s="40"/>
      <c r="BQ723" s="5"/>
      <c r="BS723" s="40"/>
      <c r="BT723" s="5"/>
      <c r="BV723" s="40"/>
      <c r="BW723" s="5"/>
      <c r="BY723" s="40"/>
      <c r="BZ723" s="5"/>
      <c r="CB723" s="40"/>
      <c r="CC723" s="5"/>
      <c r="CE723" s="40"/>
      <c r="CF723" s="5"/>
      <c r="CH723" s="40"/>
      <c r="CI723" s="5"/>
      <c r="CK723" s="40"/>
      <c r="CL723" s="5"/>
      <c r="CN723" s="40"/>
      <c r="CO723" s="5"/>
      <c r="CQ723" s="40"/>
      <c r="CR723" s="5"/>
    </row>
    <row r="724">
      <c r="AL724" s="40"/>
      <c r="AM724" s="5"/>
      <c r="AO724" s="40"/>
      <c r="AP724" s="5"/>
      <c r="AR724" s="40"/>
      <c r="AS724" s="5"/>
      <c r="AU724" s="40"/>
      <c r="AV724" s="5"/>
      <c r="AX724" s="40"/>
      <c r="AY724" s="5"/>
      <c r="BA724" s="40"/>
      <c r="BB724" s="5"/>
      <c r="BD724" s="40"/>
      <c r="BE724" s="5"/>
      <c r="BG724" s="40"/>
      <c r="BH724" s="5"/>
      <c r="BJ724" s="40"/>
      <c r="BK724" s="5"/>
      <c r="BM724" s="40"/>
      <c r="BN724" s="5"/>
      <c r="BP724" s="40"/>
      <c r="BQ724" s="5"/>
      <c r="BS724" s="40"/>
      <c r="BT724" s="5"/>
      <c r="BV724" s="40"/>
      <c r="BW724" s="5"/>
      <c r="BY724" s="40"/>
      <c r="BZ724" s="5"/>
      <c r="CB724" s="40"/>
      <c r="CC724" s="5"/>
      <c r="CE724" s="40"/>
      <c r="CF724" s="5"/>
      <c r="CH724" s="40"/>
      <c r="CI724" s="5"/>
      <c r="CK724" s="40"/>
      <c r="CL724" s="5"/>
      <c r="CN724" s="40"/>
      <c r="CO724" s="5"/>
      <c r="CQ724" s="40"/>
      <c r="CR724" s="5"/>
    </row>
    <row r="725">
      <c r="AL725" s="40"/>
      <c r="AM725" s="5"/>
      <c r="AO725" s="40"/>
      <c r="AP725" s="5"/>
      <c r="AR725" s="40"/>
      <c r="AS725" s="5"/>
      <c r="AU725" s="40"/>
      <c r="AV725" s="5"/>
      <c r="AX725" s="40"/>
      <c r="AY725" s="5"/>
      <c r="BA725" s="40"/>
      <c r="BB725" s="5"/>
      <c r="BD725" s="40"/>
      <c r="BE725" s="5"/>
      <c r="BG725" s="40"/>
      <c r="BH725" s="5"/>
      <c r="BJ725" s="40"/>
      <c r="BK725" s="5"/>
      <c r="BM725" s="40"/>
      <c r="BN725" s="5"/>
      <c r="BP725" s="40"/>
      <c r="BQ725" s="5"/>
      <c r="BS725" s="40"/>
      <c r="BT725" s="5"/>
      <c r="BV725" s="40"/>
      <c r="BW725" s="5"/>
      <c r="BY725" s="40"/>
      <c r="BZ725" s="5"/>
      <c r="CB725" s="40"/>
      <c r="CC725" s="5"/>
      <c r="CE725" s="40"/>
      <c r="CF725" s="5"/>
      <c r="CH725" s="40"/>
      <c r="CI725" s="5"/>
      <c r="CK725" s="40"/>
      <c r="CL725" s="5"/>
      <c r="CN725" s="40"/>
      <c r="CO725" s="5"/>
      <c r="CQ725" s="40"/>
      <c r="CR725" s="5"/>
    </row>
    <row r="726">
      <c r="AL726" s="40"/>
      <c r="AM726" s="5"/>
      <c r="AO726" s="40"/>
      <c r="AP726" s="5"/>
      <c r="AR726" s="40"/>
      <c r="AS726" s="5"/>
      <c r="AU726" s="40"/>
      <c r="AV726" s="5"/>
      <c r="AX726" s="40"/>
      <c r="AY726" s="5"/>
      <c r="BA726" s="40"/>
      <c r="BB726" s="5"/>
      <c r="BD726" s="40"/>
      <c r="BE726" s="5"/>
      <c r="BG726" s="40"/>
      <c r="BH726" s="5"/>
      <c r="BJ726" s="40"/>
      <c r="BK726" s="5"/>
      <c r="BM726" s="40"/>
      <c r="BN726" s="5"/>
      <c r="BP726" s="40"/>
      <c r="BQ726" s="5"/>
      <c r="BS726" s="40"/>
      <c r="BT726" s="5"/>
      <c r="BV726" s="40"/>
      <c r="BW726" s="5"/>
      <c r="BY726" s="40"/>
      <c r="BZ726" s="5"/>
      <c r="CB726" s="40"/>
      <c r="CC726" s="5"/>
      <c r="CE726" s="40"/>
      <c r="CF726" s="5"/>
      <c r="CH726" s="40"/>
      <c r="CI726" s="5"/>
      <c r="CK726" s="40"/>
      <c r="CL726" s="5"/>
      <c r="CN726" s="40"/>
      <c r="CO726" s="5"/>
      <c r="CQ726" s="40"/>
      <c r="CR726" s="5"/>
    </row>
    <row r="727">
      <c r="AL727" s="40"/>
      <c r="AM727" s="5"/>
      <c r="AO727" s="40"/>
      <c r="AP727" s="5"/>
      <c r="AR727" s="40"/>
      <c r="AS727" s="5"/>
      <c r="AU727" s="40"/>
      <c r="AV727" s="5"/>
      <c r="AX727" s="40"/>
      <c r="AY727" s="5"/>
      <c r="BA727" s="40"/>
      <c r="BB727" s="5"/>
      <c r="BD727" s="40"/>
      <c r="BE727" s="5"/>
      <c r="BG727" s="40"/>
      <c r="BH727" s="5"/>
      <c r="BJ727" s="40"/>
      <c r="BK727" s="5"/>
      <c r="BM727" s="40"/>
      <c r="BN727" s="5"/>
      <c r="BP727" s="40"/>
      <c r="BQ727" s="5"/>
      <c r="BS727" s="40"/>
      <c r="BT727" s="5"/>
      <c r="BV727" s="40"/>
      <c r="BW727" s="5"/>
      <c r="BY727" s="40"/>
      <c r="BZ727" s="5"/>
      <c r="CB727" s="40"/>
      <c r="CC727" s="5"/>
      <c r="CE727" s="40"/>
      <c r="CF727" s="5"/>
      <c r="CH727" s="40"/>
      <c r="CI727" s="5"/>
      <c r="CK727" s="40"/>
      <c r="CL727" s="5"/>
      <c r="CN727" s="40"/>
      <c r="CO727" s="5"/>
      <c r="CQ727" s="40"/>
      <c r="CR727" s="5"/>
    </row>
    <row r="728">
      <c r="AL728" s="40"/>
      <c r="AM728" s="5"/>
      <c r="AO728" s="40"/>
      <c r="AP728" s="5"/>
      <c r="AR728" s="40"/>
      <c r="AS728" s="5"/>
      <c r="AU728" s="40"/>
      <c r="AV728" s="5"/>
      <c r="AX728" s="40"/>
      <c r="AY728" s="5"/>
      <c r="BA728" s="40"/>
      <c r="BB728" s="5"/>
      <c r="BD728" s="40"/>
      <c r="BE728" s="5"/>
      <c r="BG728" s="40"/>
      <c r="BH728" s="5"/>
      <c r="BJ728" s="40"/>
      <c r="BK728" s="5"/>
      <c r="BM728" s="40"/>
      <c r="BN728" s="5"/>
      <c r="BP728" s="40"/>
      <c r="BQ728" s="5"/>
      <c r="BS728" s="40"/>
      <c r="BT728" s="5"/>
      <c r="BV728" s="40"/>
      <c r="BW728" s="5"/>
      <c r="BY728" s="40"/>
      <c r="BZ728" s="5"/>
      <c r="CB728" s="40"/>
      <c r="CC728" s="5"/>
      <c r="CE728" s="40"/>
      <c r="CF728" s="5"/>
      <c r="CH728" s="40"/>
      <c r="CI728" s="5"/>
      <c r="CK728" s="40"/>
      <c r="CL728" s="5"/>
      <c r="CN728" s="40"/>
      <c r="CO728" s="5"/>
      <c r="CQ728" s="40"/>
      <c r="CR728" s="5"/>
    </row>
    <row r="729">
      <c r="AL729" s="40"/>
      <c r="AM729" s="5"/>
      <c r="AO729" s="40"/>
      <c r="AP729" s="5"/>
      <c r="AR729" s="40"/>
      <c r="AS729" s="5"/>
      <c r="AU729" s="40"/>
      <c r="AV729" s="5"/>
      <c r="AX729" s="40"/>
      <c r="AY729" s="5"/>
      <c r="BA729" s="40"/>
      <c r="BB729" s="5"/>
      <c r="BD729" s="40"/>
      <c r="BE729" s="5"/>
      <c r="BG729" s="40"/>
      <c r="BH729" s="5"/>
      <c r="BJ729" s="40"/>
      <c r="BK729" s="5"/>
      <c r="BM729" s="40"/>
      <c r="BN729" s="5"/>
      <c r="BP729" s="40"/>
      <c r="BQ729" s="5"/>
      <c r="BS729" s="40"/>
      <c r="BT729" s="5"/>
      <c r="BV729" s="40"/>
      <c r="BW729" s="5"/>
      <c r="BY729" s="40"/>
      <c r="BZ729" s="5"/>
      <c r="CB729" s="40"/>
      <c r="CC729" s="5"/>
      <c r="CE729" s="40"/>
      <c r="CF729" s="5"/>
      <c r="CH729" s="40"/>
      <c r="CI729" s="5"/>
      <c r="CK729" s="40"/>
      <c r="CL729" s="5"/>
      <c r="CN729" s="40"/>
      <c r="CO729" s="5"/>
      <c r="CQ729" s="40"/>
      <c r="CR729" s="5"/>
    </row>
    <row r="730">
      <c r="AL730" s="40"/>
      <c r="AM730" s="5"/>
      <c r="AO730" s="40"/>
      <c r="AP730" s="5"/>
      <c r="AR730" s="40"/>
      <c r="AS730" s="5"/>
      <c r="AU730" s="40"/>
      <c r="AV730" s="5"/>
      <c r="AX730" s="40"/>
      <c r="AY730" s="5"/>
      <c r="BA730" s="40"/>
      <c r="BB730" s="5"/>
      <c r="BD730" s="40"/>
      <c r="BE730" s="5"/>
      <c r="BG730" s="40"/>
      <c r="BH730" s="5"/>
      <c r="BJ730" s="40"/>
      <c r="BK730" s="5"/>
      <c r="BM730" s="40"/>
      <c r="BN730" s="5"/>
      <c r="BP730" s="40"/>
      <c r="BQ730" s="5"/>
      <c r="BS730" s="40"/>
      <c r="BT730" s="5"/>
      <c r="BV730" s="40"/>
      <c r="BW730" s="5"/>
      <c r="BY730" s="40"/>
      <c r="BZ730" s="5"/>
      <c r="CB730" s="40"/>
      <c r="CC730" s="5"/>
      <c r="CE730" s="40"/>
      <c r="CF730" s="5"/>
      <c r="CH730" s="40"/>
      <c r="CI730" s="5"/>
      <c r="CK730" s="40"/>
      <c r="CL730" s="5"/>
      <c r="CN730" s="40"/>
      <c r="CO730" s="5"/>
      <c r="CQ730" s="40"/>
      <c r="CR730" s="5"/>
    </row>
    <row r="731">
      <c r="AL731" s="40"/>
      <c r="AM731" s="5"/>
      <c r="AO731" s="40"/>
      <c r="AP731" s="5"/>
      <c r="AR731" s="40"/>
      <c r="AS731" s="5"/>
      <c r="AU731" s="40"/>
      <c r="AV731" s="5"/>
      <c r="AX731" s="40"/>
      <c r="AY731" s="5"/>
      <c r="BA731" s="40"/>
      <c r="BB731" s="5"/>
      <c r="BD731" s="40"/>
      <c r="BE731" s="5"/>
      <c r="BG731" s="40"/>
      <c r="BH731" s="5"/>
      <c r="BJ731" s="40"/>
      <c r="BK731" s="5"/>
      <c r="BM731" s="40"/>
      <c r="BN731" s="5"/>
      <c r="BP731" s="40"/>
      <c r="BQ731" s="5"/>
      <c r="BS731" s="40"/>
      <c r="BT731" s="5"/>
      <c r="BV731" s="40"/>
      <c r="BW731" s="5"/>
      <c r="BY731" s="40"/>
      <c r="BZ731" s="5"/>
      <c r="CB731" s="40"/>
      <c r="CC731" s="5"/>
      <c r="CE731" s="40"/>
      <c r="CF731" s="5"/>
      <c r="CH731" s="40"/>
      <c r="CI731" s="5"/>
      <c r="CK731" s="40"/>
      <c r="CL731" s="5"/>
      <c r="CN731" s="40"/>
      <c r="CO731" s="5"/>
      <c r="CQ731" s="40"/>
      <c r="CR731" s="5"/>
    </row>
    <row r="732">
      <c r="AL732" s="40"/>
      <c r="AM732" s="5"/>
      <c r="AO732" s="40"/>
      <c r="AP732" s="5"/>
      <c r="AR732" s="40"/>
      <c r="AS732" s="5"/>
      <c r="AU732" s="40"/>
      <c r="AV732" s="5"/>
      <c r="AX732" s="40"/>
      <c r="AY732" s="5"/>
      <c r="BA732" s="40"/>
      <c r="BB732" s="5"/>
      <c r="BD732" s="40"/>
      <c r="BE732" s="5"/>
      <c r="BG732" s="40"/>
      <c r="BH732" s="5"/>
      <c r="BJ732" s="40"/>
      <c r="BK732" s="5"/>
      <c r="BM732" s="40"/>
      <c r="BN732" s="5"/>
      <c r="BP732" s="40"/>
      <c r="BQ732" s="5"/>
      <c r="BS732" s="40"/>
      <c r="BT732" s="5"/>
      <c r="BV732" s="40"/>
      <c r="BW732" s="5"/>
      <c r="BY732" s="40"/>
      <c r="BZ732" s="5"/>
      <c r="CB732" s="40"/>
      <c r="CC732" s="5"/>
      <c r="CE732" s="40"/>
      <c r="CF732" s="5"/>
      <c r="CH732" s="40"/>
      <c r="CI732" s="5"/>
      <c r="CK732" s="40"/>
      <c r="CL732" s="5"/>
      <c r="CN732" s="40"/>
      <c r="CO732" s="5"/>
      <c r="CQ732" s="40"/>
      <c r="CR732" s="5"/>
    </row>
    <row r="733">
      <c r="AL733" s="40"/>
      <c r="AM733" s="5"/>
      <c r="AO733" s="40"/>
      <c r="AP733" s="5"/>
      <c r="AR733" s="40"/>
      <c r="AS733" s="5"/>
      <c r="AU733" s="40"/>
      <c r="AV733" s="5"/>
      <c r="AX733" s="40"/>
      <c r="AY733" s="5"/>
      <c r="BA733" s="40"/>
      <c r="BB733" s="5"/>
      <c r="BD733" s="40"/>
      <c r="BE733" s="5"/>
      <c r="BG733" s="40"/>
      <c r="BH733" s="5"/>
      <c r="BJ733" s="40"/>
      <c r="BK733" s="5"/>
      <c r="BM733" s="40"/>
      <c r="BN733" s="5"/>
      <c r="BP733" s="40"/>
      <c r="BQ733" s="5"/>
      <c r="BS733" s="40"/>
      <c r="BT733" s="5"/>
      <c r="BV733" s="40"/>
      <c r="BW733" s="5"/>
      <c r="BY733" s="40"/>
      <c r="BZ733" s="5"/>
      <c r="CB733" s="40"/>
      <c r="CC733" s="5"/>
      <c r="CE733" s="40"/>
      <c r="CF733" s="5"/>
      <c r="CH733" s="40"/>
      <c r="CI733" s="5"/>
      <c r="CK733" s="40"/>
      <c r="CL733" s="5"/>
      <c r="CN733" s="40"/>
      <c r="CO733" s="5"/>
      <c r="CQ733" s="40"/>
      <c r="CR733" s="5"/>
    </row>
    <row r="734">
      <c r="AL734" s="40"/>
      <c r="AM734" s="5"/>
      <c r="AO734" s="40"/>
      <c r="AP734" s="5"/>
      <c r="AR734" s="40"/>
      <c r="AS734" s="5"/>
      <c r="AU734" s="40"/>
      <c r="AV734" s="5"/>
      <c r="AX734" s="40"/>
      <c r="AY734" s="5"/>
      <c r="BA734" s="40"/>
      <c r="BB734" s="5"/>
      <c r="BD734" s="40"/>
      <c r="BE734" s="5"/>
      <c r="BG734" s="40"/>
      <c r="BH734" s="5"/>
      <c r="BJ734" s="40"/>
      <c r="BK734" s="5"/>
      <c r="BM734" s="40"/>
      <c r="BN734" s="5"/>
      <c r="BP734" s="40"/>
      <c r="BQ734" s="5"/>
      <c r="BS734" s="40"/>
      <c r="BT734" s="5"/>
      <c r="BV734" s="40"/>
      <c r="BW734" s="5"/>
      <c r="BY734" s="40"/>
      <c r="BZ734" s="5"/>
      <c r="CB734" s="40"/>
      <c r="CC734" s="5"/>
      <c r="CE734" s="40"/>
      <c r="CF734" s="5"/>
      <c r="CH734" s="40"/>
      <c r="CI734" s="5"/>
      <c r="CK734" s="40"/>
      <c r="CL734" s="5"/>
      <c r="CN734" s="40"/>
      <c r="CO734" s="5"/>
      <c r="CQ734" s="40"/>
      <c r="CR734" s="5"/>
    </row>
    <row r="735">
      <c r="AL735" s="40"/>
      <c r="AM735" s="5"/>
      <c r="AO735" s="40"/>
      <c r="AP735" s="5"/>
      <c r="AR735" s="40"/>
      <c r="AS735" s="5"/>
      <c r="AU735" s="40"/>
      <c r="AV735" s="5"/>
      <c r="AX735" s="40"/>
      <c r="AY735" s="5"/>
      <c r="BA735" s="40"/>
      <c r="BB735" s="5"/>
      <c r="BD735" s="40"/>
      <c r="BE735" s="5"/>
      <c r="BG735" s="40"/>
      <c r="BH735" s="5"/>
      <c r="BJ735" s="40"/>
      <c r="BK735" s="5"/>
      <c r="BM735" s="40"/>
      <c r="BN735" s="5"/>
      <c r="BP735" s="40"/>
      <c r="BQ735" s="5"/>
      <c r="BS735" s="40"/>
      <c r="BT735" s="5"/>
      <c r="BV735" s="40"/>
      <c r="BW735" s="5"/>
      <c r="BY735" s="40"/>
      <c r="BZ735" s="5"/>
      <c r="CB735" s="40"/>
      <c r="CC735" s="5"/>
      <c r="CE735" s="40"/>
      <c r="CF735" s="5"/>
      <c r="CH735" s="40"/>
      <c r="CI735" s="5"/>
      <c r="CK735" s="40"/>
      <c r="CL735" s="5"/>
      <c r="CN735" s="40"/>
      <c r="CO735" s="5"/>
      <c r="CQ735" s="40"/>
      <c r="CR735" s="5"/>
    </row>
    <row r="736">
      <c r="AL736" s="40"/>
      <c r="AM736" s="5"/>
      <c r="AO736" s="40"/>
      <c r="AP736" s="5"/>
      <c r="AR736" s="40"/>
      <c r="AS736" s="5"/>
      <c r="AU736" s="40"/>
      <c r="AV736" s="5"/>
      <c r="AX736" s="40"/>
      <c r="AY736" s="5"/>
      <c r="BA736" s="40"/>
      <c r="BB736" s="5"/>
      <c r="BD736" s="40"/>
      <c r="BE736" s="5"/>
      <c r="BG736" s="40"/>
      <c r="BH736" s="5"/>
      <c r="BJ736" s="40"/>
      <c r="BK736" s="5"/>
      <c r="BM736" s="40"/>
      <c r="BN736" s="5"/>
      <c r="BP736" s="40"/>
      <c r="BQ736" s="5"/>
      <c r="BS736" s="40"/>
      <c r="BT736" s="5"/>
      <c r="BV736" s="40"/>
      <c r="BW736" s="5"/>
      <c r="BY736" s="40"/>
      <c r="BZ736" s="5"/>
      <c r="CB736" s="40"/>
      <c r="CC736" s="5"/>
      <c r="CE736" s="40"/>
      <c r="CF736" s="5"/>
      <c r="CH736" s="40"/>
      <c r="CI736" s="5"/>
      <c r="CK736" s="40"/>
      <c r="CL736" s="5"/>
      <c r="CN736" s="40"/>
      <c r="CO736" s="5"/>
      <c r="CQ736" s="40"/>
      <c r="CR736" s="5"/>
    </row>
    <row r="737">
      <c r="AL737" s="40"/>
      <c r="AM737" s="5"/>
      <c r="AO737" s="40"/>
      <c r="AP737" s="5"/>
      <c r="AR737" s="40"/>
      <c r="AS737" s="5"/>
      <c r="AU737" s="40"/>
      <c r="AV737" s="5"/>
      <c r="AX737" s="40"/>
      <c r="AY737" s="5"/>
      <c r="BA737" s="40"/>
      <c r="BB737" s="5"/>
      <c r="BD737" s="40"/>
      <c r="BE737" s="5"/>
      <c r="BG737" s="40"/>
      <c r="BH737" s="5"/>
      <c r="BJ737" s="40"/>
      <c r="BK737" s="5"/>
      <c r="BM737" s="40"/>
      <c r="BN737" s="5"/>
      <c r="BP737" s="40"/>
      <c r="BQ737" s="5"/>
      <c r="BS737" s="40"/>
      <c r="BT737" s="5"/>
      <c r="BV737" s="40"/>
      <c r="BW737" s="5"/>
      <c r="BY737" s="40"/>
      <c r="BZ737" s="5"/>
      <c r="CB737" s="40"/>
      <c r="CC737" s="5"/>
      <c r="CE737" s="40"/>
      <c r="CF737" s="5"/>
      <c r="CH737" s="40"/>
      <c r="CI737" s="5"/>
      <c r="CK737" s="40"/>
      <c r="CL737" s="5"/>
      <c r="CN737" s="40"/>
      <c r="CO737" s="5"/>
      <c r="CQ737" s="40"/>
      <c r="CR737" s="5"/>
    </row>
    <row r="738">
      <c r="AL738" s="40"/>
      <c r="AM738" s="5"/>
      <c r="AO738" s="40"/>
      <c r="AP738" s="5"/>
      <c r="AR738" s="40"/>
      <c r="AS738" s="5"/>
      <c r="AU738" s="40"/>
      <c r="AV738" s="5"/>
      <c r="AX738" s="40"/>
      <c r="AY738" s="5"/>
      <c r="BA738" s="40"/>
      <c r="BB738" s="5"/>
      <c r="BD738" s="40"/>
      <c r="BE738" s="5"/>
      <c r="BG738" s="40"/>
      <c r="BH738" s="5"/>
      <c r="BJ738" s="40"/>
      <c r="BK738" s="5"/>
      <c r="BM738" s="40"/>
      <c r="BN738" s="5"/>
      <c r="BP738" s="40"/>
      <c r="BQ738" s="5"/>
      <c r="BS738" s="40"/>
      <c r="BT738" s="5"/>
      <c r="BV738" s="40"/>
      <c r="BW738" s="5"/>
      <c r="BY738" s="40"/>
      <c r="BZ738" s="5"/>
      <c r="CB738" s="40"/>
      <c r="CC738" s="5"/>
      <c r="CE738" s="40"/>
      <c r="CF738" s="5"/>
      <c r="CH738" s="40"/>
      <c r="CI738" s="5"/>
      <c r="CK738" s="40"/>
      <c r="CL738" s="5"/>
      <c r="CN738" s="40"/>
      <c r="CO738" s="5"/>
      <c r="CQ738" s="40"/>
      <c r="CR738" s="5"/>
    </row>
    <row r="739">
      <c r="AL739" s="40"/>
      <c r="AM739" s="5"/>
      <c r="AO739" s="40"/>
      <c r="AP739" s="5"/>
      <c r="AR739" s="40"/>
      <c r="AS739" s="5"/>
      <c r="AU739" s="40"/>
      <c r="AV739" s="5"/>
      <c r="AX739" s="40"/>
      <c r="AY739" s="5"/>
      <c r="BA739" s="40"/>
      <c r="BB739" s="5"/>
      <c r="BD739" s="40"/>
      <c r="BE739" s="5"/>
      <c r="BG739" s="40"/>
      <c r="BH739" s="5"/>
      <c r="BJ739" s="40"/>
      <c r="BK739" s="5"/>
      <c r="BM739" s="40"/>
      <c r="BN739" s="5"/>
      <c r="BP739" s="40"/>
      <c r="BQ739" s="5"/>
      <c r="BS739" s="40"/>
      <c r="BT739" s="5"/>
      <c r="BV739" s="40"/>
      <c r="BW739" s="5"/>
      <c r="BY739" s="40"/>
      <c r="BZ739" s="5"/>
      <c r="CB739" s="40"/>
      <c r="CC739" s="5"/>
      <c r="CE739" s="40"/>
      <c r="CF739" s="5"/>
      <c r="CH739" s="40"/>
      <c r="CI739" s="5"/>
      <c r="CK739" s="40"/>
      <c r="CL739" s="5"/>
      <c r="CN739" s="40"/>
      <c r="CO739" s="5"/>
      <c r="CQ739" s="40"/>
      <c r="CR739" s="5"/>
    </row>
    <row r="740">
      <c r="AL740" s="40"/>
      <c r="AM740" s="5"/>
      <c r="AO740" s="40"/>
      <c r="AP740" s="5"/>
      <c r="AR740" s="40"/>
      <c r="AS740" s="5"/>
      <c r="AU740" s="40"/>
      <c r="AV740" s="5"/>
      <c r="AX740" s="40"/>
      <c r="AY740" s="5"/>
      <c r="BA740" s="40"/>
      <c r="BB740" s="5"/>
      <c r="BD740" s="40"/>
      <c r="BE740" s="5"/>
      <c r="BG740" s="40"/>
      <c r="BH740" s="5"/>
      <c r="BJ740" s="40"/>
      <c r="BK740" s="5"/>
      <c r="BM740" s="40"/>
      <c r="BN740" s="5"/>
      <c r="BP740" s="40"/>
      <c r="BQ740" s="5"/>
      <c r="BS740" s="40"/>
      <c r="BT740" s="5"/>
      <c r="BV740" s="40"/>
      <c r="BW740" s="5"/>
      <c r="BY740" s="40"/>
      <c r="BZ740" s="5"/>
      <c r="CB740" s="40"/>
      <c r="CC740" s="5"/>
      <c r="CE740" s="40"/>
      <c r="CF740" s="5"/>
      <c r="CH740" s="40"/>
      <c r="CI740" s="5"/>
      <c r="CK740" s="40"/>
      <c r="CL740" s="5"/>
      <c r="CN740" s="40"/>
      <c r="CO740" s="5"/>
      <c r="CQ740" s="40"/>
      <c r="CR740" s="5"/>
    </row>
    <row r="741">
      <c r="AL741" s="40"/>
      <c r="AM741" s="5"/>
      <c r="AO741" s="40"/>
      <c r="AP741" s="5"/>
      <c r="AR741" s="40"/>
      <c r="AS741" s="5"/>
      <c r="AU741" s="40"/>
      <c r="AV741" s="5"/>
      <c r="AX741" s="40"/>
      <c r="AY741" s="5"/>
      <c r="BA741" s="40"/>
      <c r="BB741" s="5"/>
      <c r="BD741" s="40"/>
      <c r="BE741" s="5"/>
      <c r="BG741" s="40"/>
      <c r="BH741" s="5"/>
      <c r="BJ741" s="40"/>
      <c r="BK741" s="5"/>
      <c r="BM741" s="40"/>
      <c r="BN741" s="5"/>
      <c r="BP741" s="40"/>
      <c r="BQ741" s="5"/>
      <c r="BS741" s="40"/>
      <c r="BT741" s="5"/>
      <c r="BV741" s="40"/>
      <c r="BW741" s="5"/>
      <c r="BY741" s="40"/>
      <c r="BZ741" s="5"/>
      <c r="CB741" s="40"/>
      <c r="CC741" s="5"/>
      <c r="CE741" s="40"/>
      <c r="CF741" s="5"/>
      <c r="CH741" s="40"/>
      <c r="CI741" s="5"/>
      <c r="CK741" s="40"/>
      <c r="CL741" s="5"/>
      <c r="CN741" s="40"/>
      <c r="CO741" s="5"/>
      <c r="CQ741" s="40"/>
      <c r="CR741" s="5"/>
    </row>
    <row r="742">
      <c r="AL742" s="40"/>
      <c r="AM742" s="5"/>
      <c r="AO742" s="40"/>
      <c r="AP742" s="5"/>
      <c r="AR742" s="40"/>
      <c r="AS742" s="5"/>
      <c r="AU742" s="40"/>
      <c r="AV742" s="5"/>
      <c r="AX742" s="40"/>
      <c r="AY742" s="5"/>
      <c r="BA742" s="40"/>
      <c r="BB742" s="5"/>
      <c r="BD742" s="40"/>
      <c r="BE742" s="5"/>
      <c r="BG742" s="40"/>
      <c r="BH742" s="5"/>
      <c r="BJ742" s="40"/>
      <c r="BK742" s="5"/>
      <c r="BM742" s="40"/>
      <c r="BN742" s="5"/>
      <c r="BP742" s="40"/>
      <c r="BQ742" s="5"/>
      <c r="BS742" s="40"/>
      <c r="BT742" s="5"/>
      <c r="BV742" s="40"/>
      <c r="BW742" s="5"/>
      <c r="BY742" s="40"/>
      <c r="BZ742" s="5"/>
      <c r="CB742" s="40"/>
      <c r="CC742" s="5"/>
      <c r="CE742" s="40"/>
      <c r="CF742" s="5"/>
      <c r="CH742" s="40"/>
      <c r="CI742" s="5"/>
      <c r="CK742" s="40"/>
      <c r="CL742" s="5"/>
      <c r="CN742" s="40"/>
      <c r="CO742" s="5"/>
      <c r="CQ742" s="40"/>
      <c r="CR742" s="5"/>
    </row>
    <row r="743">
      <c r="AL743" s="40"/>
      <c r="AM743" s="5"/>
      <c r="AO743" s="40"/>
      <c r="AP743" s="5"/>
      <c r="AR743" s="40"/>
      <c r="AS743" s="5"/>
      <c r="AU743" s="40"/>
      <c r="AV743" s="5"/>
      <c r="AX743" s="40"/>
      <c r="AY743" s="5"/>
      <c r="BA743" s="40"/>
      <c r="BB743" s="5"/>
      <c r="BD743" s="40"/>
      <c r="BE743" s="5"/>
      <c r="BG743" s="40"/>
      <c r="BH743" s="5"/>
      <c r="BJ743" s="40"/>
      <c r="BK743" s="5"/>
      <c r="BM743" s="40"/>
      <c r="BN743" s="5"/>
      <c r="BP743" s="40"/>
      <c r="BQ743" s="5"/>
      <c r="BS743" s="40"/>
      <c r="BT743" s="5"/>
      <c r="BV743" s="40"/>
      <c r="BW743" s="5"/>
      <c r="BY743" s="40"/>
      <c r="BZ743" s="5"/>
      <c r="CB743" s="40"/>
      <c r="CC743" s="5"/>
      <c r="CE743" s="40"/>
      <c r="CF743" s="5"/>
      <c r="CH743" s="40"/>
      <c r="CI743" s="5"/>
      <c r="CK743" s="40"/>
      <c r="CL743" s="5"/>
      <c r="CN743" s="40"/>
      <c r="CO743" s="5"/>
      <c r="CQ743" s="40"/>
      <c r="CR743" s="5"/>
    </row>
    <row r="744">
      <c r="AL744" s="40"/>
      <c r="AM744" s="5"/>
      <c r="AO744" s="40"/>
      <c r="AP744" s="5"/>
      <c r="AR744" s="40"/>
      <c r="AS744" s="5"/>
      <c r="AU744" s="40"/>
      <c r="AV744" s="5"/>
      <c r="AX744" s="40"/>
      <c r="AY744" s="5"/>
      <c r="BA744" s="40"/>
      <c r="BB744" s="5"/>
      <c r="BD744" s="40"/>
      <c r="BE744" s="5"/>
      <c r="BG744" s="40"/>
      <c r="BH744" s="5"/>
      <c r="BJ744" s="40"/>
      <c r="BK744" s="5"/>
      <c r="BM744" s="40"/>
      <c r="BN744" s="5"/>
      <c r="BP744" s="40"/>
      <c r="BQ744" s="5"/>
      <c r="BS744" s="40"/>
      <c r="BT744" s="5"/>
      <c r="BV744" s="40"/>
      <c r="BW744" s="5"/>
      <c r="BY744" s="40"/>
      <c r="BZ744" s="5"/>
      <c r="CB744" s="40"/>
      <c r="CC744" s="5"/>
      <c r="CE744" s="40"/>
      <c r="CF744" s="5"/>
      <c r="CH744" s="40"/>
      <c r="CI744" s="5"/>
      <c r="CK744" s="40"/>
      <c r="CL744" s="5"/>
      <c r="CN744" s="40"/>
      <c r="CO744" s="5"/>
      <c r="CQ744" s="40"/>
      <c r="CR744" s="5"/>
    </row>
    <row r="745">
      <c r="AL745" s="40"/>
      <c r="AM745" s="5"/>
      <c r="AO745" s="40"/>
      <c r="AP745" s="5"/>
      <c r="AR745" s="40"/>
      <c r="AS745" s="5"/>
      <c r="AU745" s="40"/>
      <c r="AV745" s="5"/>
      <c r="AX745" s="40"/>
      <c r="AY745" s="5"/>
      <c r="BA745" s="40"/>
      <c r="BB745" s="5"/>
      <c r="BD745" s="40"/>
      <c r="BE745" s="5"/>
      <c r="BG745" s="40"/>
      <c r="BH745" s="5"/>
      <c r="BJ745" s="40"/>
      <c r="BK745" s="5"/>
      <c r="BM745" s="40"/>
      <c r="BN745" s="5"/>
      <c r="BP745" s="40"/>
      <c r="BQ745" s="5"/>
      <c r="BS745" s="40"/>
      <c r="BT745" s="5"/>
      <c r="BV745" s="40"/>
      <c r="BW745" s="5"/>
      <c r="BY745" s="40"/>
      <c r="BZ745" s="5"/>
      <c r="CB745" s="40"/>
      <c r="CC745" s="5"/>
      <c r="CE745" s="40"/>
      <c r="CF745" s="5"/>
      <c r="CH745" s="40"/>
      <c r="CI745" s="5"/>
      <c r="CK745" s="40"/>
      <c r="CL745" s="5"/>
      <c r="CN745" s="40"/>
      <c r="CO745" s="5"/>
      <c r="CQ745" s="40"/>
      <c r="CR745" s="5"/>
    </row>
    <row r="746">
      <c r="AL746" s="40"/>
      <c r="AM746" s="5"/>
      <c r="AO746" s="40"/>
      <c r="AP746" s="5"/>
      <c r="AR746" s="40"/>
      <c r="AS746" s="5"/>
      <c r="AU746" s="40"/>
      <c r="AV746" s="5"/>
      <c r="AX746" s="40"/>
      <c r="AY746" s="5"/>
      <c r="BA746" s="40"/>
      <c r="BB746" s="5"/>
      <c r="BD746" s="40"/>
      <c r="BE746" s="5"/>
      <c r="BG746" s="40"/>
      <c r="BH746" s="5"/>
      <c r="BJ746" s="40"/>
      <c r="BK746" s="5"/>
      <c r="BM746" s="40"/>
      <c r="BN746" s="5"/>
      <c r="BP746" s="40"/>
      <c r="BQ746" s="5"/>
      <c r="BS746" s="40"/>
      <c r="BT746" s="5"/>
      <c r="BV746" s="40"/>
      <c r="BW746" s="5"/>
      <c r="BY746" s="40"/>
      <c r="BZ746" s="5"/>
      <c r="CB746" s="40"/>
      <c r="CC746" s="5"/>
      <c r="CE746" s="40"/>
      <c r="CF746" s="5"/>
      <c r="CH746" s="40"/>
      <c r="CI746" s="5"/>
      <c r="CK746" s="40"/>
      <c r="CL746" s="5"/>
      <c r="CN746" s="40"/>
      <c r="CO746" s="5"/>
      <c r="CQ746" s="40"/>
      <c r="CR746" s="5"/>
    </row>
    <row r="747">
      <c r="AL747" s="40"/>
      <c r="AM747" s="5"/>
      <c r="AO747" s="40"/>
      <c r="AP747" s="5"/>
      <c r="AR747" s="40"/>
      <c r="AS747" s="5"/>
      <c r="AU747" s="40"/>
      <c r="AV747" s="5"/>
      <c r="AX747" s="40"/>
      <c r="AY747" s="5"/>
      <c r="BA747" s="40"/>
      <c r="BB747" s="5"/>
      <c r="BD747" s="40"/>
      <c r="BE747" s="5"/>
      <c r="BG747" s="40"/>
      <c r="BH747" s="5"/>
      <c r="BJ747" s="40"/>
      <c r="BK747" s="5"/>
      <c r="BM747" s="40"/>
      <c r="BN747" s="5"/>
      <c r="BP747" s="40"/>
      <c r="BQ747" s="5"/>
      <c r="BS747" s="40"/>
      <c r="BT747" s="5"/>
      <c r="BV747" s="40"/>
      <c r="BW747" s="5"/>
      <c r="BY747" s="40"/>
      <c r="BZ747" s="5"/>
      <c r="CB747" s="40"/>
      <c r="CC747" s="5"/>
      <c r="CE747" s="40"/>
      <c r="CF747" s="5"/>
      <c r="CH747" s="40"/>
      <c r="CI747" s="5"/>
      <c r="CK747" s="40"/>
      <c r="CL747" s="5"/>
      <c r="CN747" s="40"/>
      <c r="CO747" s="5"/>
      <c r="CQ747" s="40"/>
      <c r="CR747" s="5"/>
    </row>
    <row r="748">
      <c r="AL748" s="40"/>
      <c r="AM748" s="5"/>
      <c r="AO748" s="40"/>
      <c r="AP748" s="5"/>
      <c r="AR748" s="40"/>
      <c r="AS748" s="5"/>
      <c r="AU748" s="40"/>
      <c r="AV748" s="5"/>
      <c r="AX748" s="40"/>
      <c r="AY748" s="5"/>
      <c r="BA748" s="40"/>
      <c r="BB748" s="5"/>
      <c r="BD748" s="40"/>
      <c r="BE748" s="5"/>
      <c r="BG748" s="40"/>
      <c r="BH748" s="5"/>
      <c r="BJ748" s="40"/>
      <c r="BK748" s="5"/>
      <c r="BM748" s="40"/>
      <c r="BN748" s="5"/>
      <c r="BP748" s="40"/>
      <c r="BQ748" s="5"/>
      <c r="BS748" s="40"/>
      <c r="BT748" s="5"/>
      <c r="BV748" s="40"/>
      <c r="BW748" s="5"/>
      <c r="BY748" s="40"/>
      <c r="BZ748" s="5"/>
      <c r="CB748" s="40"/>
      <c r="CC748" s="5"/>
      <c r="CE748" s="40"/>
      <c r="CF748" s="5"/>
      <c r="CH748" s="40"/>
      <c r="CI748" s="5"/>
      <c r="CK748" s="40"/>
      <c r="CL748" s="5"/>
      <c r="CN748" s="40"/>
      <c r="CO748" s="5"/>
      <c r="CQ748" s="40"/>
      <c r="CR748" s="5"/>
    </row>
    <row r="749">
      <c r="AL749" s="40"/>
      <c r="AM749" s="5"/>
      <c r="AO749" s="40"/>
      <c r="AP749" s="5"/>
      <c r="AR749" s="40"/>
      <c r="AS749" s="5"/>
      <c r="AU749" s="40"/>
      <c r="AV749" s="5"/>
      <c r="AX749" s="40"/>
      <c r="AY749" s="5"/>
      <c r="BA749" s="40"/>
      <c r="BB749" s="5"/>
      <c r="BD749" s="40"/>
      <c r="BE749" s="5"/>
      <c r="BG749" s="40"/>
      <c r="BH749" s="5"/>
      <c r="BJ749" s="40"/>
      <c r="BK749" s="5"/>
      <c r="BM749" s="40"/>
      <c r="BN749" s="5"/>
      <c r="BP749" s="40"/>
      <c r="BQ749" s="5"/>
      <c r="BS749" s="40"/>
      <c r="BT749" s="5"/>
      <c r="BV749" s="40"/>
      <c r="BW749" s="5"/>
      <c r="BY749" s="40"/>
      <c r="BZ749" s="5"/>
      <c r="CB749" s="40"/>
      <c r="CC749" s="5"/>
      <c r="CE749" s="40"/>
      <c r="CF749" s="5"/>
      <c r="CH749" s="40"/>
      <c r="CI749" s="5"/>
      <c r="CK749" s="40"/>
      <c r="CL749" s="5"/>
      <c r="CN749" s="40"/>
      <c r="CO749" s="5"/>
      <c r="CQ749" s="40"/>
      <c r="CR749" s="5"/>
    </row>
    <row r="750">
      <c r="AL750" s="40"/>
      <c r="AM750" s="5"/>
      <c r="AO750" s="40"/>
      <c r="AP750" s="5"/>
      <c r="AR750" s="40"/>
      <c r="AS750" s="5"/>
      <c r="AU750" s="40"/>
      <c r="AV750" s="5"/>
      <c r="AX750" s="40"/>
      <c r="AY750" s="5"/>
      <c r="BA750" s="40"/>
      <c r="BB750" s="5"/>
      <c r="BD750" s="40"/>
      <c r="BE750" s="5"/>
      <c r="BG750" s="40"/>
      <c r="BH750" s="5"/>
      <c r="BJ750" s="40"/>
      <c r="BK750" s="5"/>
      <c r="BM750" s="40"/>
      <c r="BN750" s="5"/>
      <c r="BP750" s="40"/>
      <c r="BQ750" s="5"/>
      <c r="BS750" s="40"/>
      <c r="BT750" s="5"/>
      <c r="BV750" s="40"/>
      <c r="BW750" s="5"/>
      <c r="BY750" s="40"/>
      <c r="BZ750" s="5"/>
      <c r="CB750" s="40"/>
      <c r="CC750" s="5"/>
      <c r="CE750" s="40"/>
      <c r="CF750" s="5"/>
      <c r="CH750" s="40"/>
      <c r="CI750" s="5"/>
      <c r="CK750" s="40"/>
      <c r="CL750" s="5"/>
      <c r="CN750" s="40"/>
      <c r="CO750" s="5"/>
      <c r="CQ750" s="40"/>
      <c r="CR750" s="5"/>
    </row>
    <row r="751">
      <c r="AL751" s="40"/>
      <c r="AM751" s="5"/>
      <c r="AO751" s="40"/>
      <c r="AP751" s="5"/>
      <c r="AR751" s="40"/>
      <c r="AS751" s="5"/>
      <c r="AU751" s="40"/>
      <c r="AV751" s="5"/>
      <c r="AX751" s="40"/>
      <c r="AY751" s="5"/>
      <c r="BA751" s="40"/>
      <c r="BB751" s="5"/>
      <c r="BD751" s="40"/>
      <c r="BE751" s="5"/>
      <c r="BG751" s="40"/>
      <c r="BH751" s="5"/>
      <c r="BJ751" s="40"/>
      <c r="BK751" s="5"/>
      <c r="BM751" s="40"/>
      <c r="BN751" s="5"/>
      <c r="BP751" s="40"/>
      <c r="BQ751" s="5"/>
      <c r="BS751" s="40"/>
      <c r="BT751" s="5"/>
      <c r="BV751" s="40"/>
      <c r="BW751" s="5"/>
      <c r="BY751" s="40"/>
      <c r="BZ751" s="5"/>
      <c r="CB751" s="40"/>
      <c r="CC751" s="5"/>
      <c r="CE751" s="40"/>
      <c r="CF751" s="5"/>
      <c r="CH751" s="40"/>
      <c r="CI751" s="5"/>
      <c r="CK751" s="40"/>
      <c r="CL751" s="5"/>
      <c r="CN751" s="40"/>
      <c r="CO751" s="5"/>
      <c r="CQ751" s="40"/>
      <c r="CR751" s="5"/>
    </row>
    <row r="752">
      <c r="AL752" s="40"/>
      <c r="AM752" s="5"/>
      <c r="AO752" s="40"/>
      <c r="AP752" s="5"/>
      <c r="AR752" s="40"/>
      <c r="AS752" s="5"/>
      <c r="AU752" s="40"/>
      <c r="AV752" s="5"/>
      <c r="AX752" s="40"/>
      <c r="AY752" s="5"/>
      <c r="BA752" s="40"/>
      <c r="BB752" s="5"/>
      <c r="BD752" s="40"/>
      <c r="BE752" s="5"/>
      <c r="BG752" s="40"/>
      <c r="BH752" s="5"/>
      <c r="BJ752" s="40"/>
      <c r="BK752" s="5"/>
      <c r="BM752" s="40"/>
      <c r="BN752" s="5"/>
      <c r="BP752" s="40"/>
      <c r="BQ752" s="5"/>
      <c r="BS752" s="40"/>
      <c r="BT752" s="5"/>
      <c r="BV752" s="40"/>
      <c r="BW752" s="5"/>
      <c r="BY752" s="40"/>
      <c r="BZ752" s="5"/>
      <c r="CB752" s="40"/>
      <c r="CC752" s="5"/>
      <c r="CE752" s="40"/>
      <c r="CF752" s="5"/>
      <c r="CH752" s="40"/>
      <c r="CI752" s="5"/>
      <c r="CK752" s="40"/>
      <c r="CL752" s="5"/>
      <c r="CN752" s="40"/>
      <c r="CO752" s="5"/>
      <c r="CQ752" s="40"/>
      <c r="CR752" s="5"/>
    </row>
    <row r="753">
      <c r="AL753" s="40"/>
      <c r="AM753" s="5"/>
      <c r="AO753" s="40"/>
      <c r="AP753" s="5"/>
      <c r="AR753" s="40"/>
      <c r="AS753" s="5"/>
      <c r="AU753" s="40"/>
      <c r="AV753" s="5"/>
      <c r="AX753" s="40"/>
      <c r="AY753" s="5"/>
      <c r="BA753" s="40"/>
      <c r="BB753" s="5"/>
      <c r="BD753" s="40"/>
      <c r="BE753" s="5"/>
      <c r="BG753" s="40"/>
      <c r="BH753" s="5"/>
      <c r="BJ753" s="40"/>
      <c r="BK753" s="5"/>
      <c r="BM753" s="40"/>
      <c r="BN753" s="5"/>
      <c r="BP753" s="40"/>
      <c r="BQ753" s="5"/>
      <c r="BS753" s="40"/>
      <c r="BT753" s="5"/>
      <c r="BV753" s="40"/>
      <c r="BW753" s="5"/>
      <c r="BY753" s="40"/>
      <c r="BZ753" s="5"/>
      <c r="CB753" s="40"/>
      <c r="CC753" s="5"/>
      <c r="CE753" s="40"/>
      <c r="CF753" s="5"/>
      <c r="CH753" s="40"/>
      <c r="CI753" s="5"/>
      <c r="CK753" s="40"/>
      <c r="CL753" s="5"/>
      <c r="CN753" s="40"/>
      <c r="CO753" s="5"/>
      <c r="CQ753" s="40"/>
      <c r="CR753" s="5"/>
    </row>
    <row r="754">
      <c r="AL754" s="40"/>
      <c r="AM754" s="5"/>
      <c r="AO754" s="40"/>
      <c r="AP754" s="5"/>
      <c r="AR754" s="40"/>
      <c r="AS754" s="5"/>
      <c r="AU754" s="40"/>
      <c r="AV754" s="5"/>
      <c r="AX754" s="40"/>
      <c r="AY754" s="5"/>
      <c r="BA754" s="40"/>
      <c r="BB754" s="5"/>
      <c r="BD754" s="40"/>
      <c r="BE754" s="5"/>
      <c r="BG754" s="40"/>
      <c r="BH754" s="5"/>
      <c r="BJ754" s="40"/>
      <c r="BK754" s="5"/>
      <c r="BM754" s="40"/>
      <c r="BN754" s="5"/>
      <c r="BP754" s="40"/>
      <c r="BQ754" s="5"/>
      <c r="BS754" s="40"/>
      <c r="BT754" s="5"/>
      <c r="BV754" s="40"/>
      <c r="BW754" s="5"/>
      <c r="BY754" s="40"/>
      <c r="BZ754" s="5"/>
      <c r="CB754" s="40"/>
      <c r="CC754" s="5"/>
      <c r="CE754" s="40"/>
      <c r="CF754" s="5"/>
      <c r="CH754" s="40"/>
      <c r="CI754" s="5"/>
      <c r="CK754" s="40"/>
      <c r="CL754" s="5"/>
      <c r="CN754" s="40"/>
      <c r="CO754" s="5"/>
      <c r="CQ754" s="40"/>
      <c r="CR754" s="5"/>
    </row>
    <row r="755">
      <c r="AL755" s="40"/>
      <c r="AM755" s="5"/>
      <c r="AO755" s="40"/>
      <c r="AP755" s="5"/>
      <c r="AR755" s="40"/>
      <c r="AS755" s="5"/>
      <c r="AU755" s="40"/>
      <c r="AV755" s="5"/>
      <c r="AX755" s="40"/>
      <c r="AY755" s="5"/>
      <c r="BA755" s="40"/>
      <c r="BB755" s="5"/>
      <c r="BD755" s="40"/>
      <c r="BE755" s="5"/>
      <c r="BG755" s="40"/>
      <c r="BH755" s="5"/>
      <c r="BJ755" s="40"/>
      <c r="BK755" s="5"/>
      <c r="BM755" s="40"/>
      <c r="BN755" s="5"/>
      <c r="BP755" s="40"/>
      <c r="BQ755" s="5"/>
      <c r="BS755" s="40"/>
      <c r="BT755" s="5"/>
      <c r="BV755" s="40"/>
      <c r="BW755" s="5"/>
      <c r="BY755" s="40"/>
      <c r="BZ755" s="5"/>
      <c r="CB755" s="40"/>
      <c r="CC755" s="5"/>
      <c r="CE755" s="40"/>
      <c r="CF755" s="5"/>
      <c r="CH755" s="40"/>
      <c r="CI755" s="5"/>
      <c r="CK755" s="40"/>
      <c r="CL755" s="5"/>
      <c r="CN755" s="40"/>
      <c r="CO755" s="5"/>
      <c r="CQ755" s="40"/>
      <c r="CR755" s="5"/>
    </row>
    <row r="756">
      <c r="AL756" s="40"/>
      <c r="AM756" s="5"/>
      <c r="AO756" s="40"/>
      <c r="AP756" s="5"/>
      <c r="AR756" s="40"/>
      <c r="AS756" s="5"/>
      <c r="AU756" s="40"/>
      <c r="AV756" s="5"/>
      <c r="AX756" s="40"/>
      <c r="AY756" s="5"/>
      <c r="BA756" s="40"/>
      <c r="BB756" s="5"/>
      <c r="BD756" s="40"/>
      <c r="BE756" s="5"/>
      <c r="BG756" s="40"/>
      <c r="BH756" s="5"/>
      <c r="BJ756" s="40"/>
      <c r="BK756" s="5"/>
      <c r="BM756" s="40"/>
      <c r="BN756" s="5"/>
      <c r="BP756" s="40"/>
      <c r="BQ756" s="5"/>
      <c r="BS756" s="40"/>
      <c r="BT756" s="5"/>
      <c r="BV756" s="40"/>
      <c r="BW756" s="5"/>
      <c r="BY756" s="40"/>
      <c r="BZ756" s="5"/>
      <c r="CB756" s="40"/>
      <c r="CC756" s="5"/>
      <c r="CE756" s="40"/>
      <c r="CF756" s="5"/>
      <c r="CH756" s="40"/>
      <c r="CI756" s="5"/>
      <c r="CK756" s="40"/>
      <c r="CL756" s="5"/>
      <c r="CN756" s="40"/>
      <c r="CO756" s="5"/>
      <c r="CQ756" s="40"/>
      <c r="CR756" s="5"/>
    </row>
    <row r="757">
      <c r="AL757" s="40"/>
      <c r="AM757" s="5"/>
      <c r="AO757" s="40"/>
      <c r="AP757" s="5"/>
      <c r="AR757" s="40"/>
      <c r="AS757" s="5"/>
      <c r="AU757" s="40"/>
      <c r="AV757" s="5"/>
      <c r="AX757" s="40"/>
      <c r="AY757" s="5"/>
      <c r="BA757" s="40"/>
      <c r="BB757" s="5"/>
      <c r="BD757" s="40"/>
      <c r="BE757" s="5"/>
      <c r="BG757" s="40"/>
      <c r="BH757" s="5"/>
      <c r="BJ757" s="40"/>
      <c r="BK757" s="5"/>
      <c r="BM757" s="40"/>
      <c r="BN757" s="5"/>
      <c r="BP757" s="40"/>
      <c r="BQ757" s="5"/>
      <c r="BS757" s="40"/>
      <c r="BT757" s="5"/>
      <c r="BV757" s="40"/>
      <c r="BW757" s="5"/>
      <c r="BY757" s="40"/>
      <c r="BZ757" s="5"/>
      <c r="CB757" s="40"/>
      <c r="CC757" s="5"/>
      <c r="CE757" s="40"/>
      <c r="CF757" s="5"/>
      <c r="CH757" s="40"/>
      <c r="CI757" s="5"/>
      <c r="CK757" s="40"/>
      <c r="CL757" s="5"/>
      <c r="CN757" s="40"/>
      <c r="CO757" s="5"/>
      <c r="CQ757" s="40"/>
      <c r="CR757" s="5"/>
    </row>
    <row r="758">
      <c r="AL758" s="40"/>
      <c r="AM758" s="5"/>
      <c r="AO758" s="40"/>
      <c r="AP758" s="5"/>
      <c r="AR758" s="40"/>
      <c r="AS758" s="5"/>
      <c r="AU758" s="40"/>
      <c r="AV758" s="5"/>
      <c r="AX758" s="40"/>
      <c r="AY758" s="5"/>
      <c r="BA758" s="40"/>
      <c r="BB758" s="5"/>
      <c r="BD758" s="40"/>
      <c r="BE758" s="5"/>
      <c r="BG758" s="40"/>
      <c r="BH758" s="5"/>
      <c r="BJ758" s="40"/>
      <c r="BK758" s="5"/>
      <c r="BM758" s="40"/>
      <c r="BN758" s="5"/>
      <c r="BP758" s="40"/>
      <c r="BQ758" s="5"/>
      <c r="BS758" s="40"/>
      <c r="BT758" s="5"/>
      <c r="BV758" s="40"/>
      <c r="BW758" s="5"/>
      <c r="BY758" s="40"/>
      <c r="BZ758" s="5"/>
      <c r="CB758" s="40"/>
      <c r="CC758" s="5"/>
      <c r="CE758" s="40"/>
      <c r="CF758" s="5"/>
      <c r="CH758" s="40"/>
      <c r="CI758" s="5"/>
      <c r="CK758" s="40"/>
      <c r="CL758" s="5"/>
      <c r="CN758" s="40"/>
      <c r="CO758" s="5"/>
      <c r="CQ758" s="40"/>
      <c r="CR758" s="5"/>
    </row>
    <row r="759">
      <c r="AL759" s="40"/>
      <c r="AM759" s="5"/>
      <c r="AO759" s="40"/>
      <c r="AP759" s="5"/>
      <c r="AR759" s="40"/>
      <c r="AS759" s="5"/>
      <c r="AU759" s="40"/>
      <c r="AV759" s="5"/>
      <c r="AX759" s="40"/>
      <c r="AY759" s="5"/>
      <c r="BA759" s="40"/>
      <c r="BB759" s="5"/>
      <c r="BD759" s="40"/>
      <c r="BE759" s="5"/>
      <c r="BG759" s="40"/>
      <c r="BH759" s="5"/>
      <c r="BJ759" s="40"/>
      <c r="BK759" s="5"/>
      <c r="BM759" s="40"/>
      <c r="BN759" s="5"/>
      <c r="BP759" s="40"/>
      <c r="BQ759" s="5"/>
      <c r="BS759" s="40"/>
      <c r="BT759" s="5"/>
      <c r="BV759" s="40"/>
      <c r="BW759" s="5"/>
      <c r="BY759" s="40"/>
      <c r="BZ759" s="5"/>
      <c r="CB759" s="40"/>
      <c r="CC759" s="5"/>
      <c r="CE759" s="40"/>
      <c r="CF759" s="5"/>
      <c r="CH759" s="40"/>
      <c r="CI759" s="5"/>
      <c r="CK759" s="40"/>
      <c r="CL759" s="5"/>
      <c r="CN759" s="40"/>
      <c r="CO759" s="5"/>
      <c r="CQ759" s="40"/>
      <c r="CR759" s="5"/>
    </row>
    <row r="760">
      <c r="AL760" s="40"/>
      <c r="AM760" s="5"/>
      <c r="AO760" s="40"/>
      <c r="AP760" s="5"/>
      <c r="AR760" s="40"/>
      <c r="AS760" s="5"/>
      <c r="AU760" s="40"/>
      <c r="AV760" s="5"/>
      <c r="AX760" s="40"/>
      <c r="AY760" s="5"/>
      <c r="BA760" s="40"/>
      <c r="BB760" s="5"/>
      <c r="BD760" s="40"/>
      <c r="BE760" s="5"/>
      <c r="BG760" s="40"/>
      <c r="BH760" s="5"/>
      <c r="BJ760" s="40"/>
      <c r="BK760" s="5"/>
      <c r="BM760" s="40"/>
      <c r="BN760" s="5"/>
      <c r="BP760" s="40"/>
      <c r="BQ760" s="5"/>
      <c r="BS760" s="40"/>
      <c r="BT760" s="5"/>
      <c r="BV760" s="40"/>
      <c r="BW760" s="5"/>
      <c r="BY760" s="40"/>
      <c r="BZ760" s="5"/>
      <c r="CB760" s="40"/>
      <c r="CC760" s="5"/>
      <c r="CE760" s="40"/>
      <c r="CF760" s="5"/>
      <c r="CH760" s="40"/>
      <c r="CI760" s="5"/>
      <c r="CK760" s="40"/>
      <c r="CL760" s="5"/>
      <c r="CN760" s="40"/>
      <c r="CO760" s="5"/>
      <c r="CQ760" s="40"/>
      <c r="CR760" s="5"/>
    </row>
    <row r="761">
      <c r="AL761" s="40"/>
      <c r="AM761" s="5"/>
      <c r="AO761" s="40"/>
      <c r="AP761" s="5"/>
      <c r="AR761" s="40"/>
      <c r="AS761" s="5"/>
      <c r="AU761" s="40"/>
      <c r="AV761" s="5"/>
      <c r="AX761" s="40"/>
      <c r="AY761" s="5"/>
      <c r="BA761" s="40"/>
      <c r="BB761" s="5"/>
      <c r="BD761" s="40"/>
      <c r="BE761" s="5"/>
      <c r="BG761" s="40"/>
      <c r="BH761" s="5"/>
      <c r="BJ761" s="40"/>
      <c r="BK761" s="5"/>
      <c r="BM761" s="40"/>
      <c r="BN761" s="5"/>
      <c r="BP761" s="40"/>
      <c r="BQ761" s="5"/>
      <c r="BS761" s="40"/>
      <c r="BT761" s="5"/>
      <c r="BV761" s="40"/>
      <c r="BW761" s="5"/>
      <c r="BY761" s="40"/>
      <c r="BZ761" s="5"/>
      <c r="CB761" s="40"/>
      <c r="CC761" s="5"/>
      <c r="CE761" s="40"/>
      <c r="CF761" s="5"/>
      <c r="CH761" s="40"/>
      <c r="CI761" s="5"/>
      <c r="CK761" s="40"/>
      <c r="CL761" s="5"/>
      <c r="CN761" s="40"/>
      <c r="CO761" s="5"/>
      <c r="CQ761" s="40"/>
      <c r="CR761" s="5"/>
    </row>
    <row r="762">
      <c r="AL762" s="40"/>
      <c r="AM762" s="5"/>
      <c r="AO762" s="40"/>
      <c r="AP762" s="5"/>
      <c r="AR762" s="40"/>
      <c r="AS762" s="5"/>
      <c r="AU762" s="40"/>
      <c r="AV762" s="5"/>
      <c r="AX762" s="40"/>
      <c r="AY762" s="5"/>
      <c r="BA762" s="40"/>
      <c r="BB762" s="5"/>
      <c r="BD762" s="40"/>
      <c r="BE762" s="5"/>
      <c r="BG762" s="40"/>
      <c r="BH762" s="5"/>
      <c r="BJ762" s="40"/>
      <c r="BK762" s="5"/>
      <c r="BM762" s="40"/>
      <c r="BN762" s="5"/>
      <c r="BP762" s="40"/>
      <c r="BQ762" s="5"/>
      <c r="BS762" s="40"/>
      <c r="BT762" s="5"/>
      <c r="BV762" s="40"/>
      <c r="BW762" s="5"/>
      <c r="BY762" s="40"/>
      <c r="BZ762" s="5"/>
      <c r="CB762" s="40"/>
      <c r="CC762" s="5"/>
      <c r="CE762" s="40"/>
      <c r="CF762" s="5"/>
      <c r="CH762" s="40"/>
      <c r="CI762" s="5"/>
      <c r="CK762" s="40"/>
      <c r="CL762" s="5"/>
      <c r="CN762" s="40"/>
      <c r="CO762" s="5"/>
      <c r="CQ762" s="40"/>
      <c r="CR762" s="5"/>
    </row>
    <row r="763">
      <c r="AL763" s="40"/>
      <c r="AM763" s="5"/>
      <c r="AO763" s="40"/>
      <c r="AP763" s="5"/>
      <c r="AR763" s="40"/>
      <c r="AS763" s="5"/>
      <c r="AU763" s="40"/>
      <c r="AV763" s="5"/>
      <c r="AX763" s="40"/>
      <c r="AY763" s="5"/>
      <c r="BA763" s="40"/>
      <c r="BB763" s="5"/>
      <c r="BD763" s="40"/>
      <c r="BE763" s="5"/>
      <c r="BG763" s="40"/>
      <c r="BH763" s="5"/>
      <c r="BJ763" s="40"/>
      <c r="BK763" s="5"/>
      <c r="BM763" s="40"/>
      <c r="BN763" s="5"/>
      <c r="BP763" s="40"/>
      <c r="BQ763" s="5"/>
      <c r="BS763" s="40"/>
      <c r="BT763" s="5"/>
      <c r="BV763" s="40"/>
      <c r="BW763" s="5"/>
      <c r="BY763" s="40"/>
      <c r="BZ763" s="5"/>
      <c r="CB763" s="40"/>
      <c r="CC763" s="5"/>
      <c r="CE763" s="40"/>
      <c r="CF763" s="5"/>
      <c r="CH763" s="40"/>
      <c r="CI763" s="5"/>
      <c r="CK763" s="40"/>
      <c r="CL763" s="5"/>
      <c r="CN763" s="40"/>
      <c r="CO763" s="5"/>
      <c r="CQ763" s="40"/>
      <c r="CR763" s="5"/>
    </row>
    <row r="764">
      <c r="AL764" s="40"/>
      <c r="AM764" s="5"/>
      <c r="AO764" s="40"/>
      <c r="AP764" s="5"/>
      <c r="AR764" s="40"/>
      <c r="AS764" s="5"/>
      <c r="AU764" s="40"/>
      <c r="AV764" s="5"/>
      <c r="AX764" s="40"/>
      <c r="AY764" s="5"/>
      <c r="BA764" s="40"/>
      <c r="BB764" s="5"/>
      <c r="BD764" s="40"/>
      <c r="BE764" s="5"/>
      <c r="BG764" s="40"/>
      <c r="BH764" s="5"/>
      <c r="BJ764" s="40"/>
      <c r="BK764" s="5"/>
      <c r="BM764" s="40"/>
      <c r="BN764" s="5"/>
      <c r="BP764" s="40"/>
      <c r="BQ764" s="5"/>
      <c r="BS764" s="40"/>
      <c r="BT764" s="5"/>
      <c r="BV764" s="40"/>
      <c r="BW764" s="5"/>
      <c r="BY764" s="40"/>
      <c r="BZ764" s="5"/>
      <c r="CB764" s="40"/>
      <c r="CC764" s="5"/>
      <c r="CE764" s="40"/>
      <c r="CF764" s="5"/>
      <c r="CH764" s="40"/>
      <c r="CI764" s="5"/>
      <c r="CK764" s="40"/>
      <c r="CL764" s="5"/>
      <c r="CN764" s="40"/>
      <c r="CO764" s="5"/>
      <c r="CQ764" s="40"/>
      <c r="CR764" s="5"/>
    </row>
    <row r="765">
      <c r="AL765" s="40"/>
      <c r="AM765" s="5"/>
      <c r="AO765" s="40"/>
      <c r="AP765" s="5"/>
      <c r="AR765" s="40"/>
      <c r="AS765" s="5"/>
      <c r="AU765" s="40"/>
      <c r="AV765" s="5"/>
      <c r="AX765" s="40"/>
      <c r="AY765" s="5"/>
      <c r="BA765" s="40"/>
      <c r="BB765" s="5"/>
      <c r="BD765" s="40"/>
      <c r="BE765" s="5"/>
      <c r="BG765" s="40"/>
      <c r="BH765" s="5"/>
      <c r="BJ765" s="40"/>
      <c r="BK765" s="5"/>
      <c r="BM765" s="40"/>
      <c r="BN765" s="5"/>
      <c r="BP765" s="40"/>
      <c r="BQ765" s="5"/>
      <c r="BS765" s="40"/>
      <c r="BT765" s="5"/>
      <c r="BV765" s="40"/>
      <c r="BW765" s="5"/>
      <c r="BY765" s="40"/>
      <c r="BZ765" s="5"/>
      <c r="CB765" s="40"/>
      <c r="CC765" s="5"/>
      <c r="CE765" s="40"/>
      <c r="CF765" s="5"/>
      <c r="CH765" s="40"/>
      <c r="CI765" s="5"/>
      <c r="CK765" s="40"/>
      <c r="CL765" s="5"/>
      <c r="CN765" s="40"/>
      <c r="CO765" s="5"/>
      <c r="CQ765" s="40"/>
      <c r="CR765" s="5"/>
    </row>
    <row r="766">
      <c r="AL766" s="40"/>
      <c r="AM766" s="5"/>
      <c r="AO766" s="40"/>
      <c r="AP766" s="5"/>
      <c r="AR766" s="40"/>
      <c r="AS766" s="5"/>
      <c r="AU766" s="40"/>
      <c r="AV766" s="5"/>
      <c r="AX766" s="40"/>
      <c r="AY766" s="5"/>
      <c r="BA766" s="40"/>
      <c r="BB766" s="5"/>
      <c r="BD766" s="40"/>
      <c r="BE766" s="5"/>
      <c r="BG766" s="40"/>
      <c r="BH766" s="5"/>
      <c r="BJ766" s="40"/>
      <c r="BK766" s="5"/>
      <c r="BM766" s="40"/>
      <c r="BN766" s="5"/>
      <c r="BP766" s="40"/>
      <c r="BQ766" s="5"/>
      <c r="BS766" s="40"/>
      <c r="BT766" s="5"/>
      <c r="BV766" s="40"/>
      <c r="BW766" s="5"/>
      <c r="BY766" s="40"/>
      <c r="BZ766" s="5"/>
      <c r="CB766" s="40"/>
      <c r="CC766" s="5"/>
      <c r="CE766" s="40"/>
      <c r="CF766" s="5"/>
      <c r="CH766" s="40"/>
      <c r="CI766" s="5"/>
      <c r="CK766" s="40"/>
      <c r="CL766" s="5"/>
      <c r="CN766" s="40"/>
      <c r="CO766" s="5"/>
      <c r="CQ766" s="40"/>
      <c r="CR766" s="5"/>
    </row>
    <row r="767">
      <c r="AL767" s="40"/>
      <c r="AM767" s="5"/>
      <c r="AO767" s="40"/>
      <c r="AP767" s="5"/>
      <c r="AR767" s="40"/>
      <c r="AS767" s="5"/>
      <c r="AU767" s="40"/>
      <c r="AV767" s="5"/>
      <c r="AX767" s="40"/>
      <c r="AY767" s="5"/>
      <c r="BA767" s="40"/>
      <c r="BB767" s="5"/>
      <c r="BD767" s="40"/>
      <c r="BE767" s="5"/>
      <c r="BG767" s="40"/>
      <c r="BH767" s="5"/>
      <c r="BJ767" s="40"/>
      <c r="BK767" s="5"/>
      <c r="BM767" s="40"/>
      <c r="BN767" s="5"/>
      <c r="BP767" s="40"/>
      <c r="BQ767" s="5"/>
      <c r="BS767" s="40"/>
      <c r="BT767" s="5"/>
      <c r="BV767" s="40"/>
      <c r="BW767" s="5"/>
      <c r="BY767" s="40"/>
      <c r="BZ767" s="5"/>
      <c r="CB767" s="40"/>
      <c r="CC767" s="5"/>
      <c r="CE767" s="40"/>
      <c r="CF767" s="5"/>
      <c r="CH767" s="40"/>
      <c r="CI767" s="5"/>
      <c r="CK767" s="40"/>
      <c r="CL767" s="5"/>
      <c r="CN767" s="40"/>
      <c r="CO767" s="5"/>
      <c r="CQ767" s="40"/>
      <c r="CR767" s="5"/>
    </row>
    <row r="768">
      <c r="AL768" s="40"/>
      <c r="AM768" s="5"/>
      <c r="AO768" s="40"/>
      <c r="AP768" s="5"/>
      <c r="AR768" s="40"/>
      <c r="AS768" s="5"/>
      <c r="AU768" s="40"/>
      <c r="AV768" s="5"/>
      <c r="AX768" s="40"/>
      <c r="AY768" s="5"/>
      <c r="BA768" s="40"/>
      <c r="BB768" s="5"/>
      <c r="BD768" s="40"/>
      <c r="BE768" s="5"/>
      <c r="BG768" s="40"/>
      <c r="BH768" s="5"/>
      <c r="BJ768" s="40"/>
      <c r="BK768" s="5"/>
      <c r="BM768" s="40"/>
      <c r="BN768" s="5"/>
      <c r="BP768" s="40"/>
      <c r="BQ768" s="5"/>
      <c r="BS768" s="40"/>
      <c r="BT768" s="5"/>
      <c r="BV768" s="40"/>
      <c r="BW768" s="5"/>
      <c r="BY768" s="40"/>
      <c r="BZ768" s="5"/>
      <c r="CB768" s="40"/>
      <c r="CC768" s="5"/>
      <c r="CE768" s="40"/>
      <c r="CF768" s="5"/>
      <c r="CH768" s="40"/>
      <c r="CI768" s="5"/>
      <c r="CK768" s="40"/>
      <c r="CL768" s="5"/>
      <c r="CN768" s="40"/>
      <c r="CO768" s="5"/>
      <c r="CQ768" s="40"/>
      <c r="CR768" s="5"/>
    </row>
    <row r="769">
      <c r="AL769" s="40"/>
      <c r="AM769" s="5"/>
      <c r="AO769" s="40"/>
      <c r="AP769" s="5"/>
      <c r="AR769" s="40"/>
      <c r="AS769" s="5"/>
      <c r="AU769" s="40"/>
      <c r="AV769" s="5"/>
      <c r="AX769" s="40"/>
      <c r="AY769" s="5"/>
      <c r="BA769" s="40"/>
      <c r="BB769" s="5"/>
      <c r="BD769" s="40"/>
      <c r="BE769" s="5"/>
      <c r="BG769" s="40"/>
      <c r="BH769" s="5"/>
      <c r="BJ769" s="40"/>
      <c r="BK769" s="5"/>
      <c r="BM769" s="40"/>
      <c r="BN769" s="5"/>
      <c r="BP769" s="40"/>
      <c r="BQ769" s="5"/>
      <c r="BS769" s="40"/>
      <c r="BT769" s="5"/>
      <c r="BV769" s="40"/>
      <c r="BW769" s="5"/>
      <c r="BY769" s="40"/>
      <c r="BZ769" s="5"/>
      <c r="CB769" s="40"/>
      <c r="CC769" s="5"/>
      <c r="CE769" s="40"/>
      <c r="CF769" s="5"/>
      <c r="CH769" s="40"/>
      <c r="CI769" s="5"/>
      <c r="CK769" s="40"/>
      <c r="CL769" s="5"/>
      <c r="CN769" s="40"/>
      <c r="CO769" s="5"/>
      <c r="CQ769" s="40"/>
      <c r="CR769" s="5"/>
    </row>
    <row r="770">
      <c r="AL770" s="40"/>
      <c r="AM770" s="5"/>
      <c r="AO770" s="40"/>
      <c r="AP770" s="5"/>
      <c r="AR770" s="40"/>
      <c r="AS770" s="5"/>
      <c r="AU770" s="40"/>
      <c r="AV770" s="5"/>
      <c r="AX770" s="40"/>
      <c r="AY770" s="5"/>
      <c r="BA770" s="40"/>
      <c r="BB770" s="5"/>
      <c r="BD770" s="40"/>
      <c r="BE770" s="5"/>
      <c r="BG770" s="40"/>
      <c r="BH770" s="5"/>
      <c r="BJ770" s="40"/>
      <c r="BK770" s="5"/>
      <c r="BM770" s="40"/>
      <c r="BN770" s="5"/>
      <c r="BP770" s="40"/>
      <c r="BQ770" s="5"/>
      <c r="BS770" s="40"/>
      <c r="BT770" s="5"/>
      <c r="BV770" s="40"/>
      <c r="BW770" s="5"/>
      <c r="BY770" s="40"/>
      <c r="BZ770" s="5"/>
      <c r="CB770" s="40"/>
      <c r="CC770" s="5"/>
      <c r="CE770" s="40"/>
      <c r="CF770" s="5"/>
      <c r="CH770" s="40"/>
      <c r="CI770" s="5"/>
      <c r="CK770" s="40"/>
      <c r="CL770" s="5"/>
      <c r="CN770" s="40"/>
      <c r="CO770" s="5"/>
      <c r="CQ770" s="40"/>
      <c r="CR770" s="5"/>
    </row>
    <row r="771">
      <c r="AL771" s="40"/>
      <c r="AM771" s="5"/>
      <c r="AO771" s="40"/>
      <c r="AP771" s="5"/>
      <c r="AR771" s="40"/>
      <c r="AS771" s="5"/>
      <c r="AU771" s="40"/>
      <c r="AV771" s="5"/>
      <c r="AX771" s="40"/>
      <c r="AY771" s="5"/>
      <c r="BA771" s="40"/>
      <c r="BB771" s="5"/>
      <c r="BD771" s="40"/>
      <c r="BE771" s="5"/>
      <c r="BG771" s="40"/>
      <c r="BH771" s="5"/>
      <c r="BJ771" s="40"/>
      <c r="BK771" s="5"/>
      <c r="BM771" s="40"/>
      <c r="BN771" s="5"/>
      <c r="BP771" s="40"/>
      <c r="BQ771" s="5"/>
      <c r="BS771" s="40"/>
      <c r="BT771" s="5"/>
      <c r="BV771" s="40"/>
      <c r="BW771" s="5"/>
      <c r="BY771" s="40"/>
      <c r="BZ771" s="5"/>
      <c r="CB771" s="40"/>
      <c r="CC771" s="5"/>
      <c r="CE771" s="40"/>
      <c r="CF771" s="5"/>
      <c r="CH771" s="40"/>
      <c r="CI771" s="5"/>
      <c r="CK771" s="40"/>
      <c r="CL771" s="5"/>
      <c r="CN771" s="40"/>
      <c r="CO771" s="5"/>
      <c r="CQ771" s="40"/>
      <c r="CR771" s="5"/>
    </row>
    <row r="772">
      <c r="AL772" s="40"/>
      <c r="AM772" s="5"/>
      <c r="AO772" s="40"/>
      <c r="AP772" s="5"/>
      <c r="AR772" s="40"/>
      <c r="AS772" s="5"/>
      <c r="AU772" s="40"/>
      <c r="AV772" s="5"/>
      <c r="AX772" s="40"/>
      <c r="AY772" s="5"/>
      <c r="BA772" s="40"/>
      <c r="BB772" s="5"/>
      <c r="BD772" s="40"/>
      <c r="BE772" s="5"/>
      <c r="BG772" s="40"/>
      <c r="BH772" s="5"/>
      <c r="BJ772" s="40"/>
      <c r="BK772" s="5"/>
      <c r="BM772" s="40"/>
      <c r="BN772" s="5"/>
      <c r="BP772" s="40"/>
      <c r="BQ772" s="5"/>
      <c r="BS772" s="40"/>
      <c r="BT772" s="5"/>
      <c r="BV772" s="40"/>
      <c r="BW772" s="5"/>
      <c r="BY772" s="40"/>
      <c r="BZ772" s="5"/>
      <c r="CB772" s="40"/>
      <c r="CC772" s="5"/>
      <c r="CE772" s="40"/>
      <c r="CF772" s="5"/>
      <c r="CH772" s="40"/>
      <c r="CI772" s="5"/>
      <c r="CK772" s="40"/>
      <c r="CL772" s="5"/>
      <c r="CN772" s="40"/>
      <c r="CO772" s="5"/>
      <c r="CQ772" s="40"/>
      <c r="CR772" s="5"/>
    </row>
    <row r="773">
      <c r="AL773" s="40"/>
      <c r="AM773" s="5"/>
      <c r="AO773" s="40"/>
      <c r="AP773" s="5"/>
      <c r="AR773" s="40"/>
      <c r="AS773" s="5"/>
      <c r="AU773" s="40"/>
      <c r="AV773" s="5"/>
      <c r="AX773" s="40"/>
      <c r="AY773" s="5"/>
      <c r="BA773" s="40"/>
      <c r="BB773" s="5"/>
      <c r="BD773" s="40"/>
      <c r="BE773" s="5"/>
      <c r="BG773" s="40"/>
      <c r="BH773" s="5"/>
      <c r="BJ773" s="40"/>
      <c r="BK773" s="5"/>
      <c r="BM773" s="40"/>
      <c r="BN773" s="5"/>
      <c r="BP773" s="40"/>
      <c r="BQ773" s="5"/>
      <c r="BS773" s="40"/>
      <c r="BT773" s="5"/>
      <c r="BV773" s="40"/>
      <c r="BW773" s="5"/>
      <c r="BY773" s="40"/>
      <c r="BZ773" s="5"/>
      <c r="CB773" s="40"/>
      <c r="CC773" s="5"/>
      <c r="CE773" s="40"/>
      <c r="CF773" s="5"/>
      <c r="CH773" s="40"/>
      <c r="CI773" s="5"/>
      <c r="CK773" s="40"/>
      <c r="CL773" s="5"/>
      <c r="CN773" s="40"/>
      <c r="CO773" s="5"/>
      <c r="CQ773" s="40"/>
      <c r="CR773" s="5"/>
    </row>
    <row r="774">
      <c r="AL774" s="40"/>
      <c r="AM774" s="5"/>
      <c r="AO774" s="40"/>
      <c r="AP774" s="5"/>
      <c r="AR774" s="40"/>
      <c r="AS774" s="5"/>
      <c r="AU774" s="40"/>
      <c r="AV774" s="5"/>
      <c r="AX774" s="40"/>
      <c r="AY774" s="5"/>
      <c r="BA774" s="40"/>
      <c r="BB774" s="5"/>
      <c r="BD774" s="40"/>
      <c r="BE774" s="5"/>
      <c r="BG774" s="40"/>
      <c r="BH774" s="5"/>
      <c r="BJ774" s="40"/>
      <c r="BK774" s="5"/>
      <c r="BM774" s="40"/>
      <c r="BN774" s="5"/>
      <c r="BP774" s="40"/>
      <c r="BQ774" s="5"/>
      <c r="BS774" s="40"/>
      <c r="BT774" s="5"/>
      <c r="BV774" s="40"/>
      <c r="BW774" s="5"/>
      <c r="BY774" s="40"/>
      <c r="BZ774" s="5"/>
      <c r="CB774" s="40"/>
      <c r="CC774" s="5"/>
      <c r="CE774" s="40"/>
      <c r="CF774" s="5"/>
      <c r="CH774" s="40"/>
      <c r="CI774" s="5"/>
      <c r="CK774" s="40"/>
      <c r="CL774" s="5"/>
      <c r="CN774" s="40"/>
      <c r="CO774" s="5"/>
      <c r="CQ774" s="40"/>
      <c r="CR774" s="5"/>
    </row>
    <row r="775">
      <c r="AL775" s="40"/>
      <c r="AM775" s="5"/>
      <c r="AO775" s="40"/>
      <c r="AP775" s="5"/>
      <c r="AR775" s="40"/>
      <c r="AS775" s="5"/>
      <c r="AU775" s="40"/>
      <c r="AV775" s="5"/>
      <c r="AX775" s="40"/>
      <c r="AY775" s="5"/>
      <c r="BA775" s="40"/>
      <c r="BB775" s="5"/>
      <c r="BD775" s="40"/>
      <c r="BE775" s="5"/>
      <c r="BG775" s="40"/>
      <c r="BH775" s="5"/>
      <c r="BJ775" s="40"/>
      <c r="BK775" s="5"/>
      <c r="BM775" s="40"/>
      <c r="BN775" s="5"/>
      <c r="BP775" s="40"/>
      <c r="BQ775" s="5"/>
      <c r="BS775" s="40"/>
      <c r="BT775" s="5"/>
      <c r="BV775" s="40"/>
      <c r="BW775" s="5"/>
      <c r="BY775" s="40"/>
      <c r="BZ775" s="5"/>
      <c r="CB775" s="40"/>
      <c r="CC775" s="5"/>
      <c r="CE775" s="40"/>
      <c r="CF775" s="5"/>
      <c r="CH775" s="40"/>
      <c r="CI775" s="5"/>
      <c r="CK775" s="40"/>
      <c r="CL775" s="5"/>
      <c r="CN775" s="40"/>
      <c r="CO775" s="5"/>
      <c r="CQ775" s="40"/>
      <c r="CR775" s="5"/>
    </row>
    <row r="776">
      <c r="AL776" s="40"/>
      <c r="AM776" s="5"/>
      <c r="AO776" s="40"/>
      <c r="AP776" s="5"/>
      <c r="AR776" s="40"/>
      <c r="AS776" s="5"/>
      <c r="AU776" s="40"/>
      <c r="AV776" s="5"/>
      <c r="AX776" s="40"/>
      <c r="AY776" s="5"/>
      <c r="BA776" s="40"/>
      <c r="BB776" s="5"/>
      <c r="BD776" s="40"/>
      <c r="BE776" s="5"/>
      <c r="BG776" s="40"/>
      <c r="BH776" s="5"/>
      <c r="BJ776" s="40"/>
      <c r="BK776" s="5"/>
      <c r="BM776" s="40"/>
      <c r="BN776" s="5"/>
      <c r="BP776" s="40"/>
      <c r="BQ776" s="5"/>
      <c r="BS776" s="40"/>
      <c r="BT776" s="5"/>
      <c r="BV776" s="40"/>
      <c r="BW776" s="5"/>
      <c r="BY776" s="40"/>
      <c r="BZ776" s="5"/>
      <c r="CB776" s="40"/>
      <c r="CC776" s="5"/>
      <c r="CE776" s="40"/>
      <c r="CF776" s="5"/>
      <c r="CH776" s="40"/>
      <c r="CI776" s="5"/>
      <c r="CK776" s="40"/>
      <c r="CL776" s="5"/>
      <c r="CN776" s="40"/>
      <c r="CO776" s="5"/>
      <c r="CQ776" s="40"/>
      <c r="CR776" s="5"/>
    </row>
    <row r="777">
      <c r="AL777" s="40"/>
      <c r="AM777" s="5"/>
      <c r="AO777" s="40"/>
      <c r="AP777" s="5"/>
      <c r="AR777" s="40"/>
      <c r="AS777" s="5"/>
      <c r="AU777" s="40"/>
      <c r="AV777" s="5"/>
      <c r="AX777" s="40"/>
      <c r="AY777" s="5"/>
      <c r="BA777" s="40"/>
      <c r="BB777" s="5"/>
      <c r="BD777" s="40"/>
      <c r="BE777" s="5"/>
      <c r="BG777" s="40"/>
      <c r="BH777" s="5"/>
      <c r="BJ777" s="40"/>
      <c r="BK777" s="5"/>
      <c r="BM777" s="40"/>
      <c r="BN777" s="5"/>
      <c r="BP777" s="40"/>
      <c r="BQ777" s="5"/>
      <c r="BS777" s="40"/>
      <c r="BT777" s="5"/>
      <c r="BV777" s="40"/>
      <c r="BW777" s="5"/>
      <c r="BY777" s="40"/>
      <c r="BZ777" s="5"/>
      <c r="CB777" s="40"/>
      <c r="CC777" s="5"/>
      <c r="CE777" s="40"/>
      <c r="CF777" s="5"/>
      <c r="CH777" s="40"/>
      <c r="CI777" s="5"/>
      <c r="CK777" s="40"/>
      <c r="CL777" s="5"/>
      <c r="CN777" s="40"/>
      <c r="CO777" s="5"/>
      <c r="CQ777" s="40"/>
      <c r="CR777" s="5"/>
    </row>
    <row r="778">
      <c r="AL778" s="40"/>
      <c r="AM778" s="5"/>
      <c r="AO778" s="40"/>
      <c r="AP778" s="5"/>
      <c r="AR778" s="40"/>
      <c r="AS778" s="5"/>
      <c r="AU778" s="40"/>
      <c r="AV778" s="5"/>
      <c r="AX778" s="40"/>
      <c r="AY778" s="5"/>
      <c r="BA778" s="40"/>
      <c r="BB778" s="5"/>
      <c r="BD778" s="40"/>
      <c r="BE778" s="5"/>
      <c r="BG778" s="40"/>
      <c r="BH778" s="5"/>
      <c r="BJ778" s="40"/>
      <c r="BK778" s="5"/>
      <c r="BM778" s="40"/>
      <c r="BN778" s="5"/>
      <c r="BP778" s="40"/>
      <c r="BQ778" s="5"/>
      <c r="BS778" s="40"/>
      <c r="BT778" s="5"/>
      <c r="BV778" s="40"/>
      <c r="BW778" s="5"/>
      <c r="BY778" s="40"/>
      <c r="BZ778" s="5"/>
      <c r="CB778" s="40"/>
      <c r="CC778" s="5"/>
      <c r="CE778" s="40"/>
      <c r="CF778" s="5"/>
      <c r="CH778" s="40"/>
      <c r="CI778" s="5"/>
      <c r="CK778" s="40"/>
      <c r="CL778" s="5"/>
      <c r="CN778" s="40"/>
      <c r="CO778" s="5"/>
      <c r="CQ778" s="40"/>
      <c r="CR778" s="5"/>
    </row>
    <row r="779">
      <c r="AL779" s="40"/>
      <c r="AM779" s="5"/>
      <c r="AO779" s="40"/>
      <c r="AP779" s="5"/>
      <c r="AR779" s="40"/>
      <c r="AS779" s="5"/>
      <c r="AU779" s="40"/>
      <c r="AV779" s="5"/>
      <c r="AX779" s="40"/>
      <c r="AY779" s="5"/>
      <c r="BA779" s="40"/>
      <c r="BB779" s="5"/>
      <c r="BD779" s="40"/>
      <c r="BE779" s="5"/>
      <c r="BG779" s="40"/>
      <c r="BH779" s="5"/>
      <c r="BJ779" s="40"/>
      <c r="BK779" s="5"/>
      <c r="BM779" s="40"/>
      <c r="BN779" s="5"/>
      <c r="BP779" s="40"/>
      <c r="BQ779" s="5"/>
      <c r="BS779" s="40"/>
      <c r="BT779" s="5"/>
      <c r="BV779" s="40"/>
      <c r="BW779" s="5"/>
      <c r="BY779" s="40"/>
      <c r="BZ779" s="5"/>
      <c r="CB779" s="40"/>
      <c r="CC779" s="5"/>
      <c r="CE779" s="40"/>
      <c r="CF779" s="5"/>
      <c r="CH779" s="40"/>
      <c r="CI779" s="5"/>
      <c r="CK779" s="40"/>
      <c r="CL779" s="5"/>
      <c r="CN779" s="40"/>
      <c r="CO779" s="5"/>
      <c r="CQ779" s="40"/>
      <c r="CR779" s="5"/>
    </row>
    <row r="780">
      <c r="AL780" s="40"/>
      <c r="AM780" s="5"/>
      <c r="AO780" s="40"/>
      <c r="AP780" s="5"/>
      <c r="AR780" s="40"/>
      <c r="AS780" s="5"/>
      <c r="AU780" s="40"/>
      <c r="AV780" s="5"/>
      <c r="AX780" s="40"/>
      <c r="AY780" s="5"/>
      <c r="BA780" s="40"/>
      <c r="BB780" s="5"/>
      <c r="BD780" s="40"/>
      <c r="BE780" s="5"/>
      <c r="BG780" s="40"/>
      <c r="BH780" s="5"/>
      <c r="BJ780" s="40"/>
      <c r="BK780" s="5"/>
      <c r="BM780" s="40"/>
      <c r="BN780" s="5"/>
      <c r="BP780" s="40"/>
      <c r="BQ780" s="5"/>
      <c r="BS780" s="40"/>
      <c r="BT780" s="5"/>
      <c r="BV780" s="40"/>
      <c r="BW780" s="5"/>
      <c r="BY780" s="40"/>
      <c r="BZ780" s="5"/>
      <c r="CB780" s="40"/>
      <c r="CC780" s="5"/>
      <c r="CE780" s="40"/>
      <c r="CF780" s="5"/>
      <c r="CH780" s="40"/>
      <c r="CI780" s="5"/>
      <c r="CK780" s="40"/>
      <c r="CL780" s="5"/>
      <c r="CN780" s="40"/>
      <c r="CO780" s="5"/>
      <c r="CQ780" s="40"/>
      <c r="CR780" s="5"/>
    </row>
    <row r="781">
      <c r="AL781" s="40"/>
      <c r="AM781" s="5"/>
      <c r="AO781" s="40"/>
      <c r="AP781" s="5"/>
      <c r="AR781" s="40"/>
      <c r="AS781" s="5"/>
      <c r="AU781" s="40"/>
      <c r="AV781" s="5"/>
      <c r="AX781" s="40"/>
      <c r="AY781" s="5"/>
      <c r="BA781" s="40"/>
      <c r="BB781" s="5"/>
      <c r="BD781" s="40"/>
      <c r="BE781" s="5"/>
      <c r="BG781" s="40"/>
      <c r="BH781" s="5"/>
      <c r="BJ781" s="40"/>
      <c r="BK781" s="5"/>
      <c r="BM781" s="40"/>
      <c r="BN781" s="5"/>
      <c r="BP781" s="40"/>
      <c r="BQ781" s="5"/>
      <c r="BS781" s="40"/>
      <c r="BT781" s="5"/>
      <c r="BV781" s="40"/>
      <c r="BW781" s="5"/>
      <c r="BY781" s="40"/>
      <c r="BZ781" s="5"/>
      <c r="CB781" s="40"/>
      <c r="CC781" s="5"/>
      <c r="CE781" s="40"/>
      <c r="CF781" s="5"/>
      <c r="CH781" s="40"/>
      <c r="CI781" s="5"/>
      <c r="CK781" s="40"/>
      <c r="CL781" s="5"/>
      <c r="CN781" s="40"/>
      <c r="CO781" s="5"/>
      <c r="CQ781" s="40"/>
      <c r="CR781" s="5"/>
    </row>
    <row r="782">
      <c r="AL782" s="40"/>
      <c r="AM782" s="5"/>
      <c r="AO782" s="40"/>
      <c r="AP782" s="5"/>
      <c r="AR782" s="40"/>
      <c r="AS782" s="5"/>
      <c r="AU782" s="40"/>
      <c r="AV782" s="5"/>
      <c r="AX782" s="40"/>
      <c r="AY782" s="5"/>
      <c r="BA782" s="40"/>
      <c r="BB782" s="5"/>
      <c r="BD782" s="40"/>
      <c r="BE782" s="5"/>
      <c r="BG782" s="40"/>
      <c r="BH782" s="5"/>
      <c r="BJ782" s="40"/>
      <c r="BK782" s="5"/>
      <c r="BM782" s="40"/>
      <c r="BN782" s="5"/>
      <c r="BP782" s="40"/>
      <c r="BQ782" s="5"/>
      <c r="BS782" s="40"/>
      <c r="BT782" s="5"/>
      <c r="BV782" s="40"/>
      <c r="BW782" s="5"/>
      <c r="BY782" s="40"/>
      <c r="BZ782" s="5"/>
      <c r="CB782" s="40"/>
      <c r="CC782" s="5"/>
      <c r="CE782" s="40"/>
      <c r="CF782" s="5"/>
      <c r="CH782" s="40"/>
      <c r="CI782" s="5"/>
      <c r="CK782" s="40"/>
      <c r="CL782" s="5"/>
      <c r="CN782" s="40"/>
      <c r="CO782" s="5"/>
      <c r="CQ782" s="40"/>
      <c r="CR782" s="5"/>
    </row>
    <row r="783">
      <c r="AL783" s="40"/>
      <c r="AM783" s="5"/>
      <c r="AO783" s="40"/>
      <c r="AP783" s="5"/>
      <c r="AR783" s="40"/>
      <c r="AS783" s="5"/>
      <c r="AU783" s="40"/>
      <c r="AV783" s="5"/>
      <c r="AX783" s="40"/>
      <c r="AY783" s="5"/>
      <c r="BA783" s="40"/>
      <c r="BB783" s="5"/>
      <c r="BD783" s="40"/>
      <c r="BE783" s="5"/>
      <c r="BG783" s="40"/>
      <c r="BH783" s="5"/>
      <c r="BJ783" s="40"/>
      <c r="BK783" s="5"/>
      <c r="BM783" s="40"/>
      <c r="BN783" s="5"/>
      <c r="BP783" s="40"/>
      <c r="BQ783" s="5"/>
      <c r="BS783" s="40"/>
      <c r="BT783" s="5"/>
      <c r="BV783" s="40"/>
      <c r="BW783" s="5"/>
      <c r="BY783" s="40"/>
      <c r="BZ783" s="5"/>
      <c r="CB783" s="40"/>
      <c r="CC783" s="5"/>
      <c r="CE783" s="40"/>
      <c r="CF783" s="5"/>
      <c r="CH783" s="40"/>
      <c r="CI783" s="5"/>
      <c r="CK783" s="40"/>
      <c r="CL783" s="5"/>
      <c r="CN783" s="40"/>
      <c r="CO783" s="5"/>
      <c r="CQ783" s="40"/>
      <c r="CR783" s="5"/>
    </row>
    <row r="784">
      <c r="AL784" s="40"/>
      <c r="AM784" s="5"/>
      <c r="AO784" s="40"/>
      <c r="AP784" s="5"/>
      <c r="AR784" s="40"/>
      <c r="AS784" s="5"/>
      <c r="AU784" s="40"/>
      <c r="AV784" s="5"/>
      <c r="AX784" s="40"/>
      <c r="AY784" s="5"/>
      <c r="BA784" s="40"/>
      <c r="BB784" s="5"/>
      <c r="BD784" s="40"/>
      <c r="BE784" s="5"/>
      <c r="BG784" s="40"/>
      <c r="BH784" s="5"/>
      <c r="BJ784" s="40"/>
      <c r="BK784" s="5"/>
      <c r="BM784" s="40"/>
      <c r="BN784" s="5"/>
      <c r="BP784" s="40"/>
      <c r="BQ784" s="5"/>
      <c r="BS784" s="40"/>
      <c r="BT784" s="5"/>
      <c r="BV784" s="40"/>
      <c r="BW784" s="5"/>
      <c r="BY784" s="40"/>
      <c r="BZ784" s="5"/>
      <c r="CB784" s="40"/>
      <c r="CC784" s="5"/>
      <c r="CE784" s="40"/>
      <c r="CF784" s="5"/>
      <c r="CH784" s="40"/>
      <c r="CI784" s="5"/>
      <c r="CK784" s="40"/>
      <c r="CL784" s="5"/>
      <c r="CN784" s="40"/>
      <c r="CO784" s="5"/>
      <c r="CQ784" s="40"/>
      <c r="CR784" s="5"/>
    </row>
    <row r="785">
      <c r="AL785" s="40"/>
      <c r="AM785" s="5"/>
      <c r="AO785" s="40"/>
      <c r="AP785" s="5"/>
      <c r="AR785" s="40"/>
      <c r="AS785" s="5"/>
      <c r="AU785" s="40"/>
      <c r="AV785" s="5"/>
      <c r="AX785" s="40"/>
      <c r="AY785" s="5"/>
      <c r="BA785" s="40"/>
      <c r="BB785" s="5"/>
      <c r="BD785" s="40"/>
      <c r="BE785" s="5"/>
      <c r="BG785" s="40"/>
      <c r="BH785" s="5"/>
      <c r="BJ785" s="40"/>
      <c r="BK785" s="5"/>
      <c r="BM785" s="40"/>
      <c r="BN785" s="5"/>
      <c r="BP785" s="40"/>
      <c r="BQ785" s="5"/>
      <c r="BS785" s="40"/>
      <c r="BT785" s="5"/>
      <c r="BV785" s="40"/>
      <c r="BW785" s="5"/>
      <c r="BY785" s="40"/>
      <c r="BZ785" s="5"/>
      <c r="CB785" s="40"/>
      <c r="CC785" s="5"/>
      <c r="CE785" s="40"/>
      <c r="CF785" s="5"/>
      <c r="CH785" s="40"/>
      <c r="CI785" s="5"/>
      <c r="CK785" s="40"/>
      <c r="CL785" s="5"/>
      <c r="CN785" s="40"/>
      <c r="CO785" s="5"/>
      <c r="CQ785" s="40"/>
      <c r="CR785" s="5"/>
    </row>
    <row r="786">
      <c r="AL786" s="40"/>
      <c r="AM786" s="5"/>
      <c r="AO786" s="40"/>
      <c r="AP786" s="5"/>
      <c r="AR786" s="40"/>
      <c r="AS786" s="5"/>
      <c r="AU786" s="40"/>
      <c r="AV786" s="5"/>
      <c r="AX786" s="40"/>
      <c r="AY786" s="5"/>
      <c r="BA786" s="40"/>
      <c r="BB786" s="5"/>
      <c r="BD786" s="40"/>
      <c r="BE786" s="5"/>
      <c r="BG786" s="40"/>
      <c r="BH786" s="5"/>
      <c r="BJ786" s="40"/>
      <c r="BK786" s="5"/>
      <c r="BM786" s="40"/>
      <c r="BN786" s="5"/>
      <c r="BP786" s="40"/>
      <c r="BQ786" s="5"/>
      <c r="BS786" s="40"/>
      <c r="BT786" s="5"/>
      <c r="BV786" s="40"/>
      <c r="BW786" s="5"/>
      <c r="BY786" s="40"/>
      <c r="BZ786" s="5"/>
      <c r="CB786" s="40"/>
      <c r="CC786" s="5"/>
      <c r="CE786" s="40"/>
      <c r="CF786" s="5"/>
      <c r="CH786" s="40"/>
      <c r="CI786" s="5"/>
      <c r="CK786" s="40"/>
      <c r="CL786" s="5"/>
      <c r="CN786" s="40"/>
      <c r="CO786" s="5"/>
      <c r="CQ786" s="40"/>
      <c r="CR786" s="5"/>
    </row>
    <row r="787">
      <c r="AL787" s="40"/>
      <c r="AM787" s="5"/>
      <c r="AO787" s="40"/>
      <c r="AP787" s="5"/>
      <c r="AR787" s="40"/>
      <c r="AS787" s="5"/>
      <c r="AU787" s="40"/>
      <c r="AV787" s="5"/>
      <c r="AX787" s="40"/>
      <c r="AY787" s="5"/>
      <c r="BA787" s="40"/>
      <c r="BB787" s="5"/>
      <c r="BD787" s="40"/>
      <c r="BE787" s="5"/>
      <c r="BG787" s="40"/>
      <c r="BH787" s="5"/>
      <c r="BJ787" s="40"/>
      <c r="BK787" s="5"/>
      <c r="BM787" s="40"/>
      <c r="BN787" s="5"/>
      <c r="BP787" s="40"/>
      <c r="BQ787" s="5"/>
      <c r="BS787" s="40"/>
      <c r="BT787" s="5"/>
      <c r="BV787" s="40"/>
      <c r="BW787" s="5"/>
      <c r="BY787" s="40"/>
      <c r="BZ787" s="5"/>
      <c r="CB787" s="40"/>
      <c r="CC787" s="5"/>
      <c r="CE787" s="40"/>
      <c r="CF787" s="5"/>
      <c r="CH787" s="40"/>
      <c r="CI787" s="5"/>
      <c r="CK787" s="40"/>
      <c r="CL787" s="5"/>
      <c r="CN787" s="40"/>
      <c r="CO787" s="5"/>
      <c r="CQ787" s="40"/>
      <c r="CR787" s="5"/>
    </row>
    <row r="788">
      <c r="AL788" s="40"/>
      <c r="AM788" s="5"/>
      <c r="AO788" s="40"/>
      <c r="AP788" s="5"/>
      <c r="AR788" s="40"/>
      <c r="AS788" s="5"/>
      <c r="AU788" s="40"/>
      <c r="AV788" s="5"/>
      <c r="AX788" s="40"/>
      <c r="AY788" s="5"/>
      <c r="BA788" s="40"/>
      <c r="BB788" s="5"/>
      <c r="BD788" s="40"/>
      <c r="BE788" s="5"/>
      <c r="BG788" s="40"/>
      <c r="BH788" s="5"/>
      <c r="BJ788" s="40"/>
      <c r="BK788" s="5"/>
      <c r="BM788" s="40"/>
      <c r="BN788" s="5"/>
      <c r="BP788" s="40"/>
      <c r="BQ788" s="5"/>
      <c r="BS788" s="40"/>
      <c r="BT788" s="5"/>
      <c r="BV788" s="40"/>
      <c r="BW788" s="5"/>
      <c r="BY788" s="40"/>
      <c r="BZ788" s="5"/>
      <c r="CB788" s="40"/>
      <c r="CC788" s="5"/>
      <c r="CE788" s="40"/>
      <c r="CF788" s="5"/>
      <c r="CH788" s="40"/>
      <c r="CI788" s="5"/>
      <c r="CK788" s="40"/>
      <c r="CL788" s="5"/>
      <c r="CN788" s="40"/>
      <c r="CO788" s="5"/>
      <c r="CQ788" s="40"/>
      <c r="CR788" s="5"/>
    </row>
    <row r="789">
      <c r="AL789" s="40"/>
      <c r="AM789" s="5"/>
      <c r="AO789" s="40"/>
      <c r="AP789" s="5"/>
      <c r="AR789" s="40"/>
      <c r="AS789" s="5"/>
      <c r="AU789" s="40"/>
      <c r="AV789" s="5"/>
      <c r="AX789" s="40"/>
      <c r="AY789" s="5"/>
      <c r="BA789" s="40"/>
      <c r="BB789" s="5"/>
      <c r="BD789" s="40"/>
      <c r="BE789" s="5"/>
      <c r="BG789" s="40"/>
      <c r="BH789" s="5"/>
      <c r="BJ789" s="40"/>
      <c r="BK789" s="5"/>
      <c r="BM789" s="40"/>
      <c r="BN789" s="5"/>
      <c r="BP789" s="40"/>
      <c r="BQ789" s="5"/>
      <c r="BS789" s="40"/>
      <c r="BT789" s="5"/>
      <c r="BV789" s="40"/>
      <c r="BW789" s="5"/>
      <c r="BY789" s="40"/>
      <c r="BZ789" s="5"/>
      <c r="CB789" s="40"/>
      <c r="CC789" s="5"/>
      <c r="CE789" s="40"/>
      <c r="CF789" s="5"/>
      <c r="CH789" s="40"/>
      <c r="CI789" s="5"/>
      <c r="CK789" s="40"/>
      <c r="CL789" s="5"/>
      <c r="CN789" s="40"/>
      <c r="CO789" s="5"/>
      <c r="CQ789" s="40"/>
      <c r="CR789" s="5"/>
    </row>
    <row r="790">
      <c r="AL790" s="40"/>
      <c r="AM790" s="5"/>
      <c r="AO790" s="40"/>
      <c r="AP790" s="5"/>
      <c r="AR790" s="40"/>
      <c r="AS790" s="5"/>
      <c r="AU790" s="40"/>
      <c r="AV790" s="5"/>
      <c r="AX790" s="40"/>
      <c r="AY790" s="5"/>
      <c r="BA790" s="40"/>
      <c r="BB790" s="5"/>
      <c r="BD790" s="40"/>
      <c r="BE790" s="5"/>
      <c r="BG790" s="40"/>
      <c r="BH790" s="5"/>
      <c r="BJ790" s="40"/>
      <c r="BK790" s="5"/>
      <c r="BM790" s="40"/>
      <c r="BN790" s="5"/>
      <c r="BP790" s="40"/>
      <c r="BQ790" s="5"/>
      <c r="BS790" s="40"/>
      <c r="BT790" s="5"/>
      <c r="BV790" s="40"/>
      <c r="BW790" s="5"/>
      <c r="BY790" s="40"/>
      <c r="BZ790" s="5"/>
      <c r="CB790" s="40"/>
      <c r="CC790" s="5"/>
      <c r="CE790" s="40"/>
      <c r="CF790" s="5"/>
      <c r="CH790" s="40"/>
      <c r="CI790" s="5"/>
      <c r="CK790" s="40"/>
      <c r="CL790" s="5"/>
      <c r="CN790" s="40"/>
      <c r="CO790" s="5"/>
      <c r="CQ790" s="40"/>
      <c r="CR790" s="5"/>
    </row>
    <row r="791">
      <c r="AL791" s="40"/>
      <c r="AM791" s="5"/>
      <c r="AO791" s="40"/>
      <c r="AP791" s="5"/>
      <c r="AR791" s="40"/>
      <c r="AS791" s="5"/>
      <c r="AU791" s="40"/>
      <c r="AV791" s="5"/>
      <c r="AX791" s="40"/>
      <c r="AY791" s="5"/>
      <c r="BA791" s="40"/>
      <c r="BB791" s="5"/>
      <c r="BD791" s="40"/>
      <c r="BE791" s="5"/>
      <c r="BG791" s="40"/>
      <c r="BH791" s="5"/>
      <c r="BJ791" s="40"/>
      <c r="BK791" s="5"/>
      <c r="BM791" s="40"/>
      <c r="BN791" s="5"/>
      <c r="BP791" s="40"/>
      <c r="BQ791" s="5"/>
      <c r="BS791" s="40"/>
      <c r="BT791" s="5"/>
      <c r="BV791" s="40"/>
      <c r="BW791" s="5"/>
      <c r="BY791" s="40"/>
      <c r="BZ791" s="5"/>
      <c r="CB791" s="40"/>
      <c r="CC791" s="5"/>
      <c r="CE791" s="40"/>
      <c r="CF791" s="5"/>
      <c r="CH791" s="40"/>
      <c r="CI791" s="5"/>
      <c r="CK791" s="40"/>
      <c r="CL791" s="5"/>
      <c r="CN791" s="40"/>
      <c r="CO791" s="5"/>
      <c r="CQ791" s="40"/>
      <c r="CR791" s="5"/>
    </row>
    <row r="792">
      <c r="AL792" s="40"/>
      <c r="AM792" s="5"/>
      <c r="AO792" s="40"/>
      <c r="AP792" s="5"/>
      <c r="AR792" s="40"/>
      <c r="AS792" s="5"/>
      <c r="AU792" s="40"/>
      <c r="AV792" s="5"/>
      <c r="AX792" s="40"/>
      <c r="AY792" s="5"/>
      <c r="BA792" s="40"/>
      <c r="BB792" s="5"/>
      <c r="BD792" s="40"/>
      <c r="BE792" s="5"/>
      <c r="BG792" s="40"/>
      <c r="BH792" s="5"/>
      <c r="BJ792" s="40"/>
      <c r="BK792" s="5"/>
      <c r="BM792" s="40"/>
      <c r="BN792" s="5"/>
      <c r="BP792" s="40"/>
      <c r="BQ792" s="5"/>
      <c r="BS792" s="40"/>
      <c r="BT792" s="5"/>
      <c r="BV792" s="40"/>
      <c r="BW792" s="5"/>
      <c r="BY792" s="40"/>
      <c r="BZ792" s="5"/>
      <c r="CB792" s="40"/>
      <c r="CC792" s="5"/>
      <c r="CE792" s="40"/>
      <c r="CF792" s="5"/>
      <c r="CH792" s="40"/>
      <c r="CI792" s="5"/>
      <c r="CK792" s="40"/>
      <c r="CL792" s="5"/>
      <c r="CN792" s="40"/>
      <c r="CO792" s="5"/>
      <c r="CQ792" s="40"/>
      <c r="CR792" s="5"/>
    </row>
    <row r="793">
      <c r="AL793" s="40"/>
      <c r="AM793" s="5"/>
      <c r="AO793" s="40"/>
      <c r="AP793" s="5"/>
      <c r="AR793" s="40"/>
      <c r="AS793" s="5"/>
      <c r="AU793" s="40"/>
      <c r="AV793" s="5"/>
      <c r="AX793" s="40"/>
      <c r="AY793" s="5"/>
      <c r="BA793" s="40"/>
      <c r="BB793" s="5"/>
      <c r="BD793" s="40"/>
      <c r="BE793" s="5"/>
      <c r="BG793" s="40"/>
      <c r="BH793" s="5"/>
      <c r="BJ793" s="40"/>
      <c r="BK793" s="5"/>
      <c r="BM793" s="40"/>
      <c r="BN793" s="5"/>
      <c r="BP793" s="40"/>
      <c r="BQ793" s="5"/>
      <c r="BS793" s="40"/>
      <c r="BT793" s="5"/>
      <c r="BV793" s="40"/>
      <c r="BW793" s="5"/>
      <c r="BY793" s="40"/>
      <c r="BZ793" s="5"/>
      <c r="CB793" s="40"/>
      <c r="CC793" s="5"/>
      <c r="CE793" s="40"/>
      <c r="CF793" s="5"/>
      <c r="CH793" s="40"/>
      <c r="CI793" s="5"/>
      <c r="CK793" s="40"/>
      <c r="CL793" s="5"/>
      <c r="CN793" s="40"/>
      <c r="CO793" s="5"/>
      <c r="CQ793" s="40"/>
      <c r="CR793" s="5"/>
    </row>
    <row r="794">
      <c r="AL794" s="40"/>
      <c r="AM794" s="5"/>
      <c r="AO794" s="40"/>
      <c r="AP794" s="5"/>
      <c r="AR794" s="40"/>
      <c r="AS794" s="5"/>
      <c r="AU794" s="40"/>
      <c r="AV794" s="5"/>
      <c r="AX794" s="40"/>
      <c r="AY794" s="5"/>
      <c r="BA794" s="40"/>
      <c r="BB794" s="5"/>
      <c r="BD794" s="40"/>
      <c r="BE794" s="5"/>
      <c r="BG794" s="40"/>
      <c r="BH794" s="5"/>
      <c r="BJ794" s="40"/>
      <c r="BK794" s="5"/>
      <c r="BM794" s="40"/>
      <c r="BN794" s="5"/>
      <c r="BP794" s="40"/>
      <c r="BQ794" s="5"/>
      <c r="BS794" s="40"/>
      <c r="BT794" s="5"/>
      <c r="BV794" s="40"/>
      <c r="BW794" s="5"/>
      <c r="BY794" s="40"/>
      <c r="BZ794" s="5"/>
      <c r="CB794" s="40"/>
      <c r="CC794" s="5"/>
      <c r="CE794" s="40"/>
      <c r="CF794" s="5"/>
      <c r="CH794" s="40"/>
      <c r="CI794" s="5"/>
      <c r="CK794" s="40"/>
      <c r="CL794" s="5"/>
      <c r="CN794" s="40"/>
      <c r="CO794" s="5"/>
      <c r="CQ794" s="40"/>
      <c r="CR794" s="5"/>
    </row>
    <row r="795">
      <c r="AL795" s="40"/>
      <c r="AM795" s="5"/>
      <c r="AO795" s="40"/>
      <c r="AP795" s="5"/>
      <c r="AR795" s="40"/>
      <c r="AS795" s="5"/>
      <c r="AU795" s="40"/>
      <c r="AV795" s="5"/>
      <c r="AX795" s="40"/>
      <c r="AY795" s="5"/>
      <c r="BA795" s="40"/>
      <c r="BB795" s="5"/>
      <c r="BD795" s="40"/>
      <c r="BE795" s="5"/>
      <c r="BG795" s="40"/>
      <c r="BH795" s="5"/>
      <c r="BJ795" s="40"/>
      <c r="BK795" s="5"/>
      <c r="BM795" s="40"/>
      <c r="BN795" s="5"/>
      <c r="BP795" s="40"/>
      <c r="BQ795" s="5"/>
      <c r="BS795" s="40"/>
      <c r="BT795" s="5"/>
      <c r="BV795" s="40"/>
      <c r="BW795" s="5"/>
      <c r="BY795" s="40"/>
      <c r="BZ795" s="5"/>
      <c r="CB795" s="40"/>
      <c r="CC795" s="5"/>
      <c r="CE795" s="40"/>
      <c r="CF795" s="5"/>
      <c r="CH795" s="40"/>
      <c r="CI795" s="5"/>
      <c r="CK795" s="40"/>
      <c r="CL795" s="5"/>
      <c r="CN795" s="40"/>
      <c r="CO795" s="5"/>
      <c r="CQ795" s="40"/>
      <c r="CR795" s="5"/>
    </row>
    <row r="796">
      <c r="AL796" s="40"/>
      <c r="AM796" s="5"/>
      <c r="AO796" s="40"/>
      <c r="AP796" s="5"/>
      <c r="AR796" s="40"/>
      <c r="AS796" s="5"/>
      <c r="AU796" s="40"/>
      <c r="AV796" s="5"/>
      <c r="AX796" s="40"/>
      <c r="AY796" s="5"/>
      <c r="BA796" s="40"/>
      <c r="BB796" s="5"/>
      <c r="BD796" s="40"/>
      <c r="BE796" s="5"/>
      <c r="BG796" s="40"/>
      <c r="BH796" s="5"/>
      <c r="BJ796" s="40"/>
      <c r="BK796" s="5"/>
      <c r="BM796" s="40"/>
      <c r="BN796" s="5"/>
      <c r="BP796" s="40"/>
      <c r="BQ796" s="5"/>
      <c r="BS796" s="40"/>
      <c r="BT796" s="5"/>
      <c r="BV796" s="40"/>
      <c r="BW796" s="5"/>
      <c r="BY796" s="40"/>
      <c r="BZ796" s="5"/>
      <c r="CB796" s="40"/>
      <c r="CC796" s="5"/>
      <c r="CE796" s="40"/>
      <c r="CF796" s="5"/>
      <c r="CH796" s="40"/>
      <c r="CI796" s="5"/>
      <c r="CK796" s="40"/>
      <c r="CL796" s="5"/>
      <c r="CN796" s="40"/>
      <c r="CO796" s="5"/>
      <c r="CQ796" s="40"/>
      <c r="CR796" s="5"/>
    </row>
    <row r="797">
      <c r="AL797" s="40"/>
      <c r="AM797" s="5"/>
      <c r="AO797" s="40"/>
      <c r="AP797" s="5"/>
      <c r="AR797" s="40"/>
      <c r="AS797" s="5"/>
      <c r="AU797" s="40"/>
      <c r="AV797" s="5"/>
      <c r="AX797" s="40"/>
      <c r="AY797" s="5"/>
      <c r="BA797" s="40"/>
      <c r="BB797" s="5"/>
      <c r="BD797" s="40"/>
      <c r="BE797" s="5"/>
      <c r="BG797" s="40"/>
      <c r="BH797" s="5"/>
      <c r="BJ797" s="40"/>
      <c r="BK797" s="5"/>
      <c r="BM797" s="40"/>
      <c r="BN797" s="5"/>
      <c r="BP797" s="40"/>
      <c r="BQ797" s="5"/>
      <c r="BS797" s="40"/>
      <c r="BT797" s="5"/>
      <c r="BV797" s="40"/>
      <c r="BW797" s="5"/>
      <c r="BY797" s="40"/>
      <c r="BZ797" s="5"/>
      <c r="CB797" s="40"/>
      <c r="CC797" s="5"/>
      <c r="CE797" s="40"/>
      <c r="CF797" s="5"/>
      <c r="CH797" s="40"/>
      <c r="CI797" s="5"/>
      <c r="CK797" s="40"/>
      <c r="CL797" s="5"/>
      <c r="CN797" s="40"/>
      <c r="CO797" s="5"/>
      <c r="CQ797" s="40"/>
      <c r="CR797" s="5"/>
    </row>
    <row r="798">
      <c r="AL798" s="40"/>
      <c r="AM798" s="5"/>
      <c r="AO798" s="40"/>
      <c r="AP798" s="5"/>
      <c r="AR798" s="40"/>
      <c r="AS798" s="5"/>
      <c r="AU798" s="40"/>
      <c r="AV798" s="5"/>
      <c r="AX798" s="40"/>
      <c r="AY798" s="5"/>
      <c r="BA798" s="40"/>
      <c r="BB798" s="5"/>
      <c r="BD798" s="40"/>
      <c r="BE798" s="5"/>
      <c r="BG798" s="40"/>
      <c r="BH798" s="5"/>
      <c r="BJ798" s="40"/>
      <c r="BK798" s="5"/>
      <c r="BM798" s="40"/>
      <c r="BN798" s="5"/>
      <c r="BP798" s="40"/>
      <c r="BQ798" s="5"/>
      <c r="BS798" s="40"/>
      <c r="BT798" s="5"/>
      <c r="BV798" s="40"/>
      <c r="BW798" s="5"/>
      <c r="BY798" s="40"/>
      <c r="BZ798" s="5"/>
      <c r="CB798" s="40"/>
      <c r="CC798" s="5"/>
      <c r="CE798" s="40"/>
      <c r="CF798" s="5"/>
      <c r="CH798" s="40"/>
      <c r="CI798" s="5"/>
      <c r="CK798" s="40"/>
      <c r="CL798" s="5"/>
      <c r="CN798" s="40"/>
      <c r="CO798" s="5"/>
      <c r="CQ798" s="40"/>
      <c r="CR798" s="5"/>
    </row>
    <row r="799">
      <c r="AL799" s="40"/>
      <c r="AM799" s="5"/>
      <c r="AO799" s="40"/>
      <c r="AP799" s="5"/>
      <c r="AR799" s="40"/>
      <c r="AS799" s="5"/>
      <c r="AU799" s="40"/>
      <c r="AV799" s="5"/>
      <c r="AX799" s="40"/>
      <c r="AY799" s="5"/>
      <c r="BA799" s="40"/>
      <c r="BB799" s="5"/>
      <c r="BD799" s="40"/>
      <c r="BE799" s="5"/>
      <c r="BG799" s="40"/>
      <c r="BH799" s="5"/>
      <c r="BJ799" s="40"/>
      <c r="BK799" s="5"/>
      <c r="BM799" s="40"/>
      <c r="BN799" s="5"/>
      <c r="BP799" s="40"/>
      <c r="BQ799" s="5"/>
      <c r="BS799" s="40"/>
      <c r="BT799" s="5"/>
      <c r="BV799" s="40"/>
      <c r="BW799" s="5"/>
      <c r="BY799" s="40"/>
      <c r="BZ799" s="5"/>
      <c r="CB799" s="40"/>
      <c r="CC799" s="5"/>
      <c r="CE799" s="40"/>
      <c r="CF799" s="5"/>
      <c r="CH799" s="40"/>
      <c r="CI799" s="5"/>
      <c r="CK799" s="40"/>
      <c r="CL799" s="5"/>
      <c r="CN799" s="40"/>
      <c r="CO799" s="5"/>
      <c r="CQ799" s="40"/>
      <c r="CR799" s="5"/>
    </row>
    <row r="800">
      <c r="AL800" s="40"/>
      <c r="AM800" s="5"/>
      <c r="AO800" s="40"/>
      <c r="AP800" s="5"/>
      <c r="AR800" s="40"/>
      <c r="AS800" s="5"/>
      <c r="AU800" s="40"/>
      <c r="AV800" s="5"/>
      <c r="AX800" s="40"/>
      <c r="AY800" s="5"/>
      <c r="BA800" s="40"/>
      <c r="BB800" s="5"/>
      <c r="BD800" s="40"/>
      <c r="BE800" s="5"/>
      <c r="BG800" s="40"/>
      <c r="BH800" s="5"/>
      <c r="BJ800" s="40"/>
      <c r="BK800" s="5"/>
      <c r="BM800" s="40"/>
      <c r="BN800" s="5"/>
      <c r="BP800" s="40"/>
      <c r="BQ800" s="5"/>
      <c r="BS800" s="40"/>
      <c r="BT800" s="5"/>
      <c r="BV800" s="40"/>
      <c r="BW800" s="5"/>
      <c r="BY800" s="40"/>
      <c r="BZ800" s="5"/>
      <c r="CB800" s="40"/>
      <c r="CC800" s="5"/>
      <c r="CE800" s="40"/>
      <c r="CF800" s="5"/>
      <c r="CH800" s="40"/>
      <c r="CI800" s="5"/>
      <c r="CK800" s="40"/>
      <c r="CL800" s="5"/>
      <c r="CN800" s="40"/>
      <c r="CO800" s="5"/>
      <c r="CQ800" s="40"/>
      <c r="CR800" s="5"/>
    </row>
    <row r="801">
      <c r="AL801" s="40"/>
      <c r="AM801" s="5"/>
      <c r="AO801" s="40"/>
      <c r="AP801" s="5"/>
      <c r="AR801" s="40"/>
      <c r="AS801" s="5"/>
      <c r="AU801" s="40"/>
      <c r="AV801" s="5"/>
      <c r="AX801" s="40"/>
      <c r="AY801" s="5"/>
      <c r="BA801" s="40"/>
      <c r="BB801" s="5"/>
      <c r="BD801" s="40"/>
      <c r="BE801" s="5"/>
      <c r="BG801" s="40"/>
      <c r="BH801" s="5"/>
      <c r="BJ801" s="40"/>
      <c r="BK801" s="5"/>
      <c r="BM801" s="40"/>
      <c r="BN801" s="5"/>
      <c r="BP801" s="40"/>
      <c r="BQ801" s="5"/>
      <c r="BS801" s="40"/>
      <c r="BT801" s="5"/>
      <c r="BV801" s="40"/>
      <c r="BW801" s="5"/>
      <c r="BY801" s="40"/>
      <c r="BZ801" s="5"/>
      <c r="CB801" s="40"/>
      <c r="CC801" s="5"/>
      <c r="CE801" s="40"/>
      <c r="CF801" s="5"/>
      <c r="CH801" s="40"/>
      <c r="CI801" s="5"/>
      <c r="CK801" s="40"/>
      <c r="CL801" s="5"/>
      <c r="CN801" s="40"/>
      <c r="CO801" s="5"/>
      <c r="CQ801" s="40"/>
      <c r="CR801" s="5"/>
    </row>
    <row r="802">
      <c r="AL802" s="40"/>
      <c r="AM802" s="5"/>
      <c r="AO802" s="40"/>
      <c r="AP802" s="5"/>
      <c r="AR802" s="40"/>
      <c r="AS802" s="5"/>
      <c r="AU802" s="40"/>
      <c r="AV802" s="5"/>
      <c r="AX802" s="40"/>
      <c r="AY802" s="5"/>
      <c r="BA802" s="40"/>
      <c r="BB802" s="5"/>
      <c r="BD802" s="40"/>
      <c r="BE802" s="5"/>
      <c r="BG802" s="40"/>
      <c r="BH802" s="5"/>
      <c r="BJ802" s="40"/>
      <c r="BK802" s="5"/>
      <c r="BM802" s="40"/>
      <c r="BN802" s="5"/>
      <c r="BP802" s="40"/>
      <c r="BQ802" s="5"/>
      <c r="BS802" s="40"/>
      <c r="BT802" s="5"/>
      <c r="BV802" s="40"/>
      <c r="BW802" s="5"/>
      <c r="BY802" s="40"/>
      <c r="BZ802" s="5"/>
      <c r="CB802" s="40"/>
      <c r="CC802" s="5"/>
      <c r="CE802" s="40"/>
      <c r="CF802" s="5"/>
      <c r="CH802" s="40"/>
      <c r="CI802" s="5"/>
      <c r="CK802" s="40"/>
      <c r="CL802" s="5"/>
      <c r="CN802" s="40"/>
      <c r="CO802" s="5"/>
      <c r="CQ802" s="40"/>
      <c r="CR802" s="5"/>
    </row>
    <row r="803">
      <c r="AL803" s="40"/>
      <c r="AM803" s="5"/>
      <c r="AO803" s="40"/>
      <c r="AP803" s="5"/>
      <c r="AR803" s="40"/>
      <c r="AS803" s="5"/>
      <c r="AU803" s="40"/>
      <c r="AV803" s="5"/>
      <c r="AX803" s="40"/>
      <c r="AY803" s="5"/>
      <c r="BA803" s="40"/>
      <c r="BB803" s="5"/>
      <c r="BD803" s="40"/>
      <c r="BE803" s="5"/>
      <c r="BG803" s="40"/>
      <c r="BH803" s="5"/>
      <c r="BJ803" s="40"/>
      <c r="BK803" s="5"/>
      <c r="BM803" s="40"/>
      <c r="BN803" s="5"/>
      <c r="BP803" s="40"/>
      <c r="BQ803" s="5"/>
      <c r="BS803" s="40"/>
      <c r="BT803" s="5"/>
      <c r="BV803" s="40"/>
      <c r="BW803" s="5"/>
      <c r="BY803" s="40"/>
      <c r="BZ803" s="5"/>
      <c r="CB803" s="40"/>
      <c r="CC803" s="5"/>
      <c r="CE803" s="40"/>
      <c r="CF803" s="5"/>
      <c r="CH803" s="40"/>
      <c r="CI803" s="5"/>
      <c r="CK803" s="40"/>
      <c r="CL803" s="5"/>
      <c r="CN803" s="40"/>
      <c r="CO803" s="5"/>
      <c r="CQ803" s="40"/>
      <c r="CR803" s="5"/>
    </row>
    <row r="804">
      <c r="AL804" s="40"/>
      <c r="AM804" s="5"/>
      <c r="AO804" s="40"/>
      <c r="AP804" s="5"/>
      <c r="AR804" s="40"/>
      <c r="AS804" s="5"/>
      <c r="AU804" s="40"/>
      <c r="AV804" s="5"/>
      <c r="AX804" s="40"/>
      <c r="AY804" s="5"/>
      <c r="BA804" s="40"/>
      <c r="BB804" s="5"/>
      <c r="BD804" s="40"/>
      <c r="BE804" s="5"/>
      <c r="BG804" s="40"/>
      <c r="BH804" s="5"/>
      <c r="BJ804" s="40"/>
      <c r="BK804" s="5"/>
      <c r="BM804" s="40"/>
      <c r="BN804" s="5"/>
      <c r="BP804" s="40"/>
      <c r="BQ804" s="5"/>
      <c r="BS804" s="40"/>
      <c r="BT804" s="5"/>
      <c r="BV804" s="40"/>
      <c r="BW804" s="5"/>
      <c r="BY804" s="40"/>
      <c r="BZ804" s="5"/>
      <c r="CB804" s="40"/>
      <c r="CC804" s="5"/>
      <c r="CE804" s="40"/>
      <c r="CF804" s="5"/>
      <c r="CH804" s="40"/>
      <c r="CI804" s="5"/>
      <c r="CK804" s="40"/>
      <c r="CL804" s="5"/>
      <c r="CN804" s="40"/>
      <c r="CO804" s="5"/>
      <c r="CQ804" s="40"/>
      <c r="CR804" s="5"/>
    </row>
    <row r="805">
      <c r="AL805" s="40"/>
      <c r="AM805" s="5"/>
      <c r="AO805" s="40"/>
      <c r="AP805" s="5"/>
      <c r="AR805" s="40"/>
      <c r="AS805" s="5"/>
      <c r="AU805" s="40"/>
      <c r="AV805" s="5"/>
      <c r="AX805" s="40"/>
      <c r="AY805" s="5"/>
      <c r="BA805" s="40"/>
      <c r="BB805" s="5"/>
      <c r="BD805" s="40"/>
      <c r="BE805" s="5"/>
      <c r="BG805" s="40"/>
      <c r="BH805" s="5"/>
      <c r="BJ805" s="40"/>
      <c r="BK805" s="5"/>
      <c r="BM805" s="40"/>
      <c r="BN805" s="5"/>
      <c r="BP805" s="40"/>
      <c r="BQ805" s="5"/>
      <c r="BS805" s="40"/>
      <c r="BT805" s="5"/>
      <c r="BV805" s="40"/>
      <c r="BW805" s="5"/>
      <c r="BY805" s="40"/>
      <c r="BZ805" s="5"/>
      <c r="CB805" s="40"/>
      <c r="CC805" s="5"/>
      <c r="CE805" s="40"/>
      <c r="CF805" s="5"/>
      <c r="CH805" s="40"/>
      <c r="CI805" s="5"/>
      <c r="CK805" s="40"/>
      <c r="CL805" s="5"/>
      <c r="CN805" s="40"/>
      <c r="CO805" s="5"/>
      <c r="CQ805" s="40"/>
      <c r="CR805" s="5"/>
    </row>
    <row r="806">
      <c r="AL806" s="40"/>
      <c r="AM806" s="5"/>
      <c r="AO806" s="40"/>
      <c r="AP806" s="5"/>
      <c r="AR806" s="40"/>
      <c r="AS806" s="5"/>
      <c r="AU806" s="40"/>
      <c r="AV806" s="5"/>
      <c r="AX806" s="40"/>
      <c r="AY806" s="5"/>
      <c r="BA806" s="40"/>
      <c r="BB806" s="5"/>
      <c r="BD806" s="40"/>
      <c r="BE806" s="5"/>
      <c r="BG806" s="40"/>
      <c r="BH806" s="5"/>
      <c r="BJ806" s="40"/>
      <c r="BK806" s="5"/>
      <c r="BM806" s="40"/>
      <c r="BN806" s="5"/>
      <c r="BP806" s="40"/>
      <c r="BQ806" s="5"/>
      <c r="BS806" s="40"/>
      <c r="BT806" s="5"/>
      <c r="BV806" s="40"/>
      <c r="BW806" s="5"/>
      <c r="BY806" s="40"/>
      <c r="BZ806" s="5"/>
      <c r="CB806" s="40"/>
      <c r="CC806" s="5"/>
      <c r="CE806" s="40"/>
      <c r="CF806" s="5"/>
      <c r="CH806" s="40"/>
      <c r="CI806" s="5"/>
      <c r="CK806" s="40"/>
      <c r="CL806" s="5"/>
      <c r="CN806" s="40"/>
      <c r="CO806" s="5"/>
      <c r="CQ806" s="40"/>
      <c r="CR806" s="5"/>
    </row>
    <row r="807">
      <c r="AL807" s="40"/>
      <c r="AM807" s="5"/>
      <c r="AO807" s="40"/>
      <c r="AP807" s="5"/>
      <c r="AR807" s="40"/>
      <c r="AS807" s="5"/>
      <c r="AU807" s="40"/>
      <c r="AV807" s="5"/>
      <c r="AX807" s="40"/>
      <c r="AY807" s="5"/>
      <c r="BA807" s="40"/>
      <c r="BB807" s="5"/>
      <c r="BD807" s="40"/>
      <c r="BE807" s="5"/>
      <c r="BG807" s="40"/>
      <c r="BH807" s="5"/>
      <c r="BJ807" s="40"/>
      <c r="BK807" s="5"/>
      <c r="BM807" s="40"/>
      <c r="BN807" s="5"/>
      <c r="BP807" s="40"/>
      <c r="BQ807" s="5"/>
      <c r="BS807" s="40"/>
      <c r="BT807" s="5"/>
      <c r="BV807" s="40"/>
      <c r="BW807" s="5"/>
      <c r="BY807" s="40"/>
      <c r="BZ807" s="5"/>
      <c r="CB807" s="40"/>
      <c r="CC807" s="5"/>
      <c r="CE807" s="40"/>
      <c r="CF807" s="5"/>
      <c r="CH807" s="40"/>
      <c r="CI807" s="5"/>
      <c r="CK807" s="40"/>
      <c r="CL807" s="5"/>
      <c r="CN807" s="40"/>
      <c r="CO807" s="5"/>
      <c r="CQ807" s="40"/>
      <c r="CR807" s="5"/>
    </row>
    <row r="808">
      <c r="AL808" s="40"/>
      <c r="AM808" s="5"/>
      <c r="AO808" s="40"/>
      <c r="AP808" s="5"/>
      <c r="AR808" s="40"/>
      <c r="AS808" s="5"/>
      <c r="AU808" s="40"/>
      <c r="AV808" s="5"/>
      <c r="AX808" s="40"/>
      <c r="AY808" s="5"/>
      <c r="BA808" s="40"/>
      <c r="BB808" s="5"/>
      <c r="BD808" s="40"/>
      <c r="BE808" s="5"/>
      <c r="BG808" s="40"/>
      <c r="BH808" s="5"/>
      <c r="BJ808" s="40"/>
      <c r="BK808" s="5"/>
      <c r="BM808" s="40"/>
      <c r="BN808" s="5"/>
      <c r="BP808" s="40"/>
      <c r="BQ808" s="5"/>
      <c r="BS808" s="40"/>
      <c r="BT808" s="5"/>
      <c r="BV808" s="40"/>
      <c r="BW808" s="5"/>
      <c r="BY808" s="40"/>
      <c r="BZ808" s="5"/>
      <c r="CB808" s="40"/>
      <c r="CC808" s="5"/>
      <c r="CE808" s="40"/>
      <c r="CF808" s="5"/>
      <c r="CH808" s="40"/>
      <c r="CI808" s="5"/>
      <c r="CK808" s="40"/>
      <c r="CL808" s="5"/>
      <c r="CN808" s="40"/>
      <c r="CO808" s="5"/>
      <c r="CQ808" s="40"/>
      <c r="CR808" s="5"/>
    </row>
    <row r="809">
      <c r="AL809" s="40"/>
      <c r="AM809" s="5"/>
      <c r="AO809" s="40"/>
      <c r="AP809" s="5"/>
      <c r="AR809" s="40"/>
      <c r="AS809" s="5"/>
      <c r="AU809" s="40"/>
      <c r="AV809" s="5"/>
      <c r="AX809" s="40"/>
      <c r="AY809" s="5"/>
      <c r="BA809" s="40"/>
      <c r="BB809" s="5"/>
      <c r="BD809" s="40"/>
      <c r="BE809" s="5"/>
      <c r="BG809" s="40"/>
      <c r="BH809" s="5"/>
      <c r="BJ809" s="40"/>
      <c r="BK809" s="5"/>
      <c r="BM809" s="40"/>
      <c r="BN809" s="5"/>
      <c r="BP809" s="40"/>
      <c r="BQ809" s="5"/>
      <c r="BS809" s="40"/>
      <c r="BT809" s="5"/>
      <c r="BV809" s="40"/>
      <c r="BW809" s="5"/>
      <c r="BY809" s="40"/>
      <c r="BZ809" s="5"/>
      <c r="CB809" s="40"/>
      <c r="CC809" s="5"/>
      <c r="CE809" s="40"/>
      <c r="CF809" s="5"/>
      <c r="CH809" s="40"/>
      <c r="CI809" s="5"/>
      <c r="CK809" s="40"/>
      <c r="CL809" s="5"/>
      <c r="CN809" s="40"/>
      <c r="CO809" s="5"/>
      <c r="CQ809" s="40"/>
      <c r="CR809" s="5"/>
    </row>
    <row r="810">
      <c r="AL810" s="40"/>
      <c r="AM810" s="5"/>
      <c r="AO810" s="40"/>
      <c r="AP810" s="5"/>
      <c r="AR810" s="40"/>
      <c r="AS810" s="5"/>
      <c r="AU810" s="40"/>
      <c r="AV810" s="5"/>
      <c r="AX810" s="40"/>
      <c r="AY810" s="5"/>
      <c r="BA810" s="40"/>
      <c r="BB810" s="5"/>
      <c r="BD810" s="40"/>
      <c r="BE810" s="5"/>
      <c r="BG810" s="40"/>
      <c r="BH810" s="5"/>
      <c r="BJ810" s="40"/>
      <c r="BK810" s="5"/>
      <c r="BM810" s="40"/>
      <c r="BN810" s="5"/>
      <c r="BP810" s="40"/>
      <c r="BQ810" s="5"/>
      <c r="BS810" s="40"/>
      <c r="BT810" s="5"/>
      <c r="BV810" s="40"/>
      <c r="BW810" s="5"/>
      <c r="BY810" s="40"/>
      <c r="BZ810" s="5"/>
      <c r="CB810" s="40"/>
      <c r="CC810" s="5"/>
      <c r="CE810" s="40"/>
      <c r="CF810" s="5"/>
      <c r="CH810" s="40"/>
      <c r="CI810" s="5"/>
      <c r="CK810" s="40"/>
      <c r="CL810" s="5"/>
      <c r="CN810" s="40"/>
      <c r="CO810" s="5"/>
      <c r="CQ810" s="40"/>
      <c r="CR810" s="5"/>
    </row>
    <row r="811">
      <c r="AL811" s="40"/>
      <c r="AM811" s="5"/>
      <c r="AO811" s="40"/>
      <c r="AP811" s="5"/>
      <c r="AR811" s="40"/>
      <c r="AS811" s="5"/>
      <c r="AU811" s="40"/>
      <c r="AV811" s="5"/>
      <c r="AX811" s="40"/>
      <c r="AY811" s="5"/>
      <c r="BA811" s="40"/>
      <c r="BB811" s="5"/>
      <c r="BD811" s="40"/>
      <c r="BE811" s="5"/>
      <c r="BG811" s="40"/>
      <c r="BH811" s="5"/>
      <c r="BJ811" s="40"/>
      <c r="BK811" s="5"/>
      <c r="BM811" s="40"/>
      <c r="BN811" s="5"/>
      <c r="BP811" s="40"/>
      <c r="BQ811" s="5"/>
      <c r="BS811" s="40"/>
      <c r="BT811" s="5"/>
      <c r="BV811" s="40"/>
      <c r="BW811" s="5"/>
      <c r="BY811" s="40"/>
      <c r="BZ811" s="5"/>
      <c r="CB811" s="40"/>
      <c r="CC811" s="5"/>
      <c r="CE811" s="40"/>
      <c r="CF811" s="5"/>
      <c r="CH811" s="40"/>
      <c r="CI811" s="5"/>
      <c r="CK811" s="40"/>
      <c r="CL811" s="5"/>
      <c r="CN811" s="40"/>
      <c r="CO811" s="5"/>
      <c r="CQ811" s="40"/>
      <c r="CR811" s="5"/>
    </row>
    <row r="812">
      <c r="AL812" s="40"/>
      <c r="AM812" s="5"/>
      <c r="AO812" s="40"/>
      <c r="AP812" s="5"/>
      <c r="AR812" s="40"/>
      <c r="AS812" s="5"/>
      <c r="AU812" s="40"/>
      <c r="AV812" s="5"/>
      <c r="AX812" s="40"/>
      <c r="AY812" s="5"/>
      <c r="BA812" s="40"/>
      <c r="BB812" s="5"/>
      <c r="BD812" s="40"/>
      <c r="BE812" s="5"/>
      <c r="BG812" s="40"/>
      <c r="BH812" s="5"/>
      <c r="BJ812" s="40"/>
      <c r="BK812" s="5"/>
      <c r="BM812" s="40"/>
      <c r="BN812" s="5"/>
      <c r="BP812" s="40"/>
      <c r="BQ812" s="5"/>
      <c r="BS812" s="40"/>
      <c r="BT812" s="5"/>
      <c r="BV812" s="40"/>
      <c r="BW812" s="5"/>
      <c r="BY812" s="40"/>
      <c r="BZ812" s="5"/>
      <c r="CB812" s="40"/>
      <c r="CC812" s="5"/>
      <c r="CE812" s="40"/>
      <c r="CF812" s="5"/>
      <c r="CH812" s="40"/>
      <c r="CI812" s="5"/>
      <c r="CK812" s="40"/>
      <c r="CL812" s="5"/>
      <c r="CN812" s="40"/>
      <c r="CO812" s="5"/>
      <c r="CQ812" s="40"/>
      <c r="CR812" s="5"/>
    </row>
    <row r="813">
      <c r="AL813" s="40"/>
      <c r="AM813" s="5"/>
      <c r="AO813" s="40"/>
      <c r="AP813" s="5"/>
      <c r="AR813" s="40"/>
      <c r="AS813" s="5"/>
      <c r="AU813" s="40"/>
      <c r="AV813" s="5"/>
      <c r="AX813" s="40"/>
      <c r="AY813" s="5"/>
      <c r="BA813" s="40"/>
      <c r="BB813" s="5"/>
      <c r="BD813" s="40"/>
      <c r="BE813" s="5"/>
      <c r="BG813" s="40"/>
      <c r="BH813" s="5"/>
      <c r="BJ813" s="40"/>
      <c r="BK813" s="5"/>
      <c r="BM813" s="40"/>
      <c r="BN813" s="5"/>
      <c r="BP813" s="40"/>
      <c r="BQ813" s="5"/>
      <c r="BS813" s="40"/>
      <c r="BT813" s="5"/>
      <c r="BV813" s="40"/>
      <c r="BW813" s="5"/>
      <c r="BY813" s="40"/>
      <c r="BZ813" s="5"/>
      <c r="CB813" s="40"/>
      <c r="CC813" s="5"/>
      <c r="CE813" s="40"/>
      <c r="CF813" s="5"/>
      <c r="CH813" s="40"/>
      <c r="CI813" s="5"/>
      <c r="CK813" s="40"/>
      <c r="CL813" s="5"/>
      <c r="CN813" s="40"/>
      <c r="CO813" s="5"/>
      <c r="CQ813" s="40"/>
      <c r="CR813" s="5"/>
    </row>
    <row r="814">
      <c r="AL814" s="40"/>
      <c r="AM814" s="5"/>
      <c r="AO814" s="40"/>
      <c r="AP814" s="5"/>
      <c r="AR814" s="40"/>
      <c r="AS814" s="5"/>
      <c r="AU814" s="40"/>
      <c r="AV814" s="5"/>
      <c r="AX814" s="40"/>
      <c r="AY814" s="5"/>
      <c r="BA814" s="40"/>
      <c r="BB814" s="5"/>
      <c r="BD814" s="40"/>
      <c r="BE814" s="5"/>
      <c r="BG814" s="40"/>
      <c r="BH814" s="5"/>
      <c r="BJ814" s="40"/>
      <c r="BK814" s="5"/>
      <c r="BM814" s="40"/>
      <c r="BN814" s="5"/>
      <c r="BP814" s="40"/>
      <c r="BQ814" s="5"/>
      <c r="BS814" s="40"/>
      <c r="BT814" s="5"/>
      <c r="BV814" s="40"/>
      <c r="BW814" s="5"/>
      <c r="BY814" s="40"/>
      <c r="BZ814" s="5"/>
      <c r="CB814" s="40"/>
      <c r="CC814" s="5"/>
      <c r="CE814" s="40"/>
      <c r="CF814" s="5"/>
      <c r="CH814" s="40"/>
      <c r="CI814" s="5"/>
      <c r="CK814" s="40"/>
      <c r="CL814" s="5"/>
      <c r="CN814" s="40"/>
      <c r="CO814" s="5"/>
      <c r="CQ814" s="40"/>
      <c r="CR814" s="5"/>
    </row>
    <row r="815">
      <c r="AL815" s="40"/>
      <c r="AM815" s="5"/>
      <c r="AO815" s="40"/>
      <c r="AP815" s="5"/>
      <c r="AR815" s="40"/>
      <c r="AS815" s="5"/>
      <c r="AU815" s="40"/>
      <c r="AV815" s="5"/>
      <c r="AX815" s="40"/>
      <c r="AY815" s="5"/>
      <c r="BA815" s="40"/>
      <c r="BB815" s="5"/>
      <c r="BD815" s="40"/>
      <c r="BE815" s="5"/>
      <c r="BG815" s="40"/>
      <c r="BH815" s="5"/>
      <c r="BJ815" s="40"/>
      <c r="BK815" s="5"/>
      <c r="BM815" s="40"/>
      <c r="BN815" s="5"/>
      <c r="BP815" s="40"/>
      <c r="BQ815" s="5"/>
      <c r="BS815" s="40"/>
      <c r="BT815" s="5"/>
      <c r="BV815" s="40"/>
      <c r="BW815" s="5"/>
      <c r="BY815" s="40"/>
      <c r="BZ815" s="5"/>
      <c r="CB815" s="40"/>
      <c r="CC815" s="5"/>
      <c r="CE815" s="40"/>
      <c r="CF815" s="5"/>
      <c r="CH815" s="40"/>
      <c r="CI815" s="5"/>
      <c r="CK815" s="40"/>
      <c r="CL815" s="5"/>
      <c r="CN815" s="40"/>
      <c r="CO815" s="5"/>
      <c r="CQ815" s="40"/>
      <c r="CR815" s="5"/>
    </row>
    <row r="816">
      <c r="AL816" s="40"/>
      <c r="AM816" s="5"/>
      <c r="AO816" s="40"/>
      <c r="AP816" s="5"/>
      <c r="AR816" s="40"/>
      <c r="AS816" s="5"/>
      <c r="AU816" s="40"/>
      <c r="AV816" s="5"/>
      <c r="AX816" s="40"/>
      <c r="AY816" s="5"/>
      <c r="BA816" s="40"/>
      <c r="BB816" s="5"/>
      <c r="BD816" s="40"/>
      <c r="BE816" s="5"/>
      <c r="BG816" s="40"/>
      <c r="BH816" s="5"/>
      <c r="BJ816" s="40"/>
      <c r="BK816" s="5"/>
      <c r="BM816" s="40"/>
      <c r="BN816" s="5"/>
      <c r="BP816" s="40"/>
      <c r="BQ816" s="5"/>
      <c r="BS816" s="40"/>
      <c r="BT816" s="5"/>
      <c r="BV816" s="40"/>
      <c r="BW816" s="5"/>
      <c r="BY816" s="40"/>
      <c r="BZ816" s="5"/>
      <c r="CB816" s="40"/>
      <c r="CC816" s="5"/>
      <c r="CE816" s="40"/>
      <c r="CF816" s="5"/>
      <c r="CH816" s="40"/>
      <c r="CI816" s="5"/>
      <c r="CK816" s="40"/>
      <c r="CL816" s="5"/>
      <c r="CN816" s="40"/>
      <c r="CO816" s="5"/>
      <c r="CQ816" s="40"/>
      <c r="CR816" s="5"/>
    </row>
    <row r="817">
      <c r="AL817" s="40"/>
      <c r="AM817" s="5"/>
      <c r="AO817" s="40"/>
      <c r="AP817" s="5"/>
      <c r="AR817" s="40"/>
      <c r="AS817" s="5"/>
      <c r="AU817" s="40"/>
      <c r="AV817" s="5"/>
      <c r="AX817" s="40"/>
      <c r="AY817" s="5"/>
      <c r="BA817" s="40"/>
      <c r="BB817" s="5"/>
      <c r="BD817" s="40"/>
      <c r="BE817" s="5"/>
      <c r="BG817" s="40"/>
      <c r="BH817" s="5"/>
      <c r="BJ817" s="40"/>
      <c r="BK817" s="5"/>
      <c r="BM817" s="40"/>
      <c r="BN817" s="5"/>
      <c r="BP817" s="40"/>
      <c r="BQ817" s="5"/>
      <c r="BS817" s="40"/>
      <c r="BT817" s="5"/>
      <c r="BV817" s="40"/>
      <c r="BW817" s="5"/>
      <c r="BY817" s="40"/>
      <c r="BZ817" s="5"/>
      <c r="CB817" s="40"/>
      <c r="CC817" s="5"/>
      <c r="CE817" s="40"/>
      <c r="CF817" s="5"/>
      <c r="CH817" s="40"/>
      <c r="CI817" s="5"/>
      <c r="CK817" s="40"/>
      <c r="CL817" s="5"/>
      <c r="CN817" s="40"/>
      <c r="CO817" s="5"/>
      <c r="CQ817" s="40"/>
      <c r="CR817" s="5"/>
    </row>
    <row r="818">
      <c r="AL818" s="40"/>
      <c r="AM818" s="5"/>
      <c r="AO818" s="40"/>
      <c r="AP818" s="5"/>
      <c r="AR818" s="40"/>
      <c r="AS818" s="5"/>
      <c r="AU818" s="40"/>
      <c r="AV818" s="5"/>
      <c r="AX818" s="40"/>
      <c r="AY818" s="5"/>
      <c r="BA818" s="40"/>
      <c r="BB818" s="5"/>
      <c r="BD818" s="40"/>
      <c r="BE818" s="5"/>
      <c r="BG818" s="40"/>
      <c r="BH818" s="5"/>
      <c r="BJ818" s="40"/>
      <c r="BK818" s="5"/>
      <c r="BM818" s="40"/>
      <c r="BN818" s="5"/>
      <c r="BP818" s="40"/>
      <c r="BQ818" s="5"/>
      <c r="BS818" s="40"/>
      <c r="BT818" s="5"/>
      <c r="BV818" s="40"/>
      <c r="BW818" s="5"/>
      <c r="BY818" s="40"/>
      <c r="BZ818" s="5"/>
      <c r="CB818" s="40"/>
      <c r="CC818" s="5"/>
      <c r="CE818" s="40"/>
      <c r="CF818" s="5"/>
      <c r="CH818" s="40"/>
      <c r="CI818" s="5"/>
      <c r="CK818" s="40"/>
      <c r="CL818" s="5"/>
      <c r="CN818" s="40"/>
      <c r="CO818" s="5"/>
      <c r="CQ818" s="40"/>
      <c r="CR818" s="5"/>
    </row>
    <row r="819">
      <c r="AL819" s="40"/>
      <c r="AM819" s="5"/>
      <c r="AO819" s="40"/>
      <c r="AP819" s="5"/>
      <c r="AR819" s="40"/>
      <c r="AS819" s="5"/>
      <c r="AU819" s="40"/>
      <c r="AV819" s="5"/>
      <c r="AX819" s="40"/>
      <c r="AY819" s="5"/>
      <c r="BA819" s="40"/>
      <c r="BB819" s="5"/>
      <c r="BD819" s="40"/>
      <c r="BE819" s="5"/>
      <c r="BG819" s="40"/>
      <c r="BH819" s="5"/>
      <c r="BJ819" s="40"/>
      <c r="BK819" s="5"/>
      <c r="BM819" s="40"/>
      <c r="BN819" s="5"/>
      <c r="BP819" s="40"/>
      <c r="BQ819" s="5"/>
      <c r="BS819" s="40"/>
      <c r="BT819" s="5"/>
      <c r="BV819" s="40"/>
      <c r="BW819" s="5"/>
      <c r="BY819" s="40"/>
      <c r="BZ819" s="5"/>
      <c r="CB819" s="40"/>
      <c r="CC819" s="5"/>
      <c r="CE819" s="40"/>
      <c r="CF819" s="5"/>
      <c r="CH819" s="40"/>
      <c r="CI819" s="5"/>
      <c r="CK819" s="40"/>
      <c r="CL819" s="5"/>
      <c r="CN819" s="40"/>
      <c r="CO819" s="5"/>
      <c r="CQ819" s="40"/>
      <c r="CR819" s="5"/>
    </row>
    <row r="820">
      <c r="AL820" s="40"/>
      <c r="AM820" s="5"/>
      <c r="AO820" s="40"/>
      <c r="AP820" s="5"/>
      <c r="AR820" s="40"/>
      <c r="AS820" s="5"/>
      <c r="AU820" s="40"/>
      <c r="AV820" s="5"/>
      <c r="AX820" s="40"/>
      <c r="AY820" s="5"/>
      <c r="BA820" s="40"/>
      <c r="BB820" s="5"/>
      <c r="BD820" s="40"/>
      <c r="BE820" s="5"/>
      <c r="BG820" s="40"/>
      <c r="BH820" s="5"/>
      <c r="BJ820" s="40"/>
      <c r="BK820" s="5"/>
      <c r="BM820" s="40"/>
      <c r="BN820" s="5"/>
      <c r="BP820" s="40"/>
      <c r="BQ820" s="5"/>
      <c r="BS820" s="40"/>
      <c r="BT820" s="5"/>
      <c r="BV820" s="40"/>
      <c r="BW820" s="5"/>
      <c r="BY820" s="40"/>
      <c r="BZ820" s="5"/>
      <c r="CB820" s="40"/>
      <c r="CC820" s="5"/>
      <c r="CE820" s="40"/>
      <c r="CF820" s="5"/>
      <c r="CH820" s="40"/>
      <c r="CI820" s="5"/>
      <c r="CK820" s="40"/>
      <c r="CL820" s="5"/>
      <c r="CN820" s="40"/>
      <c r="CO820" s="5"/>
      <c r="CQ820" s="40"/>
      <c r="CR820" s="5"/>
    </row>
    <row r="821">
      <c r="AL821" s="40"/>
      <c r="AM821" s="5"/>
      <c r="AO821" s="40"/>
      <c r="AP821" s="5"/>
      <c r="AR821" s="40"/>
      <c r="AS821" s="5"/>
      <c r="AU821" s="40"/>
      <c r="AV821" s="5"/>
      <c r="AX821" s="40"/>
      <c r="AY821" s="5"/>
      <c r="BA821" s="40"/>
      <c r="BB821" s="5"/>
      <c r="BD821" s="40"/>
      <c r="BE821" s="5"/>
      <c r="BG821" s="40"/>
      <c r="BH821" s="5"/>
      <c r="BJ821" s="40"/>
      <c r="BK821" s="5"/>
      <c r="BM821" s="40"/>
      <c r="BN821" s="5"/>
      <c r="BP821" s="40"/>
      <c r="BQ821" s="5"/>
      <c r="BS821" s="40"/>
      <c r="BT821" s="5"/>
      <c r="BV821" s="40"/>
      <c r="BW821" s="5"/>
      <c r="BY821" s="40"/>
      <c r="BZ821" s="5"/>
      <c r="CB821" s="40"/>
      <c r="CC821" s="5"/>
      <c r="CE821" s="40"/>
      <c r="CF821" s="5"/>
      <c r="CH821" s="40"/>
      <c r="CI821" s="5"/>
      <c r="CK821" s="40"/>
      <c r="CL821" s="5"/>
      <c r="CN821" s="40"/>
      <c r="CO821" s="5"/>
      <c r="CQ821" s="40"/>
      <c r="CR821" s="5"/>
    </row>
    <row r="822">
      <c r="AL822" s="40"/>
      <c r="AM822" s="5"/>
      <c r="AO822" s="40"/>
      <c r="AP822" s="5"/>
      <c r="AR822" s="40"/>
      <c r="AS822" s="5"/>
      <c r="AU822" s="40"/>
      <c r="AV822" s="5"/>
      <c r="AX822" s="40"/>
      <c r="AY822" s="5"/>
      <c r="BA822" s="40"/>
      <c r="BB822" s="5"/>
      <c r="BD822" s="40"/>
      <c r="BE822" s="5"/>
      <c r="BG822" s="40"/>
      <c r="BH822" s="5"/>
      <c r="BJ822" s="40"/>
      <c r="BK822" s="5"/>
      <c r="BM822" s="40"/>
      <c r="BN822" s="5"/>
      <c r="BP822" s="40"/>
      <c r="BQ822" s="5"/>
      <c r="BS822" s="40"/>
      <c r="BT822" s="5"/>
      <c r="BV822" s="40"/>
      <c r="BW822" s="5"/>
      <c r="BY822" s="40"/>
      <c r="BZ822" s="5"/>
      <c r="CB822" s="40"/>
      <c r="CC822" s="5"/>
      <c r="CE822" s="40"/>
      <c r="CF822" s="5"/>
      <c r="CH822" s="40"/>
      <c r="CI822" s="5"/>
      <c r="CK822" s="40"/>
      <c r="CL822" s="5"/>
      <c r="CN822" s="40"/>
      <c r="CO822" s="5"/>
      <c r="CQ822" s="40"/>
      <c r="CR822" s="5"/>
    </row>
    <row r="823">
      <c r="AL823" s="40"/>
      <c r="AM823" s="5"/>
      <c r="AO823" s="40"/>
      <c r="AP823" s="5"/>
      <c r="AR823" s="40"/>
      <c r="AS823" s="5"/>
      <c r="AU823" s="40"/>
      <c r="AV823" s="5"/>
      <c r="AX823" s="40"/>
      <c r="AY823" s="5"/>
      <c r="BA823" s="40"/>
      <c r="BB823" s="5"/>
      <c r="BD823" s="40"/>
      <c r="BE823" s="5"/>
      <c r="BG823" s="40"/>
      <c r="BH823" s="5"/>
      <c r="BJ823" s="40"/>
      <c r="BK823" s="5"/>
      <c r="BM823" s="40"/>
      <c r="BN823" s="5"/>
      <c r="BP823" s="40"/>
      <c r="BQ823" s="5"/>
      <c r="BS823" s="40"/>
      <c r="BT823" s="5"/>
      <c r="BV823" s="40"/>
      <c r="BW823" s="5"/>
      <c r="BY823" s="40"/>
      <c r="BZ823" s="5"/>
      <c r="CB823" s="40"/>
      <c r="CC823" s="5"/>
      <c r="CE823" s="40"/>
      <c r="CF823" s="5"/>
      <c r="CH823" s="40"/>
      <c r="CI823" s="5"/>
      <c r="CK823" s="40"/>
      <c r="CL823" s="5"/>
      <c r="CN823" s="40"/>
      <c r="CO823" s="5"/>
      <c r="CQ823" s="40"/>
      <c r="CR823" s="5"/>
    </row>
    <row r="824">
      <c r="AL824" s="40"/>
      <c r="AM824" s="5"/>
      <c r="AO824" s="40"/>
      <c r="AP824" s="5"/>
      <c r="AR824" s="40"/>
      <c r="AS824" s="5"/>
      <c r="AU824" s="40"/>
      <c r="AV824" s="5"/>
      <c r="AX824" s="40"/>
      <c r="AY824" s="5"/>
      <c r="BA824" s="40"/>
      <c r="BB824" s="5"/>
      <c r="BD824" s="40"/>
      <c r="BE824" s="5"/>
      <c r="BG824" s="40"/>
      <c r="BH824" s="5"/>
      <c r="BJ824" s="40"/>
      <c r="BK824" s="5"/>
      <c r="BM824" s="40"/>
      <c r="BN824" s="5"/>
      <c r="BP824" s="40"/>
      <c r="BQ824" s="5"/>
      <c r="BS824" s="40"/>
      <c r="BT824" s="5"/>
      <c r="BV824" s="40"/>
      <c r="BW824" s="5"/>
      <c r="BY824" s="40"/>
      <c r="BZ824" s="5"/>
      <c r="CB824" s="40"/>
      <c r="CC824" s="5"/>
      <c r="CE824" s="40"/>
      <c r="CF824" s="5"/>
      <c r="CH824" s="40"/>
      <c r="CI824" s="5"/>
      <c r="CK824" s="40"/>
      <c r="CL824" s="5"/>
      <c r="CN824" s="40"/>
      <c r="CO824" s="5"/>
      <c r="CQ824" s="40"/>
      <c r="CR824" s="5"/>
    </row>
    <row r="825">
      <c r="AL825" s="40"/>
      <c r="AM825" s="5"/>
      <c r="AO825" s="40"/>
      <c r="AP825" s="5"/>
      <c r="AR825" s="40"/>
      <c r="AS825" s="5"/>
      <c r="AU825" s="40"/>
      <c r="AV825" s="5"/>
      <c r="AX825" s="40"/>
      <c r="AY825" s="5"/>
      <c r="BA825" s="40"/>
      <c r="BB825" s="5"/>
      <c r="BD825" s="40"/>
      <c r="BE825" s="5"/>
      <c r="BG825" s="40"/>
      <c r="BH825" s="5"/>
      <c r="BJ825" s="40"/>
      <c r="BK825" s="5"/>
      <c r="BM825" s="40"/>
      <c r="BN825" s="5"/>
      <c r="BP825" s="40"/>
      <c r="BQ825" s="5"/>
      <c r="BS825" s="40"/>
      <c r="BT825" s="5"/>
      <c r="BV825" s="40"/>
      <c r="BW825" s="5"/>
      <c r="BY825" s="40"/>
      <c r="BZ825" s="5"/>
      <c r="CB825" s="40"/>
      <c r="CC825" s="5"/>
      <c r="CE825" s="40"/>
      <c r="CF825" s="5"/>
      <c r="CH825" s="40"/>
      <c r="CI825" s="5"/>
      <c r="CK825" s="40"/>
      <c r="CL825" s="5"/>
      <c r="CN825" s="40"/>
      <c r="CO825" s="5"/>
      <c r="CQ825" s="40"/>
      <c r="CR825" s="5"/>
    </row>
    <row r="826">
      <c r="AL826" s="40"/>
      <c r="AM826" s="5"/>
      <c r="AO826" s="40"/>
      <c r="AP826" s="5"/>
      <c r="AR826" s="40"/>
      <c r="AS826" s="5"/>
      <c r="AU826" s="40"/>
      <c r="AV826" s="5"/>
      <c r="AX826" s="40"/>
      <c r="AY826" s="5"/>
      <c r="BA826" s="40"/>
      <c r="BB826" s="5"/>
      <c r="BD826" s="40"/>
      <c r="BE826" s="5"/>
      <c r="BG826" s="40"/>
      <c r="BH826" s="5"/>
      <c r="BJ826" s="40"/>
      <c r="BK826" s="5"/>
      <c r="BM826" s="40"/>
      <c r="BN826" s="5"/>
      <c r="BP826" s="40"/>
      <c r="BQ826" s="5"/>
      <c r="BS826" s="40"/>
      <c r="BT826" s="5"/>
      <c r="BV826" s="40"/>
      <c r="BW826" s="5"/>
      <c r="BY826" s="40"/>
      <c r="BZ826" s="5"/>
      <c r="CB826" s="40"/>
      <c r="CC826" s="5"/>
      <c r="CE826" s="40"/>
      <c r="CF826" s="5"/>
      <c r="CH826" s="40"/>
      <c r="CI826" s="5"/>
      <c r="CK826" s="40"/>
      <c r="CL826" s="5"/>
      <c r="CN826" s="40"/>
      <c r="CO826" s="5"/>
      <c r="CQ826" s="40"/>
      <c r="CR826" s="5"/>
    </row>
    <row r="827">
      <c r="AL827" s="40"/>
      <c r="AM827" s="5"/>
      <c r="AO827" s="40"/>
      <c r="AP827" s="5"/>
      <c r="AR827" s="40"/>
      <c r="AS827" s="5"/>
      <c r="AU827" s="40"/>
      <c r="AV827" s="5"/>
      <c r="AX827" s="40"/>
      <c r="AY827" s="5"/>
      <c r="BA827" s="40"/>
      <c r="BB827" s="5"/>
      <c r="BD827" s="40"/>
      <c r="BE827" s="5"/>
      <c r="BG827" s="40"/>
      <c r="BH827" s="5"/>
      <c r="BJ827" s="40"/>
      <c r="BK827" s="5"/>
      <c r="BM827" s="40"/>
      <c r="BN827" s="5"/>
      <c r="BP827" s="40"/>
      <c r="BQ827" s="5"/>
      <c r="BS827" s="40"/>
      <c r="BT827" s="5"/>
      <c r="BV827" s="40"/>
      <c r="BW827" s="5"/>
      <c r="BY827" s="40"/>
      <c r="BZ827" s="5"/>
      <c r="CB827" s="40"/>
      <c r="CC827" s="5"/>
      <c r="CE827" s="40"/>
      <c r="CF827" s="5"/>
      <c r="CH827" s="40"/>
      <c r="CI827" s="5"/>
      <c r="CK827" s="40"/>
      <c r="CL827" s="5"/>
      <c r="CN827" s="40"/>
      <c r="CO827" s="5"/>
      <c r="CQ827" s="40"/>
      <c r="CR827" s="5"/>
    </row>
    <row r="828">
      <c r="AL828" s="40"/>
      <c r="AM828" s="5"/>
      <c r="AO828" s="40"/>
      <c r="AP828" s="5"/>
      <c r="AR828" s="40"/>
      <c r="AS828" s="5"/>
      <c r="AU828" s="40"/>
      <c r="AV828" s="5"/>
      <c r="AX828" s="40"/>
      <c r="AY828" s="5"/>
      <c r="BA828" s="40"/>
      <c r="BB828" s="5"/>
      <c r="BD828" s="40"/>
      <c r="BE828" s="5"/>
      <c r="BG828" s="40"/>
      <c r="BH828" s="5"/>
      <c r="BJ828" s="40"/>
      <c r="BK828" s="5"/>
      <c r="BM828" s="40"/>
      <c r="BN828" s="5"/>
      <c r="BP828" s="40"/>
      <c r="BQ828" s="5"/>
      <c r="BS828" s="40"/>
      <c r="BT828" s="5"/>
      <c r="BV828" s="40"/>
      <c r="BW828" s="5"/>
      <c r="BY828" s="40"/>
      <c r="BZ828" s="5"/>
      <c r="CB828" s="40"/>
      <c r="CC828" s="5"/>
      <c r="CE828" s="40"/>
      <c r="CF828" s="5"/>
      <c r="CH828" s="40"/>
      <c r="CI828" s="5"/>
      <c r="CK828" s="40"/>
      <c r="CL828" s="5"/>
      <c r="CN828" s="40"/>
      <c r="CO828" s="5"/>
      <c r="CQ828" s="40"/>
      <c r="CR828" s="5"/>
    </row>
    <row r="829">
      <c r="AL829" s="40"/>
      <c r="AM829" s="5"/>
      <c r="AO829" s="40"/>
      <c r="AP829" s="5"/>
      <c r="AR829" s="40"/>
      <c r="AS829" s="5"/>
      <c r="AU829" s="40"/>
      <c r="AV829" s="5"/>
      <c r="AX829" s="40"/>
      <c r="AY829" s="5"/>
      <c r="BA829" s="40"/>
      <c r="BB829" s="5"/>
      <c r="BD829" s="40"/>
      <c r="BE829" s="5"/>
      <c r="BG829" s="40"/>
      <c r="BH829" s="5"/>
      <c r="BJ829" s="40"/>
      <c r="BK829" s="5"/>
      <c r="BM829" s="40"/>
      <c r="BN829" s="5"/>
      <c r="BP829" s="40"/>
      <c r="BQ829" s="5"/>
      <c r="BS829" s="40"/>
      <c r="BT829" s="5"/>
      <c r="BV829" s="40"/>
      <c r="BW829" s="5"/>
      <c r="BY829" s="40"/>
      <c r="BZ829" s="5"/>
      <c r="CB829" s="40"/>
      <c r="CC829" s="5"/>
      <c r="CE829" s="40"/>
      <c r="CF829" s="5"/>
      <c r="CH829" s="40"/>
      <c r="CI829" s="5"/>
      <c r="CK829" s="40"/>
      <c r="CL829" s="5"/>
      <c r="CN829" s="40"/>
      <c r="CO829" s="5"/>
      <c r="CQ829" s="40"/>
      <c r="CR829" s="5"/>
    </row>
    <row r="830">
      <c r="AL830" s="40"/>
      <c r="AM830" s="5"/>
      <c r="AO830" s="40"/>
      <c r="AP830" s="5"/>
      <c r="AR830" s="40"/>
      <c r="AS830" s="5"/>
      <c r="AU830" s="40"/>
      <c r="AV830" s="5"/>
      <c r="AX830" s="40"/>
      <c r="AY830" s="5"/>
      <c r="BA830" s="40"/>
      <c r="BB830" s="5"/>
      <c r="BD830" s="40"/>
      <c r="BE830" s="5"/>
      <c r="BG830" s="40"/>
      <c r="BH830" s="5"/>
      <c r="BJ830" s="40"/>
      <c r="BK830" s="5"/>
      <c r="BM830" s="40"/>
      <c r="BN830" s="5"/>
      <c r="BP830" s="40"/>
      <c r="BQ830" s="5"/>
      <c r="BS830" s="40"/>
      <c r="BT830" s="5"/>
      <c r="BV830" s="40"/>
      <c r="BW830" s="5"/>
      <c r="BY830" s="40"/>
      <c r="BZ830" s="5"/>
      <c r="CB830" s="40"/>
      <c r="CC830" s="5"/>
      <c r="CE830" s="40"/>
      <c r="CF830" s="5"/>
      <c r="CH830" s="40"/>
      <c r="CI830" s="5"/>
      <c r="CK830" s="40"/>
      <c r="CL830" s="5"/>
      <c r="CN830" s="40"/>
      <c r="CO830" s="5"/>
      <c r="CQ830" s="40"/>
      <c r="CR830" s="5"/>
    </row>
    <row r="831">
      <c r="AL831" s="40"/>
      <c r="AM831" s="5"/>
      <c r="AO831" s="40"/>
      <c r="AP831" s="5"/>
      <c r="AR831" s="40"/>
      <c r="AS831" s="5"/>
      <c r="AU831" s="40"/>
      <c r="AV831" s="5"/>
      <c r="AX831" s="40"/>
      <c r="AY831" s="5"/>
      <c r="BA831" s="40"/>
      <c r="BB831" s="5"/>
      <c r="BD831" s="40"/>
      <c r="BE831" s="5"/>
      <c r="BG831" s="40"/>
      <c r="BH831" s="5"/>
      <c r="BJ831" s="40"/>
      <c r="BK831" s="5"/>
      <c r="BM831" s="40"/>
      <c r="BN831" s="5"/>
      <c r="BP831" s="40"/>
      <c r="BQ831" s="5"/>
      <c r="BS831" s="40"/>
      <c r="BT831" s="5"/>
      <c r="BV831" s="40"/>
      <c r="BW831" s="5"/>
      <c r="BY831" s="40"/>
      <c r="BZ831" s="5"/>
      <c r="CB831" s="40"/>
      <c r="CC831" s="5"/>
      <c r="CE831" s="40"/>
      <c r="CF831" s="5"/>
      <c r="CH831" s="40"/>
      <c r="CI831" s="5"/>
      <c r="CK831" s="40"/>
      <c r="CL831" s="5"/>
      <c r="CN831" s="40"/>
      <c r="CO831" s="5"/>
      <c r="CQ831" s="40"/>
      <c r="CR831" s="5"/>
    </row>
    <row r="832">
      <c r="AL832" s="40"/>
      <c r="AM832" s="5"/>
      <c r="AO832" s="40"/>
      <c r="AP832" s="5"/>
      <c r="AR832" s="40"/>
      <c r="AS832" s="5"/>
      <c r="AU832" s="40"/>
      <c r="AV832" s="5"/>
      <c r="AX832" s="40"/>
      <c r="AY832" s="5"/>
      <c r="BA832" s="40"/>
      <c r="BB832" s="5"/>
      <c r="BD832" s="40"/>
      <c r="BE832" s="5"/>
      <c r="BG832" s="40"/>
      <c r="BH832" s="5"/>
      <c r="BJ832" s="40"/>
      <c r="BK832" s="5"/>
      <c r="BM832" s="40"/>
      <c r="BN832" s="5"/>
      <c r="BP832" s="40"/>
      <c r="BQ832" s="5"/>
      <c r="BS832" s="40"/>
      <c r="BT832" s="5"/>
      <c r="BV832" s="40"/>
      <c r="BW832" s="5"/>
      <c r="BY832" s="40"/>
      <c r="BZ832" s="5"/>
      <c r="CB832" s="40"/>
      <c r="CC832" s="5"/>
      <c r="CE832" s="40"/>
      <c r="CF832" s="5"/>
      <c r="CH832" s="40"/>
      <c r="CI832" s="5"/>
      <c r="CK832" s="40"/>
      <c r="CL832" s="5"/>
      <c r="CN832" s="40"/>
      <c r="CO832" s="5"/>
      <c r="CQ832" s="40"/>
      <c r="CR832" s="5"/>
    </row>
    <row r="833">
      <c r="AL833" s="40"/>
      <c r="AM833" s="5"/>
      <c r="AO833" s="40"/>
      <c r="AP833" s="5"/>
      <c r="AR833" s="40"/>
      <c r="AS833" s="5"/>
      <c r="AU833" s="40"/>
      <c r="AV833" s="5"/>
      <c r="AX833" s="40"/>
      <c r="AY833" s="5"/>
      <c r="BA833" s="40"/>
      <c r="BB833" s="5"/>
      <c r="BD833" s="40"/>
      <c r="BE833" s="5"/>
      <c r="BG833" s="40"/>
      <c r="BH833" s="5"/>
      <c r="BJ833" s="40"/>
      <c r="BK833" s="5"/>
      <c r="BM833" s="40"/>
      <c r="BN833" s="5"/>
      <c r="BP833" s="40"/>
      <c r="BQ833" s="5"/>
      <c r="BS833" s="40"/>
      <c r="BT833" s="5"/>
      <c r="BV833" s="40"/>
      <c r="BW833" s="5"/>
      <c r="BY833" s="40"/>
      <c r="BZ833" s="5"/>
      <c r="CB833" s="40"/>
      <c r="CC833" s="5"/>
      <c r="CE833" s="40"/>
      <c r="CF833" s="5"/>
      <c r="CH833" s="40"/>
      <c r="CI833" s="5"/>
      <c r="CK833" s="40"/>
      <c r="CL833" s="5"/>
      <c r="CN833" s="40"/>
      <c r="CO833" s="5"/>
      <c r="CQ833" s="40"/>
      <c r="CR833" s="5"/>
    </row>
    <row r="834">
      <c r="AL834" s="40"/>
      <c r="AM834" s="5"/>
      <c r="AO834" s="40"/>
      <c r="AP834" s="5"/>
      <c r="AR834" s="40"/>
      <c r="AS834" s="5"/>
      <c r="AU834" s="40"/>
      <c r="AV834" s="5"/>
      <c r="AX834" s="40"/>
      <c r="AY834" s="5"/>
      <c r="BA834" s="40"/>
      <c r="BB834" s="5"/>
      <c r="BD834" s="40"/>
      <c r="BE834" s="5"/>
      <c r="BG834" s="40"/>
      <c r="BH834" s="5"/>
      <c r="BJ834" s="40"/>
      <c r="BK834" s="5"/>
      <c r="BM834" s="40"/>
      <c r="BN834" s="5"/>
      <c r="BP834" s="40"/>
      <c r="BQ834" s="5"/>
      <c r="BS834" s="40"/>
      <c r="BT834" s="5"/>
      <c r="BV834" s="40"/>
      <c r="BW834" s="5"/>
      <c r="BY834" s="40"/>
      <c r="BZ834" s="5"/>
      <c r="CB834" s="40"/>
      <c r="CC834" s="5"/>
      <c r="CE834" s="40"/>
      <c r="CF834" s="5"/>
      <c r="CH834" s="40"/>
      <c r="CI834" s="5"/>
      <c r="CK834" s="40"/>
      <c r="CL834" s="5"/>
      <c r="CN834" s="40"/>
      <c r="CO834" s="5"/>
      <c r="CQ834" s="40"/>
      <c r="CR834" s="5"/>
    </row>
    <row r="835">
      <c r="AL835" s="40"/>
      <c r="AM835" s="5"/>
      <c r="AO835" s="40"/>
      <c r="AP835" s="5"/>
      <c r="AR835" s="40"/>
      <c r="AS835" s="5"/>
      <c r="AU835" s="40"/>
      <c r="AV835" s="5"/>
      <c r="AX835" s="40"/>
      <c r="AY835" s="5"/>
      <c r="BA835" s="40"/>
      <c r="BB835" s="5"/>
      <c r="BD835" s="40"/>
      <c r="BE835" s="5"/>
      <c r="BG835" s="40"/>
      <c r="BH835" s="5"/>
      <c r="BJ835" s="40"/>
      <c r="BK835" s="5"/>
      <c r="BM835" s="40"/>
      <c r="BN835" s="5"/>
      <c r="BP835" s="40"/>
      <c r="BQ835" s="5"/>
      <c r="BS835" s="40"/>
      <c r="BT835" s="5"/>
      <c r="BV835" s="40"/>
      <c r="BW835" s="5"/>
      <c r="BY835" s="40"/>
      <c r="BZ835" s="5"/>
      <c r="CB835" s="40"/>
      <c r="CC835" s="5"/>
      <c r="CE835" s="40"/>
      <c r="CF835" s="5"/>
      <c r="CH835" s="40"/>
      <c r="CI835" s="5"/>
      <c r="CK835" s="40"/>
      <c r="CL835" s="5"/>
      <c r="CN835" s="40"/>
      <c r="CO835" s="5"/>
      <c r="CQ835" s="40"/>
      <c r="CR835" s="5"/>
    </row>
    <row r="836">
      <c r="AL836" s="40"/>
      <c r="AM836" s="5"/>
      <c r="AO836" s="40"/>
      <c r="AP836" s="5"/>
      <c r="AR836" s="40"/>
      <c r="AS836" s="5"/>
      <c r="AU836" s="40"/>
      <c r="AV836" s="5"/>
      <c r="AX836" s="40"/>
      <c r="AY836" s="5"/>
      <c r="BA836" s="40"/>
      <c r="BB836" s="5"/>
      <c r="BD836" s="40"/>
      <c r="BE836" s="5"/>
      <c r="BG836" s="40"/>
      <c r="BH836" s="5"/>
      <c r="BJ836" s="40"/>
      <c r="BK836" s="5"/>
      <c r="BM836" s="40"/>
      <c r="BN836" s="5"/>
      <c r="BP836" s="40"/>
      <c r="BQ836" s="5"/>
      <c r="BS836" s="40"/>
      <c r="BT836" s="5"/>
      <c r="BV836" s="40"/>
      <c r="BW836" s="5"/>
      <c r="BY836" s="40"/>
      <c r="BZ836" s="5"/>
      <c r="CB836" s="40"/>
      <c r="CC836" s="5"/>
      <c r="CE836" s="40"/>
      <c r="CF836" s="5"/>
      <c r="CH836" s="40"/>
      <c r="CI836" s="5"/>
      <c r="CK836" s="40"/>
      <c r="CL836" s="5"/>
      <c r="CN836" s="40"/>
      <c r="CO836" s="5"/>
      <c r="CQ836" s="40"/>
      <c r="CR836" s="5"/>
    </row>
    <row r="837">
      <c r="AL837" s="40"/>
      <c r="AM837" s="5"/>
      <c r="AO837" s="40"/>
      <c r="AP837" s="5"/>
      <c r="AR837" s="40"/>
      <c r="AS837" s="5"/>
      <c r="AU837" s="40"/>
      <c r="AV837" s="5"/>
      <c r="AX837" s="40"/>
      <c r="AY837" s="5"/>
      <c r="BA837" s="40"/>
      <c r="BB837" s="5"/>
      <c r="BD837" s="40"/>
      <c r="BE837" s="5"/>
      <c r="BG837" s="40"/>
      <c r="BH837" s="5"/>
      <c r="BJ837" s="40"/>
      <c r="BK837" s="5"/>
      <c r="BM837" s="40"/>
      <c r="BN837" s="5"/>
      <c r="BP837" s="40"/>
      <c r="BQ837" s="5"/>
      <c r="BS837" s="40"/>
      <c r="BT837" s="5"/>
      <c r="BV837" s="40"/>
      <c r="BW837" s="5"/>
      <c r="BY837" s="40"/>
      <c r="BZ837" s="5"/>
      <c r="CB837" s="40"/>
      <c r="CC837" s="5"/>
      <c r="CE837" s="40"/>
      <c r="CF837" s="5"/>
      <c r="CH837" s="40"/>
      <c r="CI837" s="5"/>
      <c r="CK837" s="40"/>
      <c r="CL837" s="5"/>
      <c r="CN837" s="40"/>
      <c r="CO837" s="5"/>
      <c r="CQ837" s="40"/>
      <c r="CR837" s="5"/>
    </row>
    <row r="838">
      <c r="AL838" s="40"/>
      <c r="AM838" s="5"/>
      <c r="AO838" s="40"/>
      <c r="AP838" s="5"/>
      <c r="AR838" s="40"/>
      <c r="AS838" s="5"/>
      <c r="AU838" s="40"/>
      <c r="AV838" s="5"/>
      <c r="AX838" s="40"/>
      <c r="AY838" s="5"/>
      <c r="BA838" s="40"/>
      <c r="BB838" s="5"/>
      <c r="BD838" s="40"/>
      <c r="BE838" s="5"/>
      <c r="BG838" s="40"/>
      <c r="BH838" s="5"/>
      <c r="BJ838" s="40"/>
      <c r="BK838" s="5"/>
      <c r="BM838" s="40"/>
      <c r="BN838" s="5"/>
      <c r="BP838" s="40"/>
      <c r="BQ838" s="5"/>
      <c r="BS838" s="40"/>
      <c r="BT838" s="5"/>
      <c r="BV838" s="40"/>
      <c r="BW838" s="5"/>
      <c r="BY838" s="40"/>
      <c r="BZ838" s="5"/>
      <c r="CB838" s="40"/>
      <c r="CC838" s="5"/>
      <c r="CE838" s="40"/>
      <c r="CF838" s="5"/>
      <c r="CH838" s="40"/>
      <c r="CI838" s="5"/>
      <c r="CK838" s="40"/>
      <c r="CL838" s="5"/>
      <c r="CN838" s="40"/>
      <c r="CO838" s="5"/>
      <c r="CQ838" s="40"/>
      <c r="CR838" s="5"/>
    </row>
    <row r="839">
      <c r="AL839" s="40"/>
      <c r="AM839" s="5"/>
      <c r="AO839" s="40"/>
      <c r="AP839" s="5"/>
      <c r="AR839" s="40"/>
      <c r="AS839" s="5"/>
      <c r="AU839" s="40"/>
      <c r="AV839" s="5"/>
      <c r="AX839" s="40"/>
      <c r="AY839" s="5"/>
      <c r="BA839" s="40"/>
      <c r="BB839" s="5"/>
      <c r="BD839" s="40"/>
      <c r="BE839" s="5"/>
      <c r="BG839" s="40"/>
      <c r="BH839" s="5"/>
      <c r="BJ839" s="40"/>
      <c r="BK839" s="5"/>
      <c r="BM839" s="40"/>
      <c r="BN839" s="5"/>
      <c r="BP839" s="40"/>
      <c r="BQ839" s="5"/>
      <c r="BS839" s="40"/>
      <c r="BT839" s="5"/>
      <c r="BV839" s="40"/>
      <c r="BW839" s="5"/>
      <c r="BY839" s="40"/>
      <c r="BZ839" s="5"/>
      <c r="CB839" s="40"/>
      <c r="CC839" s="5"/>
      <c r="CE839" s="40"/>
      <c r="CF839" s="5"/>
      <c r="CH839" s="40"/>
      <c r="CI839" s="5"/>
      <c r="CK839" s="40"/>
      <c r="CL839" s="5"/>
      <c r="CN839" s="40"/>
      <c r="CO839" s="5"/>
      <c r="CQ839" s="40"/>
      <c r="CR839" s="5"/>
    </row>
    <row r="840">
      <c r="AL840" s="40"/>
      <c r="AM840" s="5"/>
      <c r="AO840" s="40"/>
      <c r="AP840" s="5"/>
      <c r="AR840" s="40"/>
      <c r="AS840" s="5"/>
      <c r="AU840" s="40"/>
      <c r="AV840" s="5"/>
      <c r="AX840" s="40"/>
      <c r="AY840" s="5"/>
      <c r="BA840" s="40"/>
      <c r="BB840" s="5"/>
      <c r="BD840" s="40"/>
      <c r="BE840" s="5"/>
      <c r="BG840" s="40"/>
      <c r="BH840" s="5"/>
      <c r="BJ840" s="40"/>
      <c r="BK840" s="5"/>
      <c r="BM840" s="40"/>
      <c r="BN840" s="5"/>
      <c r="BP840" s="40"/>
      <c r="BQ840" s="5"/>
      <c r="BS840" s="40"/>
      <c r="BT840" s="5"/>
      <c r="BV840" s="40"/>
      <c r="BW840" s="5"/>
      <c r="BY840" s="40"/>
      <c r="BZ840" s="5"/>
      <c r="CB840" s="40"/>
      <c r="CC840" s="5"/>
      <c r="CE840" s="40"/>
      <c r="CF840" s="5"/>
      <c r="CH840" s="40"/>
      <c r="CI840" s="5"/>
      <c r="CK840" s="40"/>
      <c r="CL840" s="5"/>
      <c r="CN840" s="40"/>
      <c r="CO840" s="5"/>
      <c r="CQ840" s="40"/>
      <c r="CR840" s="5"/>
    </row>
    <row r="841">
      <c r="AL841" s="40"/>
      <c r="AM841" s="5"/>
      <c r="AO841" s="40"/>
      <c r="AP841" s="5"/>
      <c r="AR841" s="40"/>
      <c r="AS841" s="5"/>
      <c r="AU841" s="40"/>
      <c r="AV841" s="5"/>
      <c r="AX841" s="40"/>
      <c r="AY841" s="5"/>
      <c r="BA841" s="40"/>
      <c r="BB841" s="5"/>
      <c r="BD841" s="40"/>
      <c r="BE841" s="5"/>
      <c r="BG841" s="40"/>
      <c r="BH841" s="5"/>
      <c r="BJ841" s="40"/>
      <c r="BK841" s="5"/>
      <c r="BM841" s="40"/>
      <c r="BN841" s="5"/>
      <c r="BP841" s="40"/>
      <c r="BQ841" s="5"/>
      <c r="BS841" s="40"/>
      <c r="BT841" s="5"/>
      <c r="BV841" s="40"/>
      <c r="BW841" s="5"/>
      <c r="BY841" s="40"/>
      <c r="BZ841" s="5"/>
      <c r="CB841" s="40"/>
      <c r="CC841" s="5"/>
      <c r="CE841" s="40"/>
      <c r="CF841" s="5"/>
      <c r="CH841" s="40"/>
      <c r="CI841" s="5"/>
      <c r="CK841" s="40"/>
      <c r="CL841" s="5"/>
      <c r="CN841" s="40"/>
      <c r="CO841" s="5"/>
      <c r="CQ841" s="40"/>
      <c r="CR841" s="5"/>
    </row>
    <row r="842">
      <c r="AL842" s="40"/>
      <c r="AM842" s="5"/>
      <c r="AO842" s="40"/>
      <c r="AP842" s="5"/>
      <c r="AR842" s="40"/>
      <c r="AS842" s="5"/>
      <c r="AU842" s="40"/>
      <c r="AV842" s="5"/>
      <c r="AX842" s="40"/>
      <c r="AY842" s="5"/>
      <c r="BA842" s="40"/>
      <c r="BB842" s="5"/>
      <c r="BD842" s="40"/>
      <c r="BE842" s="5"/>
      <c r="BG842" s="40"/>
      <c r="BH842" s="5"/>
      <c r="BJ842" s="40"/>
      <c r="BK842" s="5"/>
      <c r="BM842" s="40"/>
      <c r="BN842" s="5"/>
      <c r="BP842" s="40"/>
      <c r="BQ842" s="5"/>
      <c r="BS842" s="40"/>
      <c r="BT842" s="5"/>
      <c r="BV842" s="40"/>
      <c r="BW842" s="5"/>
      <c r="BY842" s="40"/>
      <c r="BZ842" s="5"/>
      <c r="CB842" s="40"/>
      <c r="CC842" s="5"/>
      <c r="CE842" s="40"/>
      <c r="CF842" s="5"/>
      <c r="CH842" s="40"/>
      <c r="CI842" s="5"/>
      <c r="CK842" s="40"/>
      <c r="CL842" s="5"/>
      <c r="CN842" s="40"/>
      <c r="CO842" s="5"/>
      <c r="CQ842" s="40"/>
      <c r="CR842" s="5"/>
    </row>
    <row r="843">
      <c r="AL843" s="40"/>
      <c r="AM843" s="5"/>
      <c r="AO843" s="40"/>
      <c r="AP843" s="5"/>
      <c r="AR843" s="40"/>
      <c r="AS843" s="5"/>
      <c r="AU843" s="40"/>
      <c r="AV843" s="5"/>
      <c r="AX843" s="40"/>
      <c r="AY843" s="5"/>
      <c r="BA843" s="40"/>
      <c r="BB843" s="5"/>
      <c r="BD843" s="40"/>
      <c r="BE843" s="5"/>
      <c r="BG843" s="40"/>
      <c r="BH843" s="5"/>
      <c r="BJ843" s="40"/>
      <c r="BK843" s="5"/>
      <c r="BM843" s="40"/>
      <c r="BN843" s="5"/>
      <c r="BP843" s="40"/>
      <c r="BQ843" s="5"/>
      <c r="BS843" s="40"/>
      <c r="BT843" s="5"/>
      <c r="BV843" s="40"/>
      <c r="BW843" s="5"/>
      <c r="BY843" s="40"/>
      <c r="BZ843" s="5"/>
      <c r="CB843" s="40"/>
      <c r="CC843" s="5"/>
      <c r="CE843" s="40"/>
      <c r="CF843" s="5"/>
      <c r="CH843" s="40"/>
      <c r="CI843" s="5"/>
      <c r="CK843" s="40"/>
      <c r="CL843" s="5"/>
      <c r="CN843" s="40"/>
      <c r="CO843" s="5"/>
      <c r="CQ843" s="40"/>
      <c r="CR843" s="5"/>
    </row>
    <row r="844">
      <c r="AL844" s="40"/>
      <c r="AM844" s="5"/>
      <c r="AO844" s="40"/>
      <c r="AP844" s="5"/>
      <c r="AR844" s="40"/>
      <c r="AS844" s="5"/>
      <c r="AU844" s="40"/>
      <c r="AV844" s="5"/>
      <c r="AX844" s="40"/>
      <c r="AY844" s="5"/>
      <c r="BA844" s="40"/>
      <c r="BB844" s="5"/>
      <c r="BD844" s="40"/>
      <c r="BE844" s="5"/>
      <c r="BG844" s="40"/>
      <c r="BH844" s="5"/>
      <c r="BJ844" s="40"/>
      <c r="BK844" s="5"/>
      <c r="BM844" s="40"/>
      <c r="BN844" s="5"/>
      <c r="BP844" s="40"/>
      <c r="BQ844" s="5"/>
      <c r="BS844" s="40"/>
      <c r="BT844" s="5"/>
      <c r="BV844" s="40"/>
      <c r="BW844" s="5"/>
      <c r="BY844" s="40"/>
      <c r="BZ844" s="5"/>
      <c r="CB844" s="40"/>
      <c r="CC844" s="5"/>
      <c r="CE844" s="40"/>
      <c r="CF844" s="5"/>
      <c r="CH844" s="40"/>
      <c r="CI844" s="5"/>
      <c r="CK844" s="40"/>
      <c r="CL844" s="5"/>
      <c r="CN844" s="40"/>
      <c r="CO844" s="5"/>
      <c r="CQ844" s="40"/>
      <c r="CR844" s="5"/>
    </row>
    <row r="845">
      <c r="AL845" s="40"/>
      <c r="AM845" s="5"/>
      <c r="AO845" s="40"/>
      <c r="AP845" s="5"/>
      <c r="AR845" s="40"/>
      <c r="AS845" s="5"/>
      <c r="AU845" s="40"/>
      <c r="AV845" s="5"/>
      <c r="AX845" s="40"/>
      <c r="AY845" s="5"/>
      <c r="BA845" s="40"/>
      <c r="BB845" s="5"/>
      <c r="BD845" s="40"/>
      <c r="BE845" s="5"/>
      <c r="BG845" s="40"/>
      <c r="BH845" s="5"/>
      <c r="BJ845" s="40"/>
      <c r="BK845" s="5"/>
      <c r="BM845" s="40"/>
      <c r="BN845" s="5"/>
      <c r="BP845" s="40"/>
      <c r="BQ845" s="5"/>
      <c r="BS845" s="40"/>
      <c r="BT845" s="5"/>
      <c r="BV845" s="40"/>
      <c r="BW845" s="5"/>
      <c r="BY845" s="40"/>
      <c r="BZ845" s="5"/>
      <c r="CB845" s="40"/>
      <c r="CC845" s="5"/>
      <c r="CE845" s="40"/>
      <c r="CF845" s="5"/>
      <c r="CH845" s="40"/>
      <c r="CI845" s="5"/>
      <c r="CK845" s="40"/>
      <c r="CL845" s="5"/>
      <c r="CN845" s="40"/>
      <c r="CO845" s="5"/>
      <c r="CQ845" s="40"/>
      <c r="CR845" s="5"/>
    </row>
    <row r="846">
      <c r="AL846" s="40"/>
      <c r="AM846" s="5"/>
      <c r="AO846" s="40"/>
      <c r="AP846" s="5"/>
      <c r="AR846" s="40"/>
      <c r="AS846" s="5"/>
      <c r="AU846" s="40"/>
      <c r="AV846" s="5"/>
      <c r="AX846" s="40"/>
      <c r="AY846" s="5"/>
      <c r="BA846" s="40"/>
      <c r="BB846" s="5"/>
      <c r="BD846" s="40"/>
      <c r="BE846" s="5"/>
      <c r="BG846" s="40"/>
      <c r="BH846" s="5"/>
      <c r="BJ846" s="40"/>
      <c r="BK846" s="5"/>
      <c r="BM846" s="40"/>
      <c r="BN846" s="5"/>
      <c r="BP846" s="40"/>
      <c r="BQ846" s="5"/>
      <c r="BS846" s="40"/>
      <c r="BT846" s="5"/>
      <c r="BV846" s="40"/>
      <c r="BW846" s="5"/>
      <c r="BY846" s="40"/>
      <c r="BZ846" s="5"/>
      <c r="CB846" s="40"/>
      <c r="CC846" s="5"/>
      <c r="CE846" s="40"/>
      <c r="CF846" s="5"/>
      <c r="CH846" s="40"/>
      <c r="CI846" s="5"/>
      <c r="CK846" s="40"/>
      <c r="CL846" s="5"/>
      <c r="CN846" s="40"/>
      <c r="CO846" s="5"/>
      <c r="CQ846" s="40"/>
      <c r="CR846" s="5"/>
    </row>
    <row r="847">
      <c r="AL847" s="40"/>
      <c r="AM847" s="5"/>
      <c r="AO847" s="40"/>
      <c r="AP847" s="5"/>
      <c r="AR847" s="40"/>
      <c r="AS847" s="5"/>
      <c r="AU847" s="40"/>
      <c r="AV847" s="5"/>
      <c r="AX847" s="40"/>
      <c r="AY847" s="5"/>
      <c r="BA847" s="40"/>
      <c r="BB847" s="5"/>
      <c r="BD847" s="40"/>
      <c r="BE847" s="5"/>
      <c r="BG847" s="40"/>
      <c r="BH847" s="5"/>
      <c r="BJ847" s="40"/>
      <c r="BK847" s="5"/>
      <c r="BM847" s="40"/>
      <c r="BN847" s="5"/>
      <c r="BP847" s="40"/>
      <c r="BQ847" s="5"/>
      <c r="BS847" s="40"/>
      <c r="BT847" s="5"/>
      <c r="BV847" s="40"/>
      <c r="BW847" s="5"/>
      <c r="BY847" s="40"/>
      <c r="BZ847" s="5"/>
      <c r="CB847" s="40"/>
      <c r="CC847" s="5"/>
      <c r="CE847" s="40"/>
      <c r="CF847" s="5"/>
      <c r="CH847" s="40"/>
      <c r="CI847" s="5"/>
      <c r="CK847" s="40"/>
      <c r="CL847" s="5"/>
      <c r="CN847" s="40"/>
      <c r="CO847" s="5"/>
      <c r="CQ847" s="40"/>
      <c r="CR847" s="5"/>
    </row>
    <row r="848">
      <c r="AL848" s="40"/>
      <c r="AM848" s="5"/>
      <c r="AO848" s="40"/>
      <c r="AP848" s="5"/>
      <c r="AR848" s="40"/>
      <c r="AS848" s="5"/>
      <c r="AU848" s="40"/>
      <c r="AV848" s="5"/>
      <c r="AX848" s="40"/>
      <c r="AY848" s="5"/>
      <c r="BA848" s="40"/>
      <c r="BB848" s="5"/>
      <c r="BD848" s="40"/>
      <c r="BE848" s="5"/>
      <c r="BG848" s="40"/>
      <c r="BH848" s="5"/>
      <c r="BJ848" s="40"/>
      <c r="BK848" s="5"/>
      <c r="BM848" s="40"/>
      <c r="BN848" s="5"/>
      <c r="BP848" s="40"/>
      <c r="BQ848" s="5"/>
      <c r="BS848" s="40"/>
      <c r="BT848" s="5"/>
      <c r="BV848" s="40"/>
      <c r="BW848" s="5"/>
      <c r="BY848" s="40"/>
      <c r="BZ848" s="5"/>
      <c r="CB848" s="40"/>
      <c r="CC848" s="5"/>
      <c r="CE848" s="40"/>
      <c r="CF848" s="5"/>
      <c r="CH848" s="40"/>
      <c r="CI848" s="5"/>
      <c r="CK848" s="40"/>
      <c r="CL848" s="5"/>
      <c r="CN848" s="40"/>
      <c r="CO848" s="5"/>
      <c r="CQ848" s="40"/>
      <c r="CR848" s="5"/>
    </row>
    <row r="849">
      <c r="AL849" s="40"/>
      <c r="AM849" s="5"/>
      <c r="AO849" s="40"/>
      <c r="AP849" s="5"/>
      <c r="AR849" s="40"/>
      <c r="AS849" s="5"/>
      <c r="AU849" s="40"/>
      <c r="AV849" s="5"/>
      <c r="AX849" s="40"/>
      <c r="AY849" s="5"/>
      <c r="BA849" s="40"/>
      <c r="BB849" s="5"/>
      <c r="BD849" s="40"/>
      <c r="BE849" s="5"/>
      <c r="BG849" s="40"/>
      <c r="BH849" s="5"/>
      <c r="BJ849" s="40"/>
      <c r="BK849" s="5"/>
      <c r="BM849" s="40"/>
      <c r="BN849" s="5"/>
      <c r="BP849" s="40"/>
      <c r="BQ849" s="5"/>
      <c r="BS849" s="40"/>
      <c r="BT849" s="5"/>
      <c r="BV849" s="40"/>
      <c r="BW849" s="5"/>
      <c r="BY849" s="40"/>
      <c r="BZ849" s="5"/>
      <c r="CB849" s="40"/>
      <c r="CC849" s="5"/>
      <c r="CE849" s="40"/>
      <c r="CF849" s="5"/>
      <c r="CH849" s="40"/>
      <c r="CI849" s="5"/>
      <c r="CK849" s="40"/>
      <c r="CL849" s="5"/>
      <c r="CN849" s="40"/>
      <c r="CO849" s="5"/>
      <c r="CQ849" s="40"/>
      <c r="CR849" s="5"/>
    </row>
    <row r="850">
      <c r="AL850" s="40"/>
      <c r="AM850" s="5"/>
      <c r="AO850" s="40"/>
      <c r="AP850" s="5"/>
      <c r="AR850" s="40"/>
      <c r="AS850" s="5"/>
      <c r="AU850" s="40"/>
      <c r="AV850" s="5"/>
      <c r="AX850" s="40"/>
      <c r="AY850" s="5"/>
      <c r="BA850" s="40"/>
      <c r="BB850" s="5"/>
      <c r="BD850" s="40"/>
      <c r="BE850" s="5"/>
      <c r="BG850" s="40"/>
      <c r="BH850" s="5"/>
      <c r="BJ850" s="40"/>
      <c r="BK850" s="5"/>
      <c r="BM850" s="40"/>
      <c r="BN850" s="5"/>
      <c r="BP850" s="40"/>
      <c r="BQ850" s="5"/>
      <c r="BS850" s="40"/>
      <c r="BT850" s="5"/>
      <c r="BV850" s="40"/>
      <c r="BW850" s="5"/>
      <c r="BY850" s="40"/>
      <c r="BZ850" s="5"/>
      <c r="CB850" s="40"/>
      <c r="CC850" s="5"/>
      <c r="CE850" s="40"/>
      <c r="CF850" s="5"/>
      <c r="CH850" s="40"/>
      <c r="CI850" s="5"/>
      <c r="CK850" s="40"/>
      <c r="CL850" s="5"/>
      <c r="CN850" s="40"/>
      <c r="CO850" s="5"/>
      <c r="CQ850" s="40"/>
      <c r="CR850" s="5"/>
    </row>
    <row r="851">
      <c r="AL851" s="40"/>
      <c r="AM851" s="5"/>
      <c r="AO851" s="40"/>
      <c r="AP851" s="5"/>
      <c r="AR851" s="40"/>
      <c r="AS851" s="5"/>
      <c r="AU851" s="40"/>
      <c r="AV851" s="5"/>
      <c r="AX851" s="40"/>
      <c r="AY851" s="5"/>
      <c r="BA851" s="40"/>
      <c r="BB851" s="5"/>
      <c r="BD851" s="40"/>
      <c r="BE851" s="5"/>
      <c r="BG851" s="40"/>
      <c r="BH851" s="5"/>
      <c r="BJ851" s="40"/>
      <c r="BK851" s="5"/>
      <c r="BM851" s="40"/>
      <c r="BN851" s="5"/>
      <c r="BP851" s="40"/>
      <c r="BQ851" s="5"/>
      <c r="BS851" s="40"/>
      <c r="BT851" s="5"/>
      <c r="BV851" s="40"/>
      <c r="BW851" s="5"/>
      <c r="BY851" s="40"/>
      <c r="BZ851" s="5"/>
      <c r="CB851" s="40"/>
      <c r="CC851" s="5"/>
      <c r="CE851" s="40"/>
      <c r="CF851" s="5"/>
      <c r="CH851" s="40"/>
      <c r="CI851" s="5"/>
      <c r="CK851" s="40"/>
      <c r="CL851" s="5"/>
      <c r="CN851" s="40"/>
      <c r="CO851" s="5"/>
      <c r="CQ851" s="40"/>
      <c r="CR851" s="5"/>
    </row>
    <row r="852">
      <c r="AL852" s="40"/>
      <c r="AM852" s="5"/>
      <c r="AO852" s="40"/>
      <c r="AP852" s="5"/>
      <c r="AR852" s="40"/>
      <c r="AS852" s="5"/>
      <c r="AU852" s="40"/>
      <c r="AV852" s="5"/>
      <c r="AX852" s="40"/>
      <c r="AY852" s="5"/>
      <c r="BA852" s="40"/>
      <c r="BB852" s="5"/>
      <c r="BD852" s="40"/>
      <c r="BE852" s="5"/>
      <c r="BG852" s="40"/>
      <c r="BH852" s="5"/>
      <c r="BJ852" s="40"/>
      <c r="BK852" s="5"/>
      <c r="BM852" s="40"/>
      <c r="BN852" s="5"/>
      <c r="BP852" s="40"/>
      <c r="BQ852" s="5"/>
      <c r="BS852" s="40"/>
      <c r="BT852" s="5"/>
      <c r="BV852" s="40"/>
      <c r="BW852" s="5"/>
      <c r="BY852" s="40"/>
      <c r="BZ852" s="5"/>
      <c r="CB852" s="40"/>
      <c r="CC852" s="5"/>
      <c r="CE852" s="40"/>
      <c r="CF852" s="5"/>
      <c r="CH852" s="40"/>
      <c r="CI852" s="5"/>
      <c r="CK852" s="40"/>
      <c r="CL852" s="5"/>
      <c r="CN852" s="40"/>
      <c r="CO852" s="5"/>
      <c r="CQ852" s="40"/>
      <c r="CR852" s="5"/>
    </row>
    <row r="853">
      <c r="AL853" s="40"/>
      <c r="AM853" s="5"/>
      <c r="AO853" s="40"/>
      <c r="AP853" s="5"/>
      <c r="AR853" s="40"/>
      <c r="AS853" s="5"/>
      <c r="AU853" s="40"/>
      <c r="AV853" s="5"/>
      <c r="AX853" s="40"/>
      <c r="AY853" s="5"/>
      <c r="BA853" s="40"/>
      <c r="BB853" s="5"/>
      <c r="BD853" s="40"/>
      <c r="BE853" s="5"/>
      <c r="BG853" s="40"/>
      <c r="BH853" s="5"/>
      <c r="BJ853" s="40"/>
      <c r="BK853" s="5"/>
      <c r="BM853" s="40"/>
      <c r="BN853" s="5"/>
      <c r="BP853" s="40"/>
      <c r="BQ853" s="5"/>
      <c r="BS853" s="40"/>
      <c r="BT853" s="5"/>
      <c r="BV853" s="40"/>
      <c r="BW853" s="5"/>
      <c r="BY853" s="40"/>
      <c r="BZ853" s="5"/>
      <c r="CB853" s="40"/>
      <c r="CC853" s="5"/>
      <c r="CE853" s="40"/>
      <c r="CF853" s="5"/>
      <c r="CH853" s="40"/>
      <c r="CI853" s="5"/>
      <c r="CK853" s="40"/>
      <c r="CL853" s="5"/>
      <c r="CN853" s="40"/>
      <c r="CO853" s="5"/>
      <c r="CQ853" s="40"/>
      <c r="CR853" s="5"/>
    </row>
    <row r="854">
      <c r="AL854" s="40"/>
      <c r="AM854" s="5"/>
      <c r="AO854" s="40"/>
      <c r="AP854" s="5"/>
      <c r="AR854" s="40"/>
      <c r="AS854" s="5"/>
      <c r="AU854" s="40"/>
      <c r="AV854" s="5"/>
      <c r="AX854" s="40"/>
      <c r="AY854" s="5"/>
      <c r="BA854" s="40"/>
      <c r="BB854" s="5"/>
      <c r="BD854" s="40"/>
      <c r="BE854" s="5"/>
      <c r="BG854" s="40"/>
      <c r="BH854" s="5"/>
      <c r="BJ854" s="40"/>
      <c r="BK854" s="5"/>
      <c r="BM854" s="40"/>
      <c r="BN854" s="5"/>
      <c r="BP854" s="40"/>
      <c r="BQ854" s="5"/>
      <c r="BS854" s="40"/>
      <c r="BT854" s="5"/>
      <c r="BV854" s="40"/>
      <c r="BW854" s="5"/>
      <c r="BY854" s="40"/>
      <c r="BZ854" s="5"/>
      <c r="CB854" s="40"/>
      <c r="CC854" s="5"/>
      <c r="CE854" s="40"/>
      <c r="CF854" s="5"/>
      <c r="CH854" s="40"/>
      <c r="CI854" s="5"/>
      <c r="CK854" s="40"/>
      <c r="CL854" s="5"/>
      <c r="CN854" s="40"/>
      <c r="CO854" s="5"/>
      <c r="CQ854" s="40"/>
      <c r="CR854" s="5"/>
    </row>
    <row r="855">
      <c r="AL855" s="40"/>
      <c r="AM855" s="5"/>
      <c r="AO855" s="40"/>
      <c r="AP855" s="5"/>
      <c r="AR855" s="40"/>
      <c r="AS855" s="5"/>
      <c r="AU855" s="40"/>
      <c r="AV855" s="5"/>
      <c r="AX855" s="40"/>
      <c r="AY855" s="5"/>
      <c r="BA855" s="40"/>
      <c r="BB855" s="5"/>
      <c r="BD855" s="40"/>
      <c r="BE855" s="5"/>
      <c r="BG855" s="40"/>
      <c r="BH855" s="5"/>
      <c r="BJ855" s="40"/>
      <c r="BK855" s="5"/>
      <c r="BM855" s="40"/>
      <c r="BN855" s="5"/>
      <c r="BP855" s="40"/>
      <c r="BQ855" s="5"/>
      <c r="BS855" s="40"/>
      <c r="BT855" s="5"/>
      <c r="BV855" s="40"/>
      <c r="BW855" s="5"/>
      <c r="BY855" s="40"/>
      <c r="BZ855" s="5"/>
      <c r="CB855" s="40"/>
      <c r="CC855" s="5"/>
      <c r="CE855" s="40"/>
      <c r="CF855" s="5"/>
      <c r="CH855" s="40"/>
      <c r="CI855" s="5"/>
      <c r="CK855" s="40"/>
      <c r="CL855" s="5"/>
      <c r="CN855" s="40"/>
      <c r="CO855" s="5"/>
      <c r="CQ855" s="40"/>
      <c r="CR855" s="5"/>
    </row>
    <row r="856">
      <c r="AL856" s="40"/>
      <c r="AM856" s="5"/>
      <c r="AO856" s="40"/>
      <c r="AP856" s="5"/>
      <c r="AR856" s="40"/>
      <c r="AS856" s="5"/>
      <c r="AU856" s="40"/>
      <c r="AV856" s="5"/>
      <c r="AX856" s="40"/>
      <c r="AY856" s="5"/>
      <c r="BA856" s="40"/>
      <c r="BB856" s="5"/>
      <c r="BD856" s="40"/>
      <c r="BE856" s="5"/>
      <c r="BG856" s="40"/>
      <c r="BH856" s="5"/>
      <c r="BJ856" s="40"/>
      <c r="BK856" s="5"/>
      <c r="BM856" s="40"/>
      <c r="BN856" s="5"/>
      <c r="BP856" s="40"/>
      <c r="BQ856" s="5"/>
      <c r="BS856" s="40"/>
      <c r="BT856" s="5"/>
      <c r="BV856" s="40"/>
      <c r="BW856" s="5"/>
      <c r="BY856" s="40"/>
      <c r="BZ856" s="5"/>
      <c r="CB856" s="40"/>
      <c r="CC856" s="5"/>
      <c r="CE856" s="40"/>
      <c r="CF856" s="5"/>
      <c r="CH856" s="40"/>
      <c r="CI856" s="5"/>
      <c r="CK856" s="40"/>
      <c r="CL856" s="5"/>
      <c r="CN856" s="40"/>
      <c r="CO856" s="5"/>
      <c r="CQ856" s="40"/>
      <c r="CR856" s="5"/>
    </row>
    <row r="857">
      <c r="AL857" s="40"/>
      <c r="AM857" s="5"/>
      <c r="AO857" s="40"/>
      <c r="AP857" s="5"/>
      <c r="AR857" s="40"/>
      <c r="AS857" s="5"/>
      <c r="AU857" s="40"/>
      <c r="AV857" s="5"/>
      <c r="AX857" s="40"/>
      <c r="AY857" s="5"/>
      <c r="BA857" s="40"/>
      <c r="BB857" s="5"/>
      <c r="BD857" s="40"/>
      <c r="BE857" s="5"/>
      <c r="BG857" s="40"/>
      <c r="BH857" s="5"/>
      <c r="BJ857" s="40"/>
      <c r="BK857" s="5"/>
      <c r="BM857" s="40"/>
      <c r="BN857" s="5"/>
      <c r="BP857" s="40"/>
      <c r="BQ857" s="5"/>
      <c r="BS857" s="40"/>
      <c r="BT857" s="5"/>
      <c r="BV857" s="40"/>
      <c r="BW857" s="5"/>
      <c r="BY857" s="40"/>
      <c r="BZ857" s="5"/>
      <c r="CB857" s="40"/>
      <c r="CC857" s="5"/>
      <c r="CE857" s="40"/>
      <c r="CF857" s="5"/>
      <c r="CH857" s="40"/>
      <c r="CI857" s="5"/>
      <c r="CK857" s="40"/>
      <c r="CL857" s="5"/>
      <c r="CN857" s="40"/>
      <c r="CO857" s="5"/>
      <c r="CQ857" s="40"/>
      <c r="CR857" s="5"/>
    </row>
    <row r="858">
      <c r="AL858" s="40"/>
      <c r="AM858" s="5"/>
      <c r="AO858" s="40"/>
      <c r="AP858" s="5"/>
      <c r="AR858" s="40"/>
      <c r="AS858" s="5"/>
      <c r="AU858" s="40"/>
      <c r="AV858" s="5"/>
      <c r="AX858" s="40"/>
      <c r="AY858" s="5"/>
      <c r="BA858" s="40"/>
      <c r="BB858" s="5"/>
      <c r="BD858" s="40"/>
      <c r="BE858" s="5"/>
      <c r="BG858" s="40"/>
      <c r="BH858" s="5"/>
      <c r="BJ858" s="40"/>
      <c r="BK858" s="5"/>
      <c r="BM858" s="40"/>
      <c r="BN858" s="5"/>
      <c r="BP858" s="40"/>
      <c r="BQ858" s="5"/>
      <c r="BS858" s="40"/>
      <c r="BT858" s="5"/>
      <c r="BV858" s="40"/>
      <c r="BW858" s="5"/>
      <c r="BY858" s="40"/>
      <c r="BZ858" s="5"/>
      <c r="CB858" s="40"/>
      <c r="CC858" s="5"/>
      <c r="CE858" s="40"/>
      <c r="CF858" s="5"/>
      <c r="CH858" s="40"/>
      <c r="CI858" s="5"/>
      <c r="CK858" s="40"/>
      <c r="CL858" s="5"/>
      <c r="CN858" s="40"/>
      <c r="CO858" s="5"/>
      <c r="CQ858" s="40"/>
      <c r="CR858" s="5"/>
    </row>
    <row r="859">
      <c r="AL859" s="40"/>
      <c r="AM859" s="5"/>
      <c r="AO859" s="40"/>
      <c r="AP859" s="5"/>
      <c r="AR859" s="40"/>
      <c r="AS859" s="5"/>
      <c r="AU859" s="40"/>
      <c r="AV859" s="5"/>
      <c r="AX859" s="40"/>
      <c r="AY859" s="5"/>
      <c r="BA859" s="40"/>
      <c r="BB859" s="5"/>
      <c r="BD859" s="40"/>
      <c r="BE859" s="5"/>
      <c r="BG859" s="40"/>
      <c r="BH859" s="5"/>
      <c r="BJ859" s="40"/>
      <c r="BK859" s="5"/>
      <c r="BM859" s="40"/>
      <c r="BN859" s="5"/>
      <c r="BP859" s="40"/>
      <c r="BQ859" s="5"/>
      <c r="BS859" s="40"/>
      <c r="BT859" s="5"/>
      <c r="BV859" s="40"/>
      <c r="BW859" s="5"/>
      <c r="BY859" s="40"/>
      <c r="BZ859" s="5"/>
      <c r="CB859" s="40"/>
      <c r="CC859" s="5"/>
      <c r="CE859" s="40"/>
      <c r="CF859" s="5"/>
      <c r="CH859" s="40"/>
      <c r="CI859" s="5"/>
      <c r="CK859" s="40"/>
      <c r="CL859" s="5"/>
      <c r="CN859" s="40"/>
      <c r="CO859" s="5"/>
      <c r="CQ859" s="40"/>
      <c r="CR859" s="5"/>
    </row>
    <row r="860">
      <c r="AL860" s="40"/>
      <c r="AM860" s="5"/>
      <c r="AO860" s="40"/>
      <c r="AP860" s="5"/>
      <c r="AR860" s="40"/>
      <c r="AS860" s="5"/>
      <c r="AU860" s="40"/>
      <c r="AV860" s="5"/>
      <c r="AX860" s="40"/>
      <c r="AY860" s="5"/>
      <c r="BA860" s="40"/>
      <c r="BB860" s="5"/>
      <c r="BD860" s="40"/>
      <c r="BE860" s="5"/>
      <c r="BG860" s="40"/>
      <c r="BH860" s="5"/>
      <c r="BJ860" s="40"/>
      <c r="BK860" s="5"/>
      <c r="BM860" s="40"/>
      <c r="BN860" s="5"/>
      <c r="BP860" s="40"/>
      <c r="BQ860" s="5"/>
      <c r="BS860" s="40"/>
      <c r="BT860" s="5"/>
      <c r="BV860" s="40"/>
      <c r="BW860" s="5"/>
      <c r="BY860" s="40"/>
      <c r="BZ860" s="5"/>
      <c r="CB860" s="40"/>
      <c r="CC860" s="5"/>
      <c r="CE860" s="40"/>
      <c r="CF860" s="5"/>
      <c r="CH860" s="40"/>
      <c r="CI860" s="5"/>
      <c r="CK860" s="40"/>
      <c r="CL860" s="5"/>
      <c r="CN860" s="40"/>
      <c r="CO860" s="5"/>
      <c r="CQ860" s="40"/>
      <c r="CR860" s="5"/>
    </row>
    <row r="861">
      <c r="AL861" s="40"/>
      <c r="AM861" s="5"/>
      <c r="AO861" s="40"/>
      <c r="AP861" s="5"/>
      <c r="AR861" s="40"/>
      <c r="AS861" s="5"/>
      <c r="AU861" s="40"/>
      <c r="AV861" s="5"/>
      <c r="AX861" s="40"/>
      <c r="AY861" s="5"/>
      <c r="BA861" s="40"/>
      <c r="BB861" s="5"/>
      <c r="BD861" s="40"/>
      <c r="BE861" s="5"/>
      <c r="BG861" s="40"/>
      <c r="BH861" s="5"/>
      <c r="BJ861" s="40"/>
      <c r="BK861" s="5"/>
      <c r="BM861" s="40"/>
      <c r="BN861" s="5"/>
      <c r="BP861" s="40"/>
      <c r="BQ861" s="5"/>
      <c r="BS861" s="40"/>
      <c r="BT861" s="5"/>
      <c r="BV861" s="40"/>
      <c r="BW861" s="5"/>
      <c r="BY861" s="40"/>
      <c r="BZ861" s="5"/>
      <c r="CB861" s="40"/>
      <c r="CC861" s="5"/>
      <c r="CE861" s="40"/>
      <c r="CF861" s="5"/>
      <c r="CH861" s="40"/>
      <c r="CI861" s="5"/>
      <c r="CK861" s="40"/>
      <c r="CL861" s="5"/>
      <c r="CN861" s="40"/>
      <c r="CO861" s="5"/>
      <c r="CQ861" s="40"/>
      <c r="CR861" s="5"/>
    </row>
    <row r="862">
      <c r="AL862" s="40"/>
      <c r="AM862" s="5"/>
      <c r="AO862" s="40"/>
      <c r="AP862" s="5"/>
      <c r="AR862" s="40"/>
      <c r="AS862" s="5"/>
      <c r="AU862" s="40"/>
      <c r="AV862" s="5"/>
      <c r="AX862" s="40"/>
      <c r="AY862" s="5"/>
      <c r="BA862" s="40"/>
      <c r="BB862" s="5"/>
      <c r="BD862" s="40"/>
      <c r="BE862" s="5"/>
      <c r="BG862" s="40"/>
      <c r="BH862" s="5"/>
      <c r="BJ862" s="40"/>
      <c r="BK862" s="5"/>
      <c r="BM862" s="40"/>
      <c r="BN862" s="5"/>
      <c r="BP862" s="40"/>
      <c r="BQ862" s="5"/>
      <c r="BS862" s="40"/>
      <c r="BT862" s="5"/>
      <c r="BV862" s="40"/>
      <c r="BW862" s="5"/>
      <c r="BY862" s="40"/>
      <c r="BZ862" s="5"/>
      <c r="CB862" s="40"/>
      <c r="CC862" s="5"/>
      <c r="CE862" s="40"/>
      <c r="CF862" s="5"/>
      <c r="CH862" s="40"/>
      <c r="CI862" s="5"/>
      <c r="CK862" s="40"/>
      <c r="CL862" s="5"/>
      <c r="CN862" s="40"/>
      <c r="CO862" s="5"/>
      <c r="CQ862" s="40"/>
      <c r="CR862" s="5"/>
    </row>
    <row r="863">
      <c r="AL863" s="40"/>
      <c r="AM863" s="5"/>
      <c r="AO863" s="40"/>
      <c r="AP863" s="5"/>
      <c r="AR863" s="40"/>
      <c r="AS863" s="5"/>
      <c r="AU863" s="40"/>
      <c r="AV863" s="5"/>
      <c r="AX863" s="40"/>
      <c r="AY863" s="5"/>
      <c r="BA863" s="40"/>
      <c r="BB863" s="5"/>
      <c r="BD863" s="40"/>
      <c r="BE863" s="5"/>
      <c r="BG863" s="40"/>
      <c r="BH863" s="5"/>
      <c r="BJ863" s="40"/>
      <c r="BK863" s="5"/>
      <c r="BM863" s="40"/>
      <c r="BN863" s="5"/>
      <c r="BP863" s="40"/>
      <c r="BQ863" s="5"/>
      <c r="BS863" s="40"/>
      <c r="BT863" s="5"/>
      <c r="BV863" s="40"/>
      <c r="BW863" s="5"/>
      <c r="BY863" s="40"/>
      <c r="BZ863" s="5"/>
      <c r="CB863" s="40"/>
      <c r="CC863" s="5"/>
      <c r="CE863" s="40"/>
      <c r="CF863" s="5"/>
      <c r="CH863" s="40"/>
      <c r="CI863" s="5"/>
      <c r="CK863" s="40"/>
      <c r="CL863" s="5"/>
      <c r="CN863" s="40"/>
      <c r="CO863" s="5"/>
      <c r="CQ863" s="40"/>
      <c r="CR863" s="5"/>
    </row>
    <row r="864">
      <c r="AL864" s="40"/>
      <c r="AM864" s="5"/>
      <c r="AO864" s="40"/>
      <c r="AP864" s="5"/>
      <c r="AR864" s="40"/>
      <c r="AS864" s="5"/>
      <c r="AU864" s="40"/>
      <c r="AV864" s="5"/>
      <c r="AX864" s="40"/>
      <c r="AY864" s="5"/>
      <c r="BA864" s="40"/>
      <c r="BB864" s="5"/>
      <c r="BD864" s="40"/>
      <c r="BE864" s="5"/>
      <c r="BG864" s="40"/>
      <c r="BH864" s="5"/>
      <c r="BJ864" s="40"/>
      <c r="BK864" s="5"/>
      <c r="BM864" s="40"/>
      <c r="BN864" s="5"/>
      <c r="BP864" s="40"/>
      <c r="BQ864" s="5"/>
      <c r="BS864" s="40"/>
      <c r="BT864" s="5"/>
      <c r="BV864" s="40"/>
      <c r="BW864" s="5"/>
      <c r="BY864" s="40"/>
      <c r="BZ864" s="5"/>
      <c r="CB864" s="40"/>
      <c r="CC864" s="5"/>
      <c r="CE864" s="40"/>
      <c r="CF864" s="5"/>
      <c r="CH864" s="40"/>
      <c r="CI864" s="5"/>
      <c r="CK864" s="40"/>
      <c r="CL864" s="5"/>
      <c r="CN864" s="40"/>
      <c r="CO864" s="5"/>
      <c r="CQ864" s="40"/>
      <c r="CR864" s="5"/>
    </row>
    <row r="865">
      <c r="AL865" s="40"/>
      <c r="AM865" s="5"/>
      <c r="AO865" s="40"/>
      <c r="AP865" s="5"/>
      <c r="AR865" s="40"/>
      <c r="AS865" s="5"/>
      <c r="AU865" s="40"/>
      <c r="AV865" s="5"/>
      <c r="AX865" s="40"/>
      <c r="AY865" s="5"/>
      <c r="BA865" s="40"/>
      <c r="BB865" s="5"/>
      <c r="BD865" s="40"/>
      <c r="BE865" s="5"/>
      <c r="BG865" s="40"/>
      <c r="BH865" s="5"/>
      <c r="BJ865" s="40"/>
      <c r="BK865" s="5"/>
      <c r="BM865" s="40"/>
      <c r="BN865" s="5"/>
      <c r="BP865" s="40"/>
      <c r="BQ865" s="5"/>
      <c r="BS865" s="40"/>
      <c r="BT865" s="5"/>
      <c r="BV865" s="40"/>
      <c r="BW865" s="5"/>
      <c r="BY865" s="40"/>
      <c r="BZ865" s="5"/>
      <c r="CB865" s="40"/>
      <c r="CC865" s="5"/>
      <c r="CE865" s="40"/>
      <c r="CF865" s="5"/>
      <c r="CH865" s="40"/>
      <c r="CI865" s="5"/>
      <c r="CK865" s="40"/>
      <c r="CL865" s="5"/>
      <c r="CN865" s="40"/>
      <c r="CO865" s="5"/>
      <c r="CQ865" s="40"/>
      <c r="CR865" s="5"/>
    </row>
    <row r="866">
      <c r="AL866" s="40"/>
      <c r="AM866" s="5"/>
      <c r="AO866" s="40"/>
      <c r="AP866" s="5"/>
      <c r="AR866" s="40"/>
      <c r="AS866" s="5"/>
      <c r="AU866" s="40"/>
      <c r="AV866" s="5"/>
      <c r="AX866" s="40"/>
      <c r="AY866" s="5"/>
      <c r="BA866" s="40"/>
      <c r="BB866" s="5"/>
      <c r="BD866" s="40"/>
      <c r="BE866" s="5"/>
      <c r="BG866" s="40"/>
      <c r="BH866" s="5"/>
      <c r="BJ866" s="40"/>
      <c r="BK866" s="5"/>
      <c r="BM866" s="40"/>
      <c r="BN866" s="5"/>
      <c r="BP866" s="40"/>
      <c r="BQ866" s="5"/>
      <c r="BS866" s="40"/>
      <c r="BT866" s="5"/>
      <c r="BV866" s="40"/>
      <c r="BW866" s="5"/>
      <c r="BY866" s="40"/>
      <c r="BZ866" s="5"/>
      <c r="CB866" s="40"/>
      <c r="CC866" s="5"/>
      <c r="CE866" s="40"/>
      <c r="CF866" s="5"/>
      <c r="CH866" s="40"/>
      <c r="CI866" s="5"/>
      <c r="CK866" s="40"/>
      <c r="CL866" s="5"/>
      <c r="CN866" s="40"/>
      <c r="CO866" s="5"/>
      <c r="CQ866" s="40"/>
      <c r="CR866" s="5"/>
    </row>
    <row r="867">
      <c r="AL867" s="40"/>
      <c r="AM867" s="5"/>
      <c r="AO867" s="40"/>
      <c r="AP867" s="5"/>
      <c r="AR867" s="40"/>
      <c r="AS867" s="5"/>
      <c r="AU867" s="40"/>
      <c r="AV867" s="5"/>
      <c r="AX867" s="40"/>
      <c r="AY867" s="5"/>
      <c r="BA867" s="40"/>
      <c r="BB867" s="5"/>
      <c r="BD867" s="40"/>
      <c r="BE867" s="5"/>
      <c r="BG867" s="40"/>
      <c r="BH867" s="5"/>
      <c r="BJ867" s="40"/>
      <c r="BK867" s="5"/>
      <c r="BM867" s="40"/>
      <c r="BN867" s="5"/>
      <c r="BP867" s="40"/>
      <c r="BQ867" s="5"/>
      <c r="BS867" s="40"/>
      <c r="BT867" s="5"/>
      <c r="BV867" s="40"/>
      <c r="BW867" s="5"/>
      <c r="BY867" s="40"/>
      <c r="BZ867" s="5"/>
      <c r="CB867" s="40"/>
      <c r="CC867" s="5"/>
      <c r="CE867" s="40"/>
      <c r="CF867" s="5"/>
      <c r="CH867" s="40"/>
      <c r="CI867" s="5"/>
      <c r="CK867" s="40"/>
      <c r="CL867" s="5"/>
      <c r="CN867" s="40"/>
      <c r="CO867" s="5"/>
      <c r="CQ867" s="40"/>
      <c r="CR867" s="5"/>
    </row>
    <row r="868">
      <c r="AL868" s="40"/>
      <c r="AM868" s="5"/>
      <c r="AO868" s="40"/>
      <c r="AP868" s="5"/>
      <c r="AR868" s="40"/>
      <c r="AS868" s="5"/>
      <c r="AU868" s="40"/>
      <c r="AV868" s="5"/>
      <c r="AX868" s="40"/>
      <c r="AY868" s="5"/>
      <c r="BA868" s="40"/>
      <c r="BB868" s="5"/>
      <c r="BD868" s="40"/>
      <c r="BE868" s="5"/>
      <c r="BG868" s="40"/>
      <c r="BH868" s="5"/>
      <c r="BJ868" s="40"/>
      <c r="BK868" s="5"/>
      <c r="BM868" s="40"/>
      <c r="BN868" s="5"/>
      <c r="BP868" s="40"/>
      <c r="BQ868" s="5"/>
      <c r="BS868" s="40"/>
      <c r="BT868" s="5"/>
      <c r="BV868" s="40"/>
      <c r="BW868" s="5"/>
      <c r="BY868" s="40"/>
      <c r="BZ868" s="5"/>
      <c r="CB868" s="40"/>
      <c r="CC868" s="5"/>
      <c r="CE868" s="40"/>
      <c r="CF868" s="5"/>
      <c r="CH868" s="40"/>
      <c r="CI868" s="5"/>
      <c r="CK868" s="40"/>
      <c r="CL868" s="5"/>
      <c r="CN868" s="40"/>
      <c r="CO868" s="5"/>
      <c r="CQ868" s="40"/>
      <c r="CR868" s="5"/>
    </row>
    <row r="869">
      <c r="AL869" s="40"/>
      <c r="AM869" s="5"/>
      <c r="AO869" s="40"/>
      <c r="AP869" s="5"/>
      <c r="AR869" s="40"/>
      <c r="AS869" s="5"/>
      <c r="AU869" s="40"/>
      <c r="AV869" s="5"/>
      <c r="AX869" s="40"/>
      <c r="AY869" s="5"/>
      <c r="BA869" s="40"/>
      <c r="BB869" s="5"/>
      <c r="BD869" s="40"/>
      <c r="BE869" s="5"/>
      <c r="BG869" s="40"/>
      <c r="BH869" s="5"/>
      <c r="BJ869" s="40"/>
      <c r="BK869" s="5"/>
      <c r="BM869" s="40"/>
      <c r="BN869" s="5"/>
      <c r="BP869" s="40"/>
      <c r="BQ869" s="5"/>
      <c r="BS869" s="40"/>
      <c r="BT869" s="5"/>
      <c r="BV869" s="40"/>
      <c r="BW869" s="5"/>
      <c r="BY869" s="40"/>
      <c r="BZ869" s="5"/>
      <c r="CB869" s="40"/>
      <c r="CC869" s="5"/>
      <c r="CE869" s="40"/>
      <c r="CF869" s="5"/>
      <c r="CH869" s="40"/>
      <c r="CI869" s="5"/>
      <c r="CK869" s="40"/>
      <c r="CL869" s="5"/>
      <c r="CN869" s="40"/>
      <c r="CO869" s="5"/>
      <c r="CQ869" s="40"/>
      <c r="CR869" s="5"/>
    </row>
    <row r="870">
      <c r="AL870" s="40"/>
      <c r="AM870" s="5"/>
      <c r="AO870" s="40"/>
      <c r="AP870" s="5"/>
      <c r="AR870" s="40"/>
      <c r="AS870" s="5"/>
      <c r="AU870" s="40"/>
      <c r="AV870" s="5"/>
      <c r="AX870" s="40"/>
      <c r="AY870" s="5"/>
      <c r="BA870" s="40"/>
      <c r="BB870" s="5"/>
      <c r="BD870" s="40"/>
      <c r="BE870" s="5"/>
      <c r="BG870" s="40"/>
      <c r="BH870" s="5"/>
      <c r="BJ870" s="40"/>
      <c r="BK870" s="5"/>
      <c r="BM870" s="40"/>
      <c r="BN870" s="5"/>
      <c r="BP870" s="40"/>
      <c r="BQ870" s="5"/>
      <c r="BS870" s="40"/>
      <c r="BT870" s="5"/>
      <c r="BV870" s="40"/>
      <c r="BW870" s="5"/>
      <c r="BY870" s="40"/>
      <c r="BZ870" s="5"/>
      <c r="CB870" s="40"/>
      <c r="CC870" s="5"/>
      <c r="CE870" s="40"/>
      <c r="CF870" s="5"/>
      <c r="CH870" s="40"/>
      <c r="CI870" s="5"/>
      <c r="CK870" s="40"/>
      <c r="CL870" s="5"/>
      <c r="CN870" s="40"/>
      <c r="CO870" s="5"/>
      <c r="CQ870" s="40"/>
      <c r="CR870" s="5"/>
    </row>
    <row r="871">
      <c r="AL871" s="40"/>
      <c r="AM871" s="5"/>
      <c r="AO871" s="40"/>
      <c r="AP871" s="5"/>
      <c r="AR871" s="40"/>
      <c r="AS871" s="5"/>
      <c r="AU871" s="40"/>
      <c r="AV871" s="5"/>
      <c r="AX871" s="40"/>
      <c r="AY871" s="5"/>
      <c r="BA871" s="40"/>
      <c r="BB871" s="5"/>
      <c r="BD871" s="40"/>
      <c r="BE871" s="5"/>
      <c r="BG871" s="40"/>
      <c r="BH871" s="5"/>
      <c r="BJ871" s="40"/>
      <c r="BK871" s="5"/>
      <c r="BM871" s="40"/>
      <c r="BN871" s="5"/>
      <c r="BP871" s="40"/>
      <c r="BQ871" s="5"/>
      <c r="BS871" s="40"/>
      <c r="BT871" s="5"/>
      <c r="BV871" s="40"/>
      <c r="BW871" s="5"/>
      <c r="BY871" s="40"/>
      <c r="BZ871" s="5"/>
      <c r="CB871" s="40"/>
      <c r="CC871" s="5"/>
      <c r="CE871" s="40"/>
      <c r="CF871" s="5"/>
      <c r="CH871" s="40"/>
      <c r="CI871" s="5"/>
      <c r="CK871" s="40"/>
      <c r="CL871" s="5"/>
      <c r="CN871" s="40"/>
      <c r="CO871" s="5"/>
      <c r="CQ871" s="40"/>
      <c r="CR871" s="5"/>
    </row>
    <row r="872">
      <c r="AL872" s="40"/>
      <c r="AM872" s="5"/>
      <c r="AO872" s="40"/>
      <c r="AP872" s="5"/>
      <c r="AR872" s="40"/>
      <c r="AS872" s="5"/>
      <c r="AU872" s="40"/>
      <c r="AV872" s="5"/>
      <c r="AX872" s="40"/>
      <c r="AY872" s="5"/>
      <c r="BA872" s="40"/>
      <c r="BB872" s="5"/>
      <c r="BD872" s="40"/>
      <c r="BE872" s="5"/>
      <c r="BG872" s="40"/>
      <c r="BH872" s="5"/>
      <c r="BJ872" s="40"/>
      <c r="BK872" s="5"/>
      <c r="BM872" s="40"/>
      <c r="BN872" s="5"/>
      <c r="BP872" s="40"/>
      <c r="BQ872" s="5"/>
      <c r="BS872" s="40"/>
      <c r="BT872" s="5"/>
      <c r="BV872" s="40"/>
      <c r="BW872" s="5"/>
      <c r="BY872" s="40"/>
      <c r="BZ872" s="5"/>
      <c r="CB872" s="40"/>
      <c r="CC872" s="5"/>
      <c r="CE872" s="40"/>
      <c r="CF872" s="5"/>
      <c r="CH872" s="40"/>
      <c r="CI872" s="5"/>
      <c r="CK872" s="40"/>
      <c r="CL872" s="5"/>
      <c r="CN872" s="40"/>
      <c r="CO872" s="5"/>
      <c r="CQ872" s="40"/>
      <c r="CR872" s="5"/>
    </row>
    <row r="873">
      <c r="AL873" s="40"/>
      <c r="AM873" s="5"/>
      <c r="AO873" s="40"/>
      <c r="AP873" s="5"/>
      <c r="AR873" s="40"/>
      <c r="AS873" s="5"/>
      <c r="AU873" s="40"/>
      <c r="AV873" s="5"/>
      <c r="AX873" s="40"/>
      <c r="AY873" s="5"/>
      <c r="BA873" s="40"/>
      <c r="BB873" s="5"/>
      <c r="BD873" s="40"/>
      <c r="BE873" s="5"/>
      <c r="BG873" s="40"/>
      <c r="BH873" s="5"/>
      <c r="BJ873" s="40"/>
      <c r="BK873" s="5"/>
      <c r="BM873" s="40"/>
      <c r="BN873" s="5"/>
      <c r="BP873" s="40"/>
      <c r="BQ873" s="5"/>
      <c r="BS873" s="40"/>
      <c r="BT873" s="5"/>
      <c r="BV873" s="40"/>
      <c r="BW873" s="5"/>
      <c r="BY873" s="40"/>
      <c r="BZ873" s="5"/>
      <c r="CB873" s="40"/>
      <c r="CC873" s="5"/>
      <c r="CE873" s="40"/>
      <c r="CF873" s="5"/>
      <c r="CH873" s="40"/>
      <c r="CI873" s="5"/>
      <c r="CK873" s="40"/>
      <c r="CL873" s="5"/>
      <c r="CN873" s="40"/>
      <c r="CO873" s="5"/>
      <c r="CQ873" s="40"/>
      <c r="CR873" s="5"/>
    </row>
    <row r="874">
      <c r="AL874" s="40"/>
      <c r="AM874" s="5"/>
      <c r="AO874" s="40"/>
      <c r="AP874" s="5"/>
      <c r="AR874" s="40"/>
      <c r="AS874" s="5"/>
      <c r="AU874" s="40"/>
      <c r="AV874" s="5"/>
      <c r="AX874" s="40"/>
      <c r="AY874" s="5"/>
      <c r="BA874" s="40"/>
      <c r="BB874" s="5"/>
      <c r="BD874" s="40"/>
      <c r="BE874" s="5"/>
      <c r="BG874" s="40"/>
      <c r="BH874" s="5"/>
      <c r="BJ874" s="40"/>
      <c r="BK874" s="5"/>
      <c r="BM874" s="40"/>
      <c r="BN874" s="5"/>
      <c r="BP874" s="40"/>
      <c r="BQ874" s="5"/>
      <c r="BS874" s="40"/>
      <c r="BT874" s="5"/>
      <c r="BV874" s="40"/>
      <c r="BW874" s="5"/>
      <c r="BY874" s="40"/>
      <c r="BZ874" s="5"/>
      <c r="CB874" s="40"/>
      <c r="CC874" s="5"/>
      <c r="CE874" s="40"/>
      <c r="CF874" s="5"/>
      <c r="CH874" s="40"/>
      <c r="CI874" s="5"/>
      <c r="CK874" s="40"/>
      <c r="CL874" s="5"/>
      <c r="CN874" s="40"/>
      <c r="CO874" s="5"/>
      <c r="CQ874" s="40"/>
      <c r="CR874" s="5"/>
    </row>
    <row r="875">
      <c r="AL875" s="40"/>
      <c r="AM875" s="5"/>
      <c r="AO875" s="40"/>
      <c r="AP875" s="5"/>
      <c r="AR875" s="40"/>
      <c r="AS875" s="5"/>
      <c r="AU875" s="40"/>
      <c r="AV875" s="5"/>
      <c r="AX875" s="40"/>
      <c r="AY875" s="5"/>
      <c r="BA875" s="40"/>
      <c r="BB875" s="5"/>
      <c r="BD875" s="40"/>
      <c r="BE875" s="5"/>
      <c r="BG875" s="40"/>
      <c r="BH875" s="5"/>
      <c r="BJ875" s="40"/>
      <c r="BK875" s="5"/>
      <c r="BM875" s="40"/>
      <c r="BN875" s="5"/>
      <c r="BP875" s="40"/>
      <c r="BQ875" s="5"/>
      <c r="BS875" s="40"/>
      <c r="BT875" s="5"/>
      <c r="BV875" s="40"/>
      <c r="BW875" s="5"/>
      <c r="BY875" s="40"/>
      <c r="BZ875" s="5"/>
      <c r="CB875" s="40"/>
      <c r="CC875" s="5"/>
      <c r="CE875" s="40"/>
      <c r="CF875" s="5"/>
      <c r="CH875" s="40"/>
      <c r="CI875" s="5"/>
      <c r="CK875" s="40"/>
      <c r="CL875" s="5"/>
      <c r="CN875" s="40"/>
      <c r="CO875" s="5"/>
      <c r="CQ875" s="40"/>
      <c r="CR875" s="5"/>
    </row>
    <row r="876">
      <c r="AL876" s="40"/>
      <c r="AM876" s="5"/>
      <c r="AO876" s="40"/>
      <c r="AP876" s="5"/>
      <c r="AR876" s="40"/>
      <c r="AS876" s="5"/>
      <c r="AU876" s="40"/>
      <c r="AV876" s="5"/>
      <c r="AX876" s="40"/>
      <c r="AY876" s="5"/>
      <c r="BA876" s="40"/>
      <c r="BB876" s="5"/>
      <c r="BD876" s="40"/>
      <c r="BE876" s="5"/>
      <c r="BG876" s="40"/>
      <c r="BH876" s="5"/>
      <c r="BJ876" s="40"/>
      <c r="BK876" s="5"/>
      <c r="BM876" s="40"/>
      <c r="BN876" s="5"/>
      <c r="BP876" s="40"/>
      <c r="BQ876" s="5"/>
      <c r="BS876" s="40"/>
      <c r="BT876" s="5"/>
      <c r="BV876" s="40"/>
      <c r="BW876" s="5"/>
      <c r="BY876" s="40"/>
      <c r="BZ876" s="5"/>
      <c r="CB876" s="40"/>
      <c r="CC876" s="5"/>
      <c r="CE876" s="40"/>
      <c r="CF876" s="5"/>
      <c r="CH876" s="40"/>
      <c r="CI876" s="5"/>
      <c r="CK876" s="40"/>
      <c r="CL876" s="5"/>
      <c r="CN876" s="40"/>
      <c r="CO876" s="5"/>
      <c r="CQ876" s="40"/>
      <c r="CR876" s="5"/>
    </row>
    <row r="877">
      <c r="AL877" s="40"/>
      <c r="AM877" s="5"/>
      <c r="AO877" s="40"/>
      <c r="AP877" s="5"/>
      <c r="AR877" s="40"/>
      <c r="AS877" s="5"/>
      <c r="AU877" s="40"/>
      <c r="AV877" s="5"/>
      <c r="AX877" s="40"/>
      <c r="AY877" s="5"/>
      <c r="BA877" s="40"/>
      <c r="BB877" s="5"/>
      <c r="BD877" s="40"/>
      <c r="BE877" s="5"/>
      <c r="BG877" s="40"/>
      <c r="BH877" s="5"/>
      <c r="BJ877" s="40"/>
      <c r="BK877" s="5"/>
      <c r="BM877" s="40"/>
      <c r="BN877" s="5"/>
      <c r="BP877" s="40"/>
      <c r="BQ877" s="5"/>
      <c r="BS877" s="40"/>
      <c r="BT877" s="5"/>
      <c r="BV877" s="40"/>
      <c r="BW877" s="5"/>
      <c r="BY877" s="40"/>
      <c r="BZ877" s="5"/>
      <c r="CB877" s="40"/>
      <c r="CC877" s="5"/>
      <c r="CE877" s="40"/>
      <c r="CF877" s="5"/>
      <c r="CH877" s="40"/>
      <c r="CI877" s="5"/>
      <c r="CK877" s="40"/>
      <c r="CL877" s="5"/>
      <c r="CN877" s="40"/>
      <c r="CO877" s="5"/>
      <c r="CQ877" s="40"/>
      <c r="CR877" s="5"/>
    </row>
    <row r="878">
      <c r="AL878" s="40"/>
      <c r="AM878" s="5"/>
      <c r="AO878" s="40"/>
      <c r="AP878" s="5"/>
      <c r="AR878" s="40"/>
      <c r="AS878" s="5"/>
      <c r="AU878" s="40"/>
      <c r="AV878" s="5"/>
      <c r="AX878" s="40"/>
      <c r="AY878" s="5"/>
      <c r="BA878" s="40"/>
      <c r="BB878" s="5"/>
      <c r="BD878" s="40"/>
      <c r="BE878" s="5"/>
      <c r="BG878" s="40"/>
      <c r="BH878" s="5"/>
      <c r="BJ878" s="40"/>
      <c r="BK878" s="5"/>
      <c r="BM878" s="40"/>
      <c r="BN878" s="5"/>
      <c r="BP878" s="40"/>
      <c r="BQ878" s="5"/>
      <c r="BS878" s="40"/>
      <c r="BT878" s="5"/>
      <c r="BV878" s="40"/>
      <c r="BW878" s="5"/>
      <c r="BY878" s="40"/>
      <c r="BZ878" s="5"/>
      <c r="CB878" s="40"/>
      <c r="CC878" s="5"/>
      <c r="CE878" s="40"/>
      <c r="CF878" s="5"/>
      <c r="CH878" s="40"/>
      <c r="CI878" s="5"/>
      <c r="CK878" s="40"/>
      <c r="CL878" s="5"/>
      <c r="CN878" s="40"/>
      <c r="CO878" s="5"/>
      <c r="CQ878" s="40"/>
      <c r="CR878" s="5"/>
    </row>
    <row r="879">
      <c r="AL879" s="40"/>
      <c r="AM879" s="5"/>
      <c r="AO879" s="40"/>
      <c r="AP879" s="5"/>
      <c r="AR879" s="40"/>
      <c r="AS879" s="5"/>
      <c r="AU879" s="40"/>
      <c r="AV879" s="5"/>
      <c r="AX879" s="40"/>
      <c r="AY879" s="5"/>
      <c r="BA879" s="40"/>
      <c r="BB879" s="5"/>
      <c r="BD879" s="40"/>
      <c r="BE879" s="5"/>
      <c r="BG879" s="40"/>
      <c r="BH879" s="5"/>
      <c r="BJ879" s="40"/>
      <c r="BK879" s="5"/>
      <c r="BM879" s="40"/>
      <c r="BN879" s="5"/>
      <c r="BP879" s="40"/>
      <c r="BQ879" s="5"/>
      <c r="BS879" s="40"/>
      <c r="BT879" s="5"/>
      <c r="BV879" s="40"/>
      <c r="BW879" s="5"/>
      <c r="BY879" s="40"/>
      <c r="BZ879" s="5"/>
      <c r="CB879" s="40"/>
      <c r="CC879" s="5"/>
      <c r="CE879" s="40"/>
      <c r="CF879" s="5"/>
      <c r="CH879" s="40"/>
      <c r="CI879" s="5"/>
      <c r="CK879" s="40"/>
      <c r="CL879" s="5"/>
      <c r="CN879" s="40"/>
      <c r="CO879" s="5"/>
      <c r="CQ879" s="40"/>
      <c r="CR879" s="5"/>
    </row>
    <row r="880">
      <c r="AL880" s="40"/>
      <c r="AM880" s="5"/>
      <c r="AO880" s="40"/>
      <c r="AP880" s="5"/>
      <c r="AR880" s="40"/>
      <c r="AS880" s="5"/>
      <c r="AU880" s="40"/>
      <c r="AV880" s="5"/>
      <c r="AX880" s="40"/>
      <c r="AY880" s="5"/>
      <c r="BA880" s="40"/>
      <c r="BB880" s="5"/>
      <c r="BD880" s="40"/>
      <c r="BE880" s="5"/>
      <c r="BG880" s="40"/>
      <c r="BH880" s="5"/>
      <c r="BJ880" s="40"/>
      <c r="BK880" s="5"/>
      <c r="BM880" s="40"/>
      <c r="BN880" s="5"/>
      <c r="BP880" s="40"/>
      <c r="BQ880" s="5"/>
      <c r="BS880" s="40"/>
      <c r="BT880" s="5"/>
      <c r="BV880" s="40"/>
      <c r="BW880" s="5"/>
      <c r="BY880" s="40"/>
      <c r="BZ880" s="5"/>
      <c r="CB880" s="40"/>
      <c r="CC880" s="5"/>
      <c r="CE880" s="40"/>
      <c r="CF880" s="5"/>
      <c r="CH880" s="40"/>
      <c r="CI880" s="5"/>
      <c r="CK880" s="40"/>
      <c r="CL880" s="5"/>
      <c r="CN880" s="40"/>
      <c r="CO880" s="5"/>
      <c r="CQ880" s="40"/>
      <c r="CR880" s="5"/>
    </row>
    <row r="881">
      <c r="AL881" s="40"/>
      <c r="AM881" s="5"/>
      <c r="AO881" s="40"/>
      <c r="AP881" s="5"/>
      <c r="AR881" s="40"/>
      <c r="AS881" s="5"/>
      <c r="AU881" s="40"/>
      <c r="AV881" s="5"/>
      <c r="AX881" s="40"/>
      <c r="AY881" s="5"/>
      <c r="BA881" s="40"/>
      <c r="BB881" s="5"/>
      <c r="BD881" s="40"/>
      <c r="BE881" s="5"/>
      <c r="BG881" s="40"/>
      <c r="BH881" s="5"/>
      <c r="BJ881" s="40"/>
      <c r="BK881" s="5"/>
      <c r="BM881" s="40"/>
      <c r="BN881" s="5"/>
      <c r="BP881" s="40"/>
      <c r="BQ881" s="5"/>
      <c r="BS881" s="40"/>
      <c r="BT881" s="5"/>
      <c r="BV881" s="40"/>
      <c r="BW881" s="5"/>
      <c r="BY881" s="40"/>
      <c r="BZ881" s="5"/>
      <c r="CB881" s="40"/>
      <c r="CC881" s="5"/>
      <c r="CE881" s="40"/>
      <c r="CF881" s="5"/>
      <c r="CH881" s="40"/>
      <c r="CI881" s="5"/>
      <c r="CK881" s="40"/>
      <c r="CL881" s="5"/>
      <c r="CN881" s="40"/>
      <c r="CO881" s="5"/>
      <c r="CQ881" s="40"/>
      <c r="CR881" s="5"/>
    </row>
    <row r="882">
      <c r="AL882" s="40"/>
      <c r="AM882" s="5"/>
      <c r="AO882" s="40"/>
      <c r="AP882" s="5"/>
      <c r="AR882" s="40"/>
      <c r="AS882" s="5"/>
      <c r="AU882" s="40"/>
      <c r="AV882" s="5"/>
      <c r="AX882" s="40"/>
      <c r="AY882" s="5"/>
      <c r="BA882" s="40"/>
      <c r="BB882" s="5"/>
      <c r="BD882" s="40"/>
      <c r="BE882" s="5"/>
      <c r="BG882" s="40"/>
      <c r="BH882" s="5"/>
      <c r="BJ882" s="40"/>
      <c r="BK882" s="5"/>
      <c r="BM882" s="40"/>
      <c r="BN882" s="5"/>
      <c r="BP882" s="40"/>
      <c r="BQ882" s="5"/>
      <c r="BS882" s="40"/>
      <c r="BT882" s="5"/>
      <c r="BV882" s="40"/>
      <c r="BW882" s="5"/>
      <c r="BY882" s="40"/>
      <c r="BZ882" s="5"/>
      <c r="CB882" s="40"/>
      <c r="CC882" s="5"/>
      <c r="CE882" s="40"/>
      <c r="CF882" s="5"/>
      <c r="CH882" s="40"/>
      <c r="CI882" s="5"/>
      <c r="CK882" s="40"/>
      <c r="CL882" s="5"/>
      <c r="CN882" s="40"/>
      <c r="CO882" s="5"/>
      <c r="CQ882" s="40"/>
      <c r="CR882" s="5"/>
    </row>
    <row r="883">
      <c r="AL883" s="40"/>
      <c r="AM883" s="5"/>
      <c r="AO883" s="40"/>
      <c r="AP883" s="5"/>
      <c r="AR883" s="40"/>
      <c r="AS883" s="5"/>
      <c r="AU883" s="40"/>
      <c r="AV883" s="5"/>
      <c r="AX883" s="40"/>
      <c r="AY883" s="5"/>
      <c r="BA883" s="40"/>
      <c r="BB883" s="5"/>
      <c r="BD883" s="40"/>
      <c r="BE883" s="5"/>
      <c r="BG883" s="40"/>
      <c r="BH883" s="5"/>
      <c r="BJ883" s="40"/>
      <c r="BK883" s="5"/>
      <c r="BM883" s="40"/>
      <c r="BN883" s="5"/>
      <c r="BP883" s="40"/>
      <c r="BQ883" s="5"/>
      <c r="BS883" s="40"/>
      <c r="BT883" s="5"/>
      <c r="BV883" s="40"/>
      <c r="BW883" s="5"/>
      <c r="BY883" s="40"/>
      <c r="BZ883" s="5"/>
      <c r="CB883" s="40"/>
      <c r="CC883" s="5"/>
      <c r="CE883" s="40"/>
      <c r="CF883" s="5"/>
      <c r="CH883" s="40"/>
      <c r="CI883" s="5"/>
      <c r="CK883" s="40"/>
      <c r="CL883" s="5"/>
      <c r="CN883" s="40"/>
      <c r="CO883" s="5"/>
      <c r="CQ883" s="40"/>
      <c r="CR883" s="5"/>
    </row>
    <row r="884">
      <c r="AL884" s="40"/>
      <c r="AM884" s="5"/>
      <c r="AO884" s="40"/>
      <c r="AP884" s="5"/>
      <c r="AR884" s="40"/>
      <c r="AS884" s="5"/>
      <c r="AU884" s="40"/>
      <c r="AV884" s="5"/>
      <c r="AX884" s="40"/>
      <c r="AY884" s="5"/>
      <c r="BA884" s="40"/>
      <c r="BB884" s="5"/>
      <c r="BD884" s="40"/>
      <c r="BE884" s="5"/>
      <c r="BG884" s="40"/>
      <c r="BH884" s="5"/>
      <c r="BJ884" s="40"/>
      <c r="BK884" s="5"/>
      <c r="BM884" s="40"/>
      <c r="BN884" s="5"/>
      <c r="BP884" s="40"/>
      <c r="BQ884" s="5"/>
      <c r="BS884" s="40"/>
      <c r="BT884" s="5"/>
      <c r="BV884" s="40"/>
      <c r="BW884" s="5"/>
      <c r="BY884" s="40"/>
      <c r="BZ884" s="5"/>
      <c r="CB884" s="40"/>
      <c r="CC884" s="5"/>
      <c r="CE884" s="40"/>
      <c r="CF884" s="5"/>
      <c r="CH884" s="40"/>
      <c r="CI884" s="5"/>
      <c r="CK884" s="40"/>
      <c r="CL884" s="5"/>
      <c r="CN884" s="40"/>
      <c r="CO884" s="5"/>
      <c r="CQ884" s="40"/>
      <c r="CR884" s="5"/>
    </row>
    <row r="885">
      <c r="AL885" s="40"/>
      <c r="AM885" s="5"/>
      <c r="AO885" s="40"/>
      <c r="AP885" s="5"/>
      <c r="AR885" s="40"/>
      <c r="AS885" s="5"/>
      <c r="AU885" s="40"/>
      <c r="AV885" s="5"/>
      <c r="AX885" s="40"/>
      <c r="AY885" s="5"/>
      <c r="BA885" s="40"/>
      <c r="BB885" s="5"/>
      <c r="BD885" s="40"/>
      <c r="BE885" s="5"/>
      <c r="BG885" s="40"/>
      <c r="BH885" s="5"/>
      <c r="BJ885" s="40"/>
      <c r="BK885" s="5"/>
      <c r="BM885" s="40"/>
      <c r="BN885" s="5"/>
      <c r="BP885" s="40"/>
      <c r="BQ885" s="5"/>
      <c r="BS885" s="40"/>
      <c r="BT885" s="5"/>
      <c r="BV885" s="40"/>
      <c r="BW885" s="5"/>
      <c r="BY885" s="40"/>
      <c r="BZ885" s="5"/>
      <c r="CB885" s="40"/>
      <c r="CC885" s="5"/>
      <c r="CE885" s="40"/>
      <c r="CF885" s="5"/>
      <c r="CH885" s="40"/>
      <c r="CI885" s="5"/>
      <c r="CK885" s="40"/>
      <c r="CL885" s="5"/>
      <c r="CN885" s="40"/>
      <c r="CO885" s="5"/>
      <c r="CQ885" s="40"/>
      <c r="CR885" s="5"/>
    </row>
    <row r="886">
      <c r="AL886" s="40"/>
      <c r="AM886" s="5"/>
      <c r="AO886" s="40"/>
      <c r="AP886" s="5"/>
      <c r="AR886" s="40"/>
      <c r="AS886" s="5"/>
      <c r="AU886" s="40"/>
      <c r="AV886" s="5"/>
      <c r="AX886" s="40"/>
      <c r="AY886" s="5"/>
      <c r="BA886" s="40"/>
      <c r="BB886" s="5"/>
      <c r="BD886" s="40"/>
      <c r="BE886" s="5"/>
      <c r="BG886" s="40"/>
      <c r="BH886" s="5"/>
      <c r="BJ886" s="40"/>
      <c r="BK886" s="5"/>
      <c r="BM886" s="40"/>
      <c r="BN886" s="5"/>
      <c r="BP886" s="40"/>
      <c r="BQ886" s="5"/>
      <c r="BS886" s="40"/>
      <c r="BT886" s="5"/>
      <c r="BV886" s="40"/>
      <c r="BW886" s="5"/>
      <c r="BY886" s="40"/>
      <c r="BZ886" s="5"/>
      <c r="CB886" s="40"/>
      <c r="CC886" s="5"/>
      <c r="CE886" s="40"/>
      <c r="CF886" s="5"/>
      <c r="CH886" s="40"/>
      <c r="CI886" s="5"/>
      <c r="CK886" s="40"/>
      <c r="CL886" s="5"/>
      <c r="CN886" s="40"/>
      <c r="CO886" s="5"/>
      <c r="CQ886" s="40"/>
      <c r="CR886" s="5"/>
    </row>
    <row r="887">
      <c r="AL887" s="40"/>
      <c r="AM887" s="5"/>
      <c r="AO887" s="40"/>
      <c r="AP887" s="5"/>
      <c r="AR887" s="40"/>
      <c r="AS887" s="5"/>
      <c r="AU887" s="40"/>
      <c r="AV887" s="5"/>
      <c r="AX887" s="40"/>
      <c r="AY887" s="5"/>
      <c r="BA887" s="40"/>
      <c r="BB887" s="5"/>
      <c r="BD887" s="40"/>
      <c r="BE887" s="5"/>
      <c r="BG887" s="40"/>
      <c r="BH887" s="5"/>
      <c r="BJ887" s="40"/>
      <c r="BK887" s="5"/>
      <c r="BM887" s="40"/>
      <c r="BN887" s="5"/>
      <c r="BP887" s="40"/>
      <c r="BQ887" s="5"/>
      <c r="BS887" s="40"/>
      <c r="BT887" s="5"/>
      <c r="BV887" s="40"/>
      <c r="BW887" s="5"/>
      <c r="BY887" s="40"/>
      <c r="BZ887" s="5"/>
      <c r="CB887" s="40"/>
      <c r="CC887" s="5"/>
      <c r="CE887" s="40"/>
      <c r="CF887" s="5"/>
      <c r="CH887" s="40"/>
      <c r="CI887" s="5"/>
      <c r="CK887" s="40"/>
      <c r="CL887" s="5"/>
      <c r="CN887" s="40"/>
      <c r="CO887" s="5"/>
      <c r="CQ887" s="40"/>
      <c r="CR887" s="5"/>
    </row>
    <row r="888">
      <c r="AL888" s="40"/>
      <c r="AM888" s="5"/>
      <c r="AO888" s="40"/>
      <c r="AP888" s="5"/>
      <c r="AR888" s="40"/>
      <c r="AS888" s="5"/>
      <c r="AU888" s="40"/>
      <c r="AV888" s="5"/>
      <c r="AX888" s="40"/>
      <c r="AY888" s="5"/>
      <c r="BA888" s="40"/>
      <c r="BB888" s="5"/>
      <c r="BD888" s="40"/>
      <c r="BE888" s="5"/>
      <c r="BG888" s="40"/>
      <c r="BH888" s="5"/>
      <c r="BJ888" s="40"/>
      <c r="BK888" s="5"/>
      <c r="BM888" s="40"/>
      <c r="BN888" s="5"/>
      <c r="BP888" s="40"/>
      <c r="BQ888" s="5"/>
      <c r="BS888" s="40"/>
      <c r="BT888" s="5"/>
      <c r="BV888" s="40"/>
      <c r="BW888" s="5"/>
      <c r="BY888" s="40"/>
      <c r="BZ888" s="5"/>
      <c r="CB888" s="40"/>
      <c r="CC888" s="5"/>
      <c r="CE888" s="40"/>
      <c r="CF888" s="5"/>
      <c r="CH888" s="40"/>
      <c r="CI888" s="5"/>
      <c r="CK888" s="40"/>
      <c r="CL888" s="5"/>
      <c r="CN888" s="40"/>
      <c r="CO888" s="5"/>
      <c r="CQ888" s="40"/>
      <c r="CR888" s="5"/>
    </row>
    <row r="889">
      <c r="AL889" s="40"/>
      <c r="AM889" s="5"/>
      <c r="AO889" s="40"/>
      <c r="AP889" s="5"/>
      <c r="AR889" s="40"/>
      <c r="AS889" s="5"/>
      <c r="AU889" s="40"/>
      <c r="AV889" s="5"/>
      <c r="AX889" s="40"/>
      <c r="AY889" s="5"/>
      <c r="BA889" s="40"/>
      <c r="BB889" s="5"/>
      <c r="BD889" s="40"/>
      <c r="BE889" s="5"/>
      <c r="BG889" s="40"/>
      <c r="BH889" s="5"/>
      <c r="BJ889" s="40"/>
      <c r="BK889" s="5"/>
      <c r="BM889" s="40"/>
      <c r="BN889" s="5"/>
      <c r="BP889" s="40"/>
      <c r="BQ889" s="5"/>
      <c r="BS889" s="40"/>
      <c r="BT889" s="5"/>
      <c r="BV889" s="40"/>
      <c r="BW889" s="5"/>
      <c r="BY889" s="40"/>
      <c r="BZ889" s="5"/>
      <c r="CB889" s="40"/>
      <c r="CC889" s="5"/>
      <c r="CE889" s="40"/>
      <c r="CF889" s="5"/>
      <c r="CH889" s="40"/>
      <c r="CI889" s="5"/>
      <c r="CK889" s="40"/>
      <c r="CL889" s="5"/>
      <c r="CN889" s="40"/>
      <c r="CO889" s="5"/>
      <c r="CQ889" s="40"/>
      <c r="CR889" s="5"/>
    </row>
    <row r="890">
      <c r="AL890" s="40"/>
      <c r="AM890" s="5"/>
      <c r="AO890" s="40"/>
      <c r="AP890" s="5"/>
      <c r="AR890" s="40"/>
      <c r="AS890" s="5"/>
      <c r="AU890" s="40"/>
      <c r="AV890" s="5"/>
      <c r="AX890" s="40"/>
      <c r="AY890" s="5"/>
      <c r="BA890" s="40"/>
      <c r="BB890" s="5"/>
      <c r="BD890" s="40"/>
      <c r="BE890" s="5"/>
      <c r="BG890" s="40"/>
      <c r="BH890" s="5"/>
      <c r="BJ890" s="40"/>
      <c r="BK890" s="5"/>
      <c r="BM890" s="40"/>
      <c r="BN890" s="5"/>
      <c r="BP890" s="40"/>
      <c r="BQ890" s="5"/>
      <c r="BS890" s="40"/>
      <c r="BT890" s="5"/>
      <c r="BV890" s="40"/>
      <c r="BW890" s="5"/>
      <c r="BY890" s="40"/>
      <c r="BZ890" s="5"/>
      <c r="CB890" s="40"/>
      <c r="CC890" s="5"/>
      <c r="CE890" s="40"/>
      <c r="CF890" s="5"/>
      <c r="CH890" s="40"/>
      <c r="CI890" s="5"/>
      <c r="CK890" s="40"/>
      <c r="CL890" s="5"/>
      <c r="CN890" s="40"/>
      <c r="CO890" s="5"/>
      <c r="CQ890" s="40"/>
      <c r="CR890" s="5"/>
    </row>
    <row r="891">
      <c r="AL891" s="40"/>
      <c r="AM891" s="5"/>
      <c r="AO891" s="40"/>
      <c r="AP891" s="5"/>
      <c r="AR891" s="40"/>
      <c r="AS891" s="5"/>
      <c r="AU891" s="40"/>
      <c r="AV891" s="5"/>
      <c r="AX891" s="40"/>
      <c r="AY891" s="5"/>
      <c r="BA891" s="40"/>
      <c r="BB891" s="5"/>
      <c r="BD891" s="40"/>
      <c r="BE891" s="5"/>
      <c r="BG891" s="40"/>
      <c r="BH891" s="5"/>
      <c r="BJ891" s="40"/>
      <c r="BK891" s="5"/>
      <c r="BM891" s="40"/>
      <c r="BN891" s="5"/>
      <c r="BP891" s="40"/>
      <c r="BQ891" s="5"/>
      <c r="BS891" s="40"/>
      <c r="BT891" s="5"/>
      <c r="BV891" s="40"/>
      <c r="BW891" s="5"/>
      <c r="BY891" s="40"/>
      <c r="BZ891" s="5"/>
      <c r="CB891" s="40"/>
      <c r="CC891" s="5"/>
      <c r="CE891" s="40"/>
      <c r="CF891" s="5"/>
      <c r="CH891" s="40"/>
      <c r="CI891" s="5"/>
      <c r="CK891" s="40"/>
      <c r="CL891" s="5"/>
      <c r="CN891" s="40"/>
      <c r="CO891" s="5"/>
      <c r="CQ891" s="40"/>
      <c r="CR891" s="5"/>
    </row>
    <row r="892">
      <c r="AL892" s="40"/>
      <c r="AM892" s="5"/>
      <c r="AO892" s="40"/>
      <c r="AP892" s="5"/>
      <c r="AR892" s="40"/>
      <c r="AS892" s="5"/>
      <c r="AU892" s="40"/>
      <c r="AV892" s="5"/>
      <c r="AX892" s="40"/>
      <c r="AY892" s="5"/>
      <c r="BA892" s="40"/>
      <c r="BB892" s="5"/>
      <c r="BD892" s="40"/>
      <c r="BE892" s="5"/>
      <c r="BG892" s="40"/>
      <c r="BH892" s="5"/>
      <c r="BJ892" s="40"/>
      <c r="BK892" s="5"/>
      <c r="BM892" s="40"/>
      <c r="BN892" s="5"/>
      <c r="BP892" s="40"/>
      <c r="BQ892" s="5"/>
      <c r="BS892" s="40"/>
      <c r="BT892" s="5"/>
      <c r="BV892" s="40"/>
      <c r="BW892" s="5"/>
      <c r="BY892" s="40"/>
      <c r="BZ892" s="5"/>
      <c r="CB892" s="40"/>
      <c r="CC892" s="5"/>
      <c r="CE892" s="40"/>
      <c r="CF892" s="5"/>
      <c r="CH892" s="40"/>
      <c r="CI892" s="5"/>
      <c r="CK892" s="40"/>
      <c r="CL892" s="5"/>
      <c r="CN892" s="40"/>
      <c r="CO892" s="5"/>
      <c r="CQ892" s="40"/>
      <c r="CR892" s="5"/>
    </row>
    <row r="893">
      <c r="AL893" s="40"/>
      <c r="AM893" s="5"/>
      <c r="AO893" s="40"/>
      <c r="AP893" s="5"/>
      <c r="AR893" s="40"/>
      <c r="AS893" s="5"/>
      <c r="AU893" s="40"/>
      <c r="AV893" s="5"/>
      <c r="AX893" s="40"/>
      <c r="AY893" s="5"/>
      <c r="BA893" s="40"/>
      <c r="BB893" s="5"/>
      <c r="BD893" s="40"/>
      <c r="BE893" s="5"/>
      <c r="BG893" s="40"/>
      <c r="BH893" s="5"/>
      <c r="BJ893" s="40"/>
      <c r="BK893" s="5"/>
      <c r="BM893" s="40"/>
      <c r="BN893" s="5"/>
      <c r="BP893" s="40"/>
      <c r="BQ893" s="5"/>
      <c r="BS893" s="40"/>
      <c r="BT893" s="5"/>
      <c r="BV893" s="40"/>
      <c r="BW893" s="5"/>
      <c r="BY893" s="40"/>
      <c r="BZ893" s="5"/>
      <c r="CB893" s="40"/>
      <c r="CC893" s="5"/>
      <c r="CE893" s="40"/>
      <c r="CF893" s="5"/>
      <c r="CH893" s="40"/>
      <c r="CI893" s="5"/>
      <c r="CK893" s="40"/>
      <c r="CL893" s="5"/>
      <c r="CN893" s="40"/>
      <c r="CO893" s="5"/>
      <c r="CQ893" s="40"/>
      <c r="CR893" s="5"/>
    </row>
    <row r="894">
      <c r="AL894" s="40"/>
      <c r="AM894" s="5"/>
      <c r="AO894" s="40"/>
      <c r="AP894" s="5"/>
      <c r="AR894" s="40"/>
      <c r="AS894" s="5"/>
      <c r="AU894" s="40"/>
      <c r="AV894" s="5"/>
      <c r="AX894" s="40"/>
      <c r="AY894" s="5"/>
      <c r="BA894" s="40"/>
      <c r="BB894" s="5"/>
      <c r="BD894" s="40"/>
      <c r="BE894" s="5"/>
      <c r="BG894" s="40"/>
      <c r="BH894" s="5"/>
      <c r="BJ894" s="40"/>
      <c r="BK894" s="5"/>
      <c r="BM894" s="40"/>
      <c r="BN894" s="5"/>
      <c r="BP894" s="40"/>
      <c r="BQ894" s="5"/>
      <c r="BS894" s="40"/>
      <c r="BT894" s="5"/>
      <c r="BV894" s="40"/>
      <c r="BW894" s="5"/>
      <c r="BY894" s="40"/>
      <c r="BZ894" s="5"/>
      <c r="CB894" s="40"/>
      <c r="CC894" s="5"/>
      <c r="CE894" s="40"/>
      <c r="CF894" s="5"/>
      <c r="CH894" s="40"/>
      <c r="CI894" s="5"/>
      <c r="CK894" s="40"/>
      <c r="CL894" s="5"/>
      <c r="CN894" s="40"/>
      <c r="CO894" s="5"/>
      <c r="CQ894" s="40"/>
      <c r="CR894" s="5"/>
    </row>
    <row r="895">
      <c r="AL895" s="40"/>
      <c r="AM895" s="5"/>
      <c r="AO895" s="40"/>
      <c r="AP895" s="5"/>
      <c r="AR895" s="40"/>
      <c r="AS895" s="5"/>
      <c r="AU895" s="40"/>
      <c r="AV895" s="5"/>
      <c r="AX895" s="40"/>
      <c r="AY895" s="5"/>
      <c r="BA895" s="40"/>
      <c r="BB895" s="5"/>
      <c r="BD895" s="40"/>
      <c r="BE895" s="5"/>
      <c r="BG895" s="40"/>
      <c r="BH895" s="5"/>
      <c r="BJ895" s="40"/>
      <c r="BK895" s="5"/>
      <c r="BM895" s="40"/>
      <c r="BN895" s="5"/>
      <c r="BP895" s="40"/>
      <c r="BQ895" s="5"/>
      <c r="BS895" s="40"/>
      <c r="BT895" s="5"/>
      <c r="BV895" s="40"/>
      <c r="BW895" s="5"/>
      <c r="BY895" s="40"/>
      <c r="BZ895" s="5"/>
      <c r="CB895" s="40"/>
      <c r="CC895" s="5"/>
      <c r="CE895" s="40"/>
      <c r="CF895" s="5"/>
      <c r="CH895" s="40"/>
      <c r="CI895" s="5"/>
      <c r="CK895" s="40"/>
      <c r="CL895" s="5"/>
      <c r="CN895" s="40"/>
      <c r="CO895" s="5"/>
      <c r="CQ895" s="40"/>
      <c r="CR895" s="5"/>
    </row>
    <row r="896">
      <c r="AL896" s="40"/>
      <c r="AM896" s="5"/>
      <c r="AO896" s="40"/>
      <c r="AP896" s="5"/>
      <c r="AR896" s="40"/>
      <c r="AS896" s="5"/>
      <c r="AU896" s="40"/>
      <c r="AV896" s="5"/>
      <c r="AX896" s="40"/>
      <c r="AY896" s="5"/>
      <c r="BA896" s="40"/>
      <c r="BB896" s="5"/>
      <c r="BD896" s="40"/>
      <c r="BE896" s="5"/>
      <c r="BG896" s="40"/>
      <c r="BH896" s="5"/>
      <c r="BJ896" s="40"/>
      <c r="BK896" s="5"/>
      <c r="BM896" s="40"/>
      <c r="BN896" s="5"/>
      <c r="BP896" s="40"/>
      <c r="BQ896" s="5"/>
      <c r="BS896" s="40"/>
      <c r="BT896" s="5"/>
      <c r="BV896" s="40"/>
      <c r="BW896" s="5"/>
      <c r="BY896" s="40"/>
      <c r="BZ896" s="5"/>
      <c r="CB896" s="40"/>
      <c r="CC896" s="5"/>
      <c r="CE896" s="40"/>
      <c r="CF896" s="5"/>
      <c r="CH896" s="40"/>
      <c r="CI896" s="5"/>
      <c r="CK896" s="40"/>
      <c r="CL896" s="5"/>
      <c r="CN896" s="40"/>
      <c r="CO896" s="5"/>
      <c r="CQ896" s="40"/>
      <c r="CR896" s="5"/>
    </row>
    <row r="897">
      <c r="AL897" s="40"/>
      <c r="AM897" s="5"/>
      <c r="AO897" s="40"/>
      <c r="AP897" s="5"/>
      <c r="AR897" s="40"/>
      <c r="AS897" s="5"/>
      <c r="AU897" s="40"/>
      <c r="AV897" s="5"/>
      <c r="AX897" s="40"/>
      <c r="AY897" s="5"/>
      <c r="BA897" s="40"/>
      <c r="BB897" s="5"/>
      <c r="BD897" s="40"/>
      <c r="BE897" s="5"/>
      <c r="BG897" s="40"/>
      <c r="BH897" s="5"/>
      <c r="BJ897" s="40"/>
      <c r="BK897" s="5"/>
      <c r="BM897" s="40"/>
      <c r="BN897" s="5"/>
      <c r="BP897" s="40"/>
      <c r="BQ897" s="5"/>
      <c r="BS897" s="40"/>
      <c r="BT897" s="5"/>
      <c r="BV897" s="40"/>
      <c r="BW897" s="5"/>
      <c r="BY897" s="40"/>
      <c r="BZ897" s="5"/>
      <c r="CB897" s="40"/>
      <c r="CC897" s="5"/>
      <c r="CE897" s="40"/>
      <c r="CF897" s="5"/>
      <c r="CH897" s="40"/>
      <c r="CI897" s="5"/>
      <c r="CK897" s="40"/>
      <c r="CL897" s="5"/>
      <c r="CN897" s="40"/>
      <c r="CO897" s="5"/>
      <c r="CQ897" s="40"/>
      <c r="CR897" s="5"/>
    </row>
    <row r="898">
      <c r="AL898" s="40"/>
      <c r="AM898" s="5"/>
      <c r="AO898" s="40"/>
      <c r="AP898" s="5"/>
      <c r="AR898" s="40"/>
      <c r="AS898" s="5"/>
      <c r="AU898" s="40"/>
      <c r="AV898" s="5"/>
      <c r="AX898" s="40"/>
      <c r="AY898" s="5"/>
      <c r="BA898" s="40"/>
      <c r="BB898" s="5"/>
      <c r="BD898" s="40"/>
      <c r="BE898" s="5"/>
      <c r="BG898" s="40"/>
      <c r="BH898" s="5"/>
      <c r="BJ898" s="40"/>
      <c r="BK898" s="5"/>
      <c r="BM898" s="40"/>
      <c r="BN898" s="5"/>
      <c r="BP898" s="40"/>
      <c r="BQ898" s="5"/>
      <c r="BS898" s="40"/>
      <c r="BT898" s="5"/>
      <c r="BV898" s="40"/>
      <c r="BW898" s="5"/>
      <c r="BY898" s="40"/>
      <c r="BZ898" s="5"/>
      <c r="CB898" s="40"/>
      <c r="CC898" s="5"/>
      <c r="CE898" s="40"/>
      <c r="CF898" s="5"/>
      <c r="CH898" s="40"/>
      <c r="CI898" s="5"/>
      <c r="CK898" s="40"/>
      <c r="CL898" s="5"/>
      <c r="CN898" s="40"/>
      <c r="CO898" s="5"/>
      <c r="CQ898" s="40"/>
      <c r="CR898" s="5"/>
    </row>
    <row r="899">
      <c r="AL899" s="40"/>
      <c r="AM899" s="5"/>
      <c r="AO899" s="40"/>
      <c r="AP899" s="5"/>
      <c r="AR899" s="40"/>
      <c r="AS899" s="5"/>
      <c r="AU899" s="40"/>
      <c r="AV899" s="5"/>
      <c r="AX899" s="40"/>
      <c r="AY899" s="5"/>
      <c r="BA899" s="40"/>
      <c r="BB899" s="5"/>
      <c r="BD899" s="40"/>
      <c r="BE899" s="5"/>
      <c r="BG899" s="40"/>
      <c r="BH899" s="5"/>
      <c r="BJ899" s="40"/>
      <c r="BK899" s="5"/>
      <c r="BM899" s="40"/>
      <c r="BN899" s="5"/>
      <c r="BP899" s="40"/>
      <c r="BQ899" s="5"/>
      <c r="BS899" s="40"/>
      <c r="BT899" s="5"/>
      <c r="BV899" s="40"/>
      <c r="BW899" s="5"/>
      <c r="BY899" s="40"/>
      <c r="BZ899" s="5"/>
      <c r="CB899" s="40"/>
      <c r="CC899" s="5"/>
      <c r="CE899" s="40"/>
      <c r="CF899" s="5"/>
      <c r="CH899" s="40"/>
      <c r="CI899" s="5"/>
      <c r="CK899" s="40"/>
      <c r="CL899" s="5"/>
      <c r="CN899" s="40"/>
      <c r="CO899" s="5"/>
      <c r="CQ899" s="40"/>
      <c r="CR899" s="5"/>
    </row>
    <row r="900">
      <c r="AL900" s="40"/>
      <c r="AM900" s="5"/>
      <c r="AO900" s="40"/>
      <c r="AP900" s="5"/>
      <c r="AR900" s="40"/>
      <c r="AS900" s="5"/>
      <c r="AU900" s="40"/>
      <c r="AV900" s="5"/>
      <c r="AX900" s="40"/>
      <c r="AY900" s="5"/>
      <c r="BA900" s="40"/>
      <c r="BB900" s="5"/>
      <c r="BD900" s="40"/>
      <c r="BE900" s="5"/>
      <c r="BG900" s="40"/>
      <c r="BH900" s="5"/>
      <c r="BJ900" s="40"/>
      <c r="BK900" s="5"/>
      <c r="BM900" s="40"/>
      <c r="BN900" s="5"/>
      <c r="BP900" s="40"/>
      <c r="BQ900" s="5"/>
      <c r="BS900" s="40"/>
      <c r="BT900" s="5"/>
      <c r="BV900" s="40"/>
      <c r="BW900" s="5"/>
      <c r="BY900" s="40"/>
      <c r="BZ900" s="5"/>
      <c r="CB900" s="40"/>
      <c r="CC900" s="5"/>
      <c r="CE900" s="40"/>
      <c r="CF900" s="5"/>
      <c r="CH900" s="40"/>
      <c r="CI900" s="5"/>
      <c r="CK900" s="40"/>
      <c r="CL900" s="5"/>
      <c r="CN900" s="40"/>
      <c r="CO900" s="5"/>
      <c r="CQ900" s="40"/>
      <c r="CR900" s="5"/>
    </row>
    <row r="901">
      <c r="AL901" s="40"/>
      <c r="AM901" s="5"/>
      <c r="AO901" s="40"/>
      <c r="AP901" s="5"/>
      <c r="AR901" s="40"/>
      <c r="AS901" s="5"/>
      <c r="AU901" s="40"/>
      <c r="AV901" s="5"/>
      <c r="AX901" s="40"/>
      <c r="AY901" s="5"/>
      <c r="BA901" s="40"/>
      <c r="BB901" s="5"/>
      <c r="BD901" s="40"/>
      <c r="BE901" s="5"/>
      <c r="BG901" s="40"/>
      <c r="BH901" s="5"/>
      <c r="BJ901" s="40"/>
      <c r="BK901" s="5"/>
      <c r="BM901" s="40"/>
      <c r="BN901" s="5"/>
      <c r="BP901" s="40"/>
      <c r="BQ901" s="5"/>
      <c r="BS901" s="40"/>
      <c r="BT901" s="5"/>
      <c r="BV901" s="40"/>
      <c r="BW901" s="5"/>
      <c r="BY901" s="40"/>
      <c r="BZ901" s="5"/>
      <c r="CB901" s="40"/>
      <c r="CC901" s="5"/>
      <c r="CE901" s="40"/>
      <c r="CF901" s="5"/>
      <c r="CH901" s="40"/>
      <c r="CI901" s="5"/>
      <c r="CK901" s="40"/>
      <c r="CL901" s="5"/>
      <c r="CN901" s="40"/>
      <c r="CO901" s="5"/>
      <c r="CQ901" s="40"/>
      <c r="CR901" s="5"/>
    </row>
    <row r="902">
      <c r="AL902" s="40"/>
      <c r="AM902" s="5"/>
      <c r="AO902" s="40"/>
      <c r="AP902" s="5"/>
      <c r="AR902" s="40"/>
      <c r="AS902" s="5"/>
      <c r="AU902" s="40"/>
      <c r="AV902" s="5"/>
      <c r="AX902" s="40"/>
      <c r="AY902" s="5"/>
      <c r="BA902" s="40"/>
      <c r="BB902" s="5"/>
      <c r="BD902" s="40"/>
      <c r="BE902" s="5"/>
      <c r="BG902" s="40"/>
      <c r="BH902" s="5"/>
      <c r="BJ902" s="40"/>
      <c r="BK902" s="5"/>
      <c r="BM902" s="40"/>
      <c r="BN902" s="5"/>
      <c r="BP902" s="40"/>
      <c r="BQ902" s="5"/>
      <c r="BS902" s="40"/>
      <c r="BT902" s="5"/>
      <c r="BV902" s="40"/>
      <c r="BW902" s="5"/>
      <c r="BY902" s="40"/>
      <c r="BZ902" s="5"/>
      <c r="CB902" s="40"/>
      <c r="CC902" s="5"/>
      <c r="CE902" s="40"/>
      <c r="CF902" s="5"/>
      <c r="CH902" s="40"/>
      <c r="CI902" s="5"/>
      <c r="CK902" s="40"/>
      <c r="CL902" s="5"/>
      <c r="CN902" s="40"/>
      <c r="CO902" s="5"/>
      <c r="CQ902" s="40"/>
      <c r="CR902" s="5"/>
    </row>
    <row r="903">
      <c r="AL903" s="40"/>
      <c r="AM903" s="5"/>
      <c r="AO903" s="40"/>
      <c r="AP903" s="5"/>
      <c r="AR903" s="40"/>
      <c r="AS903" s="5"/>
      <c r="AU903" s="40"/>
      <c r="AV903" s="5"/>
      <c r="AX903" s="40"/>
      <c r="AY903" s="5"/>
      <c r="BA903" s="40"/>
      <c r="BB903" s="5"/>
      <c r="BD903" s="40"/>
      <c r="BE903" s="5"/>
      <c r="BG903" s="40"/>
      <c r="BH903" s="5"/>
      <c r="BJ903" s="40"/>
      <c r="BK903" s="5"/>
      <c r="BM903" s="40"/>
      <c r="BN903" s="5"/>
      <c r="BP903" s="40"/>
      <c r="BQ903" s="5"/>
      <c r="BS903" s="40"/>
      <c r="BT903" s="5"/>
      <c r="BV903" s="40"/>
      <c r="BW903" s="5"/>
      <c r="BY903" s="40"/>
      <c r="BZ903" s="5"/>
      <c r="CB903" s="40"/>
      <c r="CC903" s="5"/>
      <c r="CE903" s="40"/>
      <c r="CF903" s="5"/>
      <c r="CH903" s="40"/>
      <c r="CI903" s="5"/>
      <c r="CK903" s="40"/>
      <c r="CL903" s="5"/>
      <c r="CN903" s="40"/>
      <c r="CO903" s="5"/>
      <c r="CQ903" s="40"/>
      <c r="CR903" s="5"/>
    </row>
    <row r="904">
      <c r="AL904" s="40"/>
      <c r="AM904" s="5"/>
      <c r="AO904" s="40"/>
      <c r="AP904" s="5"/>
      <c r="AR904" s="40"/>
      <c r="AS904" s="5"/>
      <c r="AU904" s="40"/>
      <c r="AV904" s="5"/>
      <c r="AX904" s="40"/>
      <c r="AY904" s="5"/>
      <c r="BA904" s="40"/>
      <c r="BB904" s="5"/>
      <c r="BD904" s="40"/>
      <c r="BE904" s="5"/>
      <c r="BG904" s="40"/>
      <c r="BH904" s="5"/>
      <c r="BJ904" s="40"/>
      <c r="BK904" s="5"/>
      <c r="BM904" s="40"/>
      <c r="BN904" s="5"/>
      <c r="BP904" s="40"/>
      <c r="BQ904" s="5"/>
      <c r="BS904" s="40"/>
      <c r="BT904" s="5"/>
      <c r="BV904" s="40"/>
      <c r="BW904" s="5"/>
      <c r="BY904" s="40"/>
      <c r="BZ904" s="5"/>
      <c r="CB904" s="40"/>
      <c r="CC904" s="5"/>
      <c r="CE904" s="40"/>
      <c r="CF904" s="5"/>
      <c r="CH904" s="40"/>
      <c r="CI904" s="5"/>
      <c r="CK904" s="40"/>
      <c r="CL904" s="5"/>
      <c r="CN904" s="40"/>
      <c r="CO904" s="5"/>
      <c r="CQ904" s="40"/>
      <c r="CR904" s="5"/>
    </row>
    <row r="905">
      <c r="AL905" s="40"/>
      <c r="AM905" s="5"/>
      <c r="AO905" s="40"/>
      <c r="AP905" s="5"/>
      <c r="AR905" s="40"/>
      <c r="AS905" s="5"/>
      <c r="AU905" s="40"/>
      <c r="AV905" s="5"/>
      <c r="AX905" s="40"/>
      <c r="AY905" s="5"/>
      <c r="BA905" s="40"/>
      <c r="BB905" s="5"/>
      <c r="BD905" s="40"/>
      <c r="BE905" s="5"/>
      <c r="BG905" s="40"/>
      <c r="BH905" s="5"/>
      <c r="BJ905" s="40"/>
      <c r="BK905" s="5"/>
      <c r="BM905" s="40"/>
      <c r="BN905" s="5"/>
      <c r="BP905" s="40"/>
      <c r="BQ905" s="5"/>
      <c r="BS905" s="40"/>
      <c r="BT905" s="5"/>
      <c r="BV905" s="40"/>
      <c r="BW905" s="5"/>
      <c r="BY905" s="40"/>
      <c r="BZ905" s="5"/>
      <c r="CB905" s="40"/>
      <c r="CC905" s="5"/>
      <c r="CE905" s="40"/>
      <c r="CF905" s="5"/>
      <c r="CH905" s="40"/>
      <c r="CI905" s="5"/>
      <c r="CK905" s="40"/>
      <c r="CL905" s="5"/>
      <c r="CN905" s="40"/>
      <c r="CO905" s="5"/>
      <c r="CQ905" s="40"/>
      <c r="CR905" s="5"/>
    </row>
    <row r="906">
      <c r="AL906" s="40"/>
      <c r="AM906" s="5"/>
      <c r="AO906" s="40"/>
      <c r="AP906" s="5"/>
      <c r="AR906" s="40"/>
      <c r="AS906" s="5"/>
      <c r="AU906" s="40"/>
      <c r="AV906" s="5"/>
      <c r="AX906" s="40"/>
      <c r="AY906" s="5"/>
      <c r="BA906" s="40"/>
      <c r="BB906" s="5"/>
      <c r="BD906" s="40"/>
      <c r="BE906" s="5"/>
      <c r="BG906" s="40"/>
      <c r="BH906" s="5"/>
      <c r="BJ906" s="40"/>
      <c r="BK906" s="5"/>
      <c r="BM906" s="40"/>
      <c r="BN906" s="5"/>
      <c r="BP906" s="40"/>
      <c r="BQ906" s="5"/>
      <c r="BS906" s="40"/>
      <c r="BT906" s="5"/>
      <c r="BV906" s="40"/>
      <c r="BW906" s="5"/>
      <c r="BY906" s="40"/>
      <c r="BZ906" s="5"/>
      <c r="CB906" s="40"/>
      <c r="CC906" s="5"/>
      <c r="CE906" s="40"/>
      <c r="CF906" s="5"/>
      <c r="CH906" s="40"/>
      <c r="CI906" s="5"/>
      <c r="CK906" s="40"/>
      <c r="CL906" s="5"/>
      <c r="CN906" s="40"/>
      <c r="CO906" s="5"/>
      <c r="CQ906" s="40"/>
      <c r="CR906" s="5"/>
    </row>
    <row r="907">
      <c r="AL907" s="40"/>
      <c r="AM907" s="5"/>
      <c r="AO907" s="40"/>
      <c r="AP907" s="5"/>
      <c r="AR907" s="40"/>
      <c r="AS907" s="5"/>
      <c r="AU907" s="40"/>
      <c r="AV907" s="5"/>
      <c r="AX907" s="40"/>
      <c r="AY907" s="5"/>
      <c r="BA907" s="40"/>
      <c r="BB907" s="5"/>
      <c r="BD907" s="40"/>
      <c r="BE907" s="5"/>
      <c r="BG907" s="40"/>
      <c r="BH907" s="5"/>
      <c r="BJ907" s="40"/>
      <c r="BK907" s="5"/>
      <c r="BM907" s="40"/>
      <c r="BN907" s="5"/>
      <c r="BP907" s="40"/>
      <c r="BQ907" s="5"/>
      <c r="BS907" s="40"/>
      <c r="BT907" s="5"/>
      <c r="BV907" s="40"/>
      <c r="BW907" s="5"/>
      <c r="BY907" s="40"/>
      <c r="BZ907" s="5"/>
      <c r="CB907" s="40"/>
      <c r="CC907" s="5"/>
      <c r="CE907" s="40"/>
      <c r="CF907" s="5"/>
      <c r="CH907" s="40"/>
      <c r="CI907" s="5"/>
      <c r="CK907" s="40"/>
      <c r="CL907" s="5"/>
      <c r="CN907" s="40"/>
      <c r="CO907" s="5"/>
      <c r="CQ907" s="40"/>
      <c r="CR907" s="5"/>
    </row>
    <row r="908">
      <c r="AL908" s="40"/>
      <c r="AM908" s="5"/>
      <c r="AO908" s="40"/>
      <c r="AP908" s="5"/>
      <c r="AR908" s="40"/>
      <c r="AS908" s="5"/>
      <c r="AU908" s="40"/>
      <c r="AV908" s="5"/>
      <c r="AX908" s="40"/>
      <c r="AY908" s="5"/>
      <c r="BA908" s="40"/>
      <c r="BB908" s="5"/>
      <c r="BD908" s="40"/>
      <c r="BE908" s="5"/>
      <c r="BG908" s="40"/>
      <c r="BH908" s="5"/>
      <c r="BJ908" s="40"/>
      <c r="BK908" s="5"/>
      <c r="BM908" s="40"/>
      <c r="BN908" s="5"/>
      <c r="BP908" s="40"/>
      <c r="BQ908" s="5"/>
      <c r="BS908" s="40"/>
      <c r="BT908" s="5"/>
      <c r="BV908" s="40"/>
      <c r="BW908" s="5"/>
      <c r="BY908" s="40"/>
      <c r="BZ908" s="5"/>
      <c r="CB908" s="40"/>
      <c r="CC908" s="5"/>
      <c r="CE908" s="40"/>
      <c r="CF908" s="5"/>
      <c r="CH908" s="40"/>
      <c r="CI908" s="5"/>
      <c r="CK908" s="40"/>
      <c r="CL908" s="5"/>
      <c r="CN908" s="40"/>
      <c r="CO908" s="5"/>
      <c r="CQ908" s="40"/>
      <c r="CR908" s="5"/>
    </row>
    <row r="909">
      <c r="AL909" s="40"/>
      <c r="AM909" s="5"/>
      <c r="AO909" s="40"/>
      <c r="AP909" s="5"/>
      <c r="AR909" s="40"/>
      <c r="AS909" s="5"/>
      <c r="AU909" s="40"/>
      <c r="AV909" s="5"/>
      <c r="AX909" s="40"/>
      <c r="AY909" s="5"/>
      <c r="BA909" s="40"/>
      <c r="BB909" s="5"/>
      <c r="BD909" s="40"/>
      <c r="BE909" s="5"/>
      <c r="BG909" s="40"/>
      <c r="BH909" s="5"/>
      <c r="BJ909" s="40"/>
      <c r="BK909" s="5"/>
      <c r="BM909" s="40"/>
      <c r="BN909" s="5"/>
      <c r="BP909" s="40"/>
      <c r="BQ909" s="5"/>
      <c r="BS909" s="40"/>
      <c r="BT909" s="5"/>
      <c r="BV909" s="40"/>
      <c r="BW909" s="5"/>
      <c r="BY909" s="40"/>
      <c r="BZ909" s="5"/>
      <c r="CB909" s="40"/>
      <c r="CC909" s="5"/>
      <c r="CE909" s="40"/>
      <c r="CF909" s="5"/>
      <c r="CH909" s="40"/>
      <c r="CI909" s="5"/>
      <c r="CK909" s="40"/>
      <c r="CL909" s="5"/>
      <c r="CN909" s="40"/>
      <c r="CO909" s="5"/>
      <c r="CQ909" s="40"/>
      <c r="CR909" s="5"/>
    </row>
    <row r="910">
      <c r="AL910" s="40"/>
      <c r="AM910" s="5"/>
      <c r="AO910" s="40"/>
      <c r="AP910" s="5"/>
      <c r="AR910" s="40"/>
      <c r="AS910" s="5"/>
      <c r="AU910" s="40"/>
      <c r="AV910" s="5"/>
      <c r="AX910" s="40"/>
      <c r="AY910" s="5"/>
      <c r="BA910" s="40"/>
      <c r="BB910" s="5"/>
      <c r="BD910" s="40"/>
      <c r="BE910" s="5"/>
      <c r="BG910" s="40"/>
      <c r="BH910" s="5"/>
      <c r="BJ910" s="40"/>
      <c r="BK910" s="5"/>
      <c r="BM910" s="40"/>
      <c r="BN910" s="5"/>
      <c r="BP910" s="40"/>
      <c r="BQ910" s="5"/>
      <c r="BS910" s="40"/>
      <c r="BT910" s="5"/>
      <c r="BV910" s="40"/>
      <c r="BW910" s="5"/>
      <c r="BY910" s="40"/>
      <c r="BZ910" s="5"/>
      <c r="CB910" s="40"/>
      <c r="CC910" s="5"/>
      <c r="CE910" s="40"/>
      <c r="CF910" s="5"/>
      <c r="CH910" s="40"/>
      <c r="CI910" s="5"/>
      <c r="CK910" s="40"/>
      <c r="CL910" s="5"/>
      <c r="CN910" s="40"/>
      <c r="CO910" s="5"/>
      <c r="CQ910" s="40"/>
      <c r="CR910" s="5"/>
    </row>
    <row r="911">
      <c r="AL911" s="40"/>
      <c r="AM911" s="5"/>
      <c r="AO911" s="40"/>
      <c r="AP911" s="5"/>
      <c r="AR911" s="40"/>
      <c r="AS911" s="5"/>
      <c r="AU911" s="40"/>
      <c r="AV911" s="5"/>
      <c r="AX911" s="40"/>
      <c r="AY911" s="5"/>
      <c r="BA911" s="40"/>
      <c r="BB911" s="5"/>
      <c r="BD911" s="40"/>
      <c r="BE911" s="5"/>
      <c r="BG911" s="40"/>
      <c r="BH911" s="5"/>
      <c r="BJ911" s="40"/>
      <c r="BK911" s="5"/>
      <c r="BM911" s="40"/>
      <c r="BN911" s="5"/>
      <c r="BP911" s="40"/>
      <c r="BQ911" s="5"/>
      <c r="BS911" s="40"/>
      <c r="BT911" s="5"/>
      <c r="BV911" s="40"/>
      <c r="BW911" s="5"/>
      <c r="BY911" s="40"/>
      <c r="BZ911" s="5"/>
      <c r="CB911" s="40"/>
      <c r="CC911" s="5"/>
      <c r="CE911" s="40"/>
      <c r="CF911" s="5"/>
      <c r="CH911" s="40"/>
      <c r="CI911" s="5"/>
      <c r="CK911" s="40"/>
      <c r="CL911" s="5"/>
      <c r="CN911" s="40"/>
      <c r="CO911" s="5"/>
      <c r="CQ911" s="40"/>
      <c r="CR911" s="5"/>
    </row>
    <row r="912">
      <c r="AL912" s="40"/>
      <c r="AM912" s="5"/>
      <c r="AO912" s="40"/>
      <c r="AP912" s="5"/>
      <c r="AR912" s="40"/>
      <c r="AS912" s="5"/>
      <c r="AU912" s="40"/>
      <c r="AV912" s="5"/>
      <c r="AX912" s="40"/>
      <c r="AY912" s="5"/>
      <c r="BA912" s="40"/>
      <c r="BB912" s="5"/>
      <c r="BD912" s="40"/>
      <c r="BE912" s="5"/>
      <c r="BG912" s="40"/>
      <c r="BH912" s="5"/>
      <c r="BJ912" s="40"/>
      <c r="BK912" s="5"/>
      <c r="BM912" s="40"/>
      <c r="BN912" s="5"/>
      <c r="BP912" s="40"/>
      <c r="BQ912" s="5"/>
      <c r="BS912" s="40"/>
      <c r="BT912" s="5"/>
      <c r="BV912" s="40"/>
      <c r="BW912" s="5"/>
      <c r="BY912" s="40"/>
      <c r="BZ912" s="5"/>
      <c r="CB912" s="40"/>
      <c r="CC912" s="5"/>
      <c r="CE912" s="40"/>
      <c r="CF912" s="5"/>
      <c r="CH912" s="40"/>
      <c r="CI912" s="5"/>
      <c r="CK912" s="40"/>
      <c r="CL912" s="5"/>
      <c r="CN912" s="40"/>
      <c r="CO912" s="5"/>
      <c r="CQ912" s="40"/>
      <c r="CR912" s="5"/>
    </row>
    <row r="913">
      <c r="AL913" s="40"/>
      <c r="AM913" s="5"/>
      <c r="AO913" s="40"/>
      <c r="AP913" s="5"/>
      <c r="AR913" s="40"/>
      <c r="AS913" s="5"/>
      <c r="AU913" s="40"/>
      <c r="AV913" s="5"/>
      <c r="AX913" s="40"/>
      <c r="AY913" s="5"/>
      <c r="BA913" s="40"/>
      <c r="BB913" s="5"/>
      <c r="BD913" s="40"/>
      <c r="BE913" s="5"/>
      <c r="BG913" s="40"/>
      <c r="BH913" s="5"/>
      <c r="BJ913" s="40"/>
      <c r="BK913" s="5"/>
      <c r="BM913" s="40"/>
      <c r="BN913" s="5"/>
      <c r="BP913" s="40"/>
      <c r="BQ913" s="5"/>
      <c r="BS913" s="40"/>
      <c r="BT913" s="5"/>
      <c r="BV913" s="40"/>
      <c r="BW913" s="5"/>
      <c r="BY913" s="40"/>
      <c r="BZ913" s="5"/>
      <c r="CB913" s="40"/>
      <c r="CC913" s="5"/>
      <c r="CE913" s="40"/>
      <c r="CF913" s="5"/>
      <c r="CH913" s="40"/>
      <c r="CI913" s="5"/>
      <c r="CK913" s="40"/>
      <c r="CL913" s="5"/>
      <c r="CN913" s="40"/>
      <c r="CO913" s="5"/>
      <c r="CQ913" s="40"/>
      <c r="CR913" s="5"/>
    </row>
    <row r="914">
      <c r="AL914" s="40"/>
      <c r="AM914" s="5"/>
      <c r="AO914" s="40"/>
      <c r="AP914" s="5"/>
      <c r="AR914" s="40"/>
      <c r="AS914" s="5"/>
      <c r="AU914" s="40"/>
      <c r="AV914" s="5"/>
      <c r="AX914" s="40"/>
      <c r="AY914" s="5"/>
      <c r="BA914" s="40"/>
      <c r="BB914" s="5"/>
      <c r="BD914" s="40"/>
      <c r="BE914" s="5"/>
      <c r="BG914" s="40"/>
      <c r="BH914" s="5"/>
      <c r="BJ914" s="40"/>
      <c r="BK914" s="5"/>
      <c r="BM914" s="40"/>
      <c r="BN914" s="5"/>
      <c r="BP914" s="40"/>
      <c r="BQ914" s="5"/>
      <c r="BS914" s="40"/>
      <c r="BT914" s="5"/>
      <c r="BV914" s="40"/>
      <c r="BW914" s="5"/>
      <c r="BY914" s="40"/>
      <c r="BZ914" s="5"/>
      <c r="CB914" s="40"/>
      <c r="CC914" s="5"/>
      <c r="CE914" s="40"/>
      <c r="CF914" s="5"/>
      <c r="CH914" s="40"/>
      <c r="CI914" s="5"/>
      <c r="CK914" s="40"/>
      <c r="CL914" s="5"/>
      <c r="CN914" s="40"/>
      <c r="CO914" s="5"/>
      <c r="CQ914" s="40"/>
      <c r="CR914" s="5"/>
    </row>
    <row r="915">
      <c r="AL915" s="40"/>
      <c r="AM915" s="5"/>
      <c r="AO915" s="40"/>
      <c r="AP915" s="5"/>
      <c r="AR915" s="40"/>
      <c r="AS915" s="5"/>
      <c r="AU915" s="40"/>
      <c r="AV915" s="5"/>
      <c r="AX915" s="40"/>
      <c r="AY915" s="5"/>
      <c r="BA915" s="40"/>
      <c r="BB915" s="5"/>
      <c r="BD915" s="40"/>
      <c r="BE915" s="5"/>
      <c r="BG915" s="40"/>
      <c r="BH915" s="5"/>
      <c r="BJ915" s="40"/>
      <c r="BK915" s="5"/>
      <c r="BM915" s="40"/>
      <c r="BN915" s="5"/>
      <c r="BP915" s="40"/>
      <c r="BQ915" s="5"/>
      <c r="BS915" s="40"/>
      <c r="BT915" s="5"/>
      <c r="BV915" s="40"/>
      <c r="BW915" s="5"/>
      <c r="BY915" s="40"/>
      <c r="BZ915" s="5"/>
      <c r="CB915" s="40"/>
      <c r="CC915" s="5"/>
      <c r="CE915" s="40"/>
      <c r="CF915" s="5"/>
      <c r="CH915" s="40"/>
      <c r="CI915" s="5"/>
      <c r="CK915" s="40"/>
      <c r="CL915" s="5"/>
      <c r="CN915" s="40"/>
      <c r="CO915" s="5"/>
      <c r="CQ915" s="40"/>
      <c r="CR915" s="5"/>
    </row>
    <row r="916">
      <c r="AL916" s="40"/>
      <c r="AM916" s="5"/>
      <c r="AO916" s="40"/>
      <c r="AP916" s="5"/>
      <c r="AR916" s="40"/>
      <c r="AS916" s="5"/>
      <c r="AU916" s="40"/>
      <c r="AV916" s="5"/>
      <c r="AX916" s="40"/>
      <c r="AY916" s="5"/>
      <c r="BA916" s="40"/>
      <c r="BB916" s="5"/>
      <c r="BD916" s="40"/>
      <c r="BE916" s="5"/>
      <c r="BG916" s="40"/>
      <c r="BH916" s="5"/>
      <c r="BJ916" s="40"/>
      <c r="BK916" s="5"/>
      <c r="BM916" s="40"/>
      <c r="BN916" s="5"/>
      <c r="BP916" s="40"/>
      <c r="BQ916" s="5"/>
      <c r="BS916" s="40"/>
      <c r="BT916" s="5"/>
      <c r="BV916" s="40"/>
      <c r="BW916" s="5"/>
      <c r="BY916" s="40"/>
      <c r="BZ916" s="5"/>
      <c r="CB916" s="40"/>
      <c r="CC916" s="5"/>
      <c r="CE916" s="40"/>
      <c r="CF916" s="5"/>
      <c r="CH916" s="40"/>
      <c r="CI916" s="5"/>
      <c r="CK916" s="40"/>
      <c r="CL916" s="5"/>
      <c r="CN916" s="40"/>
      <c r="CO916" s="5"/>
      <c r="CQ916" s="40"/>
      <c r="CR916" s="5"/>
    </row>
    <row r="917">
      <c r="AL917" s="40"/>
      <c r="AM917" s="5"/>
      <c r="AO917" s="40"/>
      <c r="AP917" s="5"/>
      <c r="AR917" s="40"/>
      <c r="AS917" s="5"/>
      <c r="AU917" s="40"/>
      <c r="AV917" s="5"/>
      <c r="AX917" s="40"/>
      <c r="AY917" s="5"/>
      <c r="BA917" s="40"/>
      <c r="BB917" s="5"/>
      <c r="BD917" s="40"/>
      <c r="BE917" s="5"/>
      <c r="BG917" s="40"/>
      <c r="BH917" s="5"/>
      <c r="BJ917" s="40"/>
      <c r="BK917" s="5"/>
      <c r="BM917" s="40"/>
      <c r="BN917" s="5"/>
      <c r="BP917" s="40"/>
      <c r="BQ917" s="5"/>
      <c r="BS917" s="40"/>
      <c r="BT917" s="5"/>
      <c r="BV917" s="40"/>
      <c r="BW917" s="5"/>
      <c r="BY917" s="40"/>
      <c r="BZ917" s="5"/>
      <c r="CB917" s="40"/>
      <c r="CC917" s="5"/>
      <c r="CE917" s="40"/>
      <c r="CF917" s="5"/>
      <c r="CH917" s="40"/>
      <c r="CI917" s="5"/>
      <c r="CK917" s="40"/>
      <c r="CL917" s="5"/>
      <c r="CN917" s="40"/>
      <c r="CO917" s="5"/>
      <c r="CQ917" s="40"/>
      <c r="CR917" s="5"/>
    </row>
    <row r="918">
      <c r="AL918" s="40"/>
      <c r="AM918" s="5"/>
      <c r="AO918" s="40"/>
      <c r="AP918" s="5"/>
      <c r="AR918" s="40"/>
      <c r="AS918" s="5"/>
      <c r="AU918" s="40"/>
      <c r="AV918" s="5"/>
      <c r="AX918" s="40"/>
      <c r="AY918" s="5"/>
      <c r="BA918" s="40"/>
      <c r="BB918" s="5"/>
      <c r="BD918" s="40"/>
      <c r="BE918" s="5"/>
      <c r="BG918" s="40"/>
      <c r="BH918" s="5"/>
      <c r="BJ918" s="40"/>
      <c r="BK918" s="5"/>
      <c r="BM918" s="40"/>
      <c r="BN918" s="5"/>
      <c r="BP918" s="40"/>
      <c r="BQ918" s="5"/>
      <c r="BS918" s="40"/>
      <c r="BT918" s="5"/>
      <c r="BV918" s="40"/>
      <c r="BW918" s="5"/>
      <c r="BY918" s="40"/>
      <c r="BZ918" s="5"/>
      <c r="CB918" s="40"/>
      <c r="CC918" s="5"/>
      <c r="CE918" s="40"/>
      <c r="CF918" s="5"/>
      <c r="CH918" s="40"/>
      <c r="CI918" s="5"/>
      <c r="CK918" s="40"/>
      <c r="CL918" s="5"/>
      <c r="CN918" s="40"/>
      <c r="CO918" s="5"/>
      <c r="CQ918" s="40"/>
      <c r="CR918" s="5"/>
    </row>
    <row r="919">
      <c r="AL919" s="40"/>
      <c r="AM919" s="5"/>
      <c r="AO919" s="40"/>
      <c r="AP919" s="5"/>
      <c r="AR919" s="40"/>
      <c r="AS919" s="5"/>
      <c r="AU919" s="40"/>
      <c r="AV919" s="5"/>
      <c r="AX919" s="40"/>
      <c r="AY919" s="5"/>
      <c r="BA919" s="40"/>
      <c r="BB919" s="5"/>
      <c r="BD919" s="40"/>
      <c r="BE919" s="5"/>
      <c r="BG919" s="40"/>
      <c r="BH919" s="5"/>
      <c r="BJ919" s="40"/>
      <c r="BK919" s="5"/>
      <c r="BM919" s="40"/>
      <c r="BN919" s="5"/>
      <c r="BP919" s="40"/>
      <c r="BQ919" s="5"/>
      <c r="BS919" s="40"/>
      <c r="BT919" s="5"/>
      <c r="BV919" s="40"/>
      <c r="BW919" s="5"/>
      <c r="BY919" s="40"/>
      <c r="BZ919" s="5"/>
      <c r="CB919" s="40"/>
      <c r="CC919" s="5"/>
      <c r="CE919" s="40"/>
      <c r="CF919" s="5"/>
      <c r="CH919" s="40"/>
      <c r="CI919" s="5"/>
      <c r="CK919" s="40"/>
      <c r="CL919" s="5"/>
      <c r="CN919" s="40"/>
      <c r="CO919" s="5"/>
      <c r="CQ919" s="40"/>
      <c r="CR919" s="5"/>
    </row>
    <row r="920">
      <c r="AL920" s="40"/>
      <c r="AM920" s="5"/>
      <c r="AO920" s="40"/>
      <c r="AP920" s="5"/>
      <c r="AR920" s="40"/>
      <c r="AS920" s="5"/>
      <c r="AU920" s="40"/>
      <c r="AV920" s="5"/>
      <c r="AX920" s="40"/>
      <c r="AY920" s="5"/>
      <c r="BA920" s="40"/>
      <c r="BB920" s="5"/>
      <c r="BD920" s="40"/>
      <c r="BE920" s="5"/>
      <c r="BG920" s="40"/>
      <c r="BH920" s="5"/>
      <c r="BJ920" s="40"/>
      <c r="BK920" s="5"/>
      <c r="BM920" s="40"/>
      <c r="BN920" s="5"/>
      <c r="BP920" s="40"/>
      <c r="BQ920" s="5"/>
      <c r="BS920" s="40"/>
      <c r="BT920" s="5"/>
      <c r="BV920" s="40"/>
      <c r="BW920" s="5"/>
      <c r="BY920" s="40"/>
      <c r="BZ920" s="5"/>
      <c r="CB920" s="40"/>
      <c r="CC920" s="5"/>
      <c r="CE920" s="40"/>
      <c r="CF920" s="5"/>
      <c r="CH920" s="40"/>
      <c r="CI920" s="5"/>
      <c r="CK920" s="40"/>
      <c r="CL920" s="5"/>
      <c r="CN920" s="40"/>
      <c r="CO920" s="5"/>
      <c r="CQ920" s="40"/>
      <c r="CR920" s="5"/>
    </row>
    <row r="921">
      <c r="AL921" s="40"/>
      <c r="AM921" s="5"/>
      <c r="AO921" s="40"/>
      <c r="AP921" s="5"/>
      <c r="AR921" s="40"/>
      <c r="AS921" s="5"/>
      <c r="AU921" s="40"/>
      <c r="AV921" s="5"/>
      <c r="AX921" s="40"/>
      <c r="AY921" s="5"/>
      <c r="BA921" s="40"/>
      <c r="BB921" s="5"/>
      <c r="BD921" s="40"/>
      <c r="BE921" s="5"/>
      <c r="BG921" s="40"/>
      <c r="BH921" s="5"/>
      <c r="BJ921" s="40"/>
      <c r="BK921" s="5"/>
      <c r="BM921" s="40"/>
      <c r="BN921" s="5"/>
      <c r="BP921" s="40"/>
      <c r="BQ921" s="5"/>
      <c r="BS921" s="40"/>
      <c r="BT921" s="5"/>
      <c r="BV921" s="40"/>
      <c r="BW921" s="5"/>
      <c r="BY921" s="40"/>
      <c r="BZ921" s="5"/>
      <c r="CB921" s="40"/>
      <c r="CC921" s="5"/>
      <c r="CE921" s="40"/>
      <c r="CF921" s="5"/>
      <c r="CH921" s="40"/>
      <c r="CI921" s="5"/>
      <c r="CK921" s="40"/>
      <c r="CL921" s="5"/>
      <c r="CN921" s="40"/>
      <c r="CO921" s="5"/>
      <c r="CQ921" s="40"/>
      <c r="CR921" s="5"/>
    </row>
    <row r="922">
      <c r="AL922" s="40"/>
      <c r="AM922" s="5"/>
      <c r="AO922" s="40"/>
      <c r="AP922" s="5"/>
      <c r="AR922" s="40"/>
      <c r="AS922" s="5"/>
      <c r="AU922" s="40"/>
      <c r="AV922" s="5"/>
      <c r="AX922" s="40"/>
      <c r="AY922" s="5"/>
      <c r="BA922" s="40"/>
      <c r="BB922" s="5"/>
      <c r="BD922" s="40"/>
      <c r="BE922" s="5"/>
      <c r="BG922" s="40"/>
      <c r="BH922" s="5"/>
      <c r="BJ922" s="40"/>
      <c r="BK922" s="5"/>
      <c r="BM922" s="40"/>
      <c r="BN922" s="5"/>
      <c r="BP922" s="40"/>
      <c r="BQ922" s="5"/>
      <c r="BS922" s="40"/>
      <c r="BT922" s="5"/>
      <c r="BV922" s="40"/>
      <c r="BW922" s="5"/>
      <c r="BY922" s="40"/>
      <c r="BZ922" s="5"/>
      <c r="CB922" s="40"/>
      <c r="CC922" s="5"/>
      <c r="CE922" s="40"/>
      <c r="CF922" s="5"/>
      <c r="CH922" s="40"/>
      <c r="CI922" s="5"/>
      <c r="CK922" s="40"/>
      <c r="CL922" s="5"/>
      <c r="CN922" s="40"/>
      <c r="CO922" s="5"/>
      <c r="CQ922" s="40"/>
      <c r="CR922" s="5"/>
    </row>
    <row r="923">
      <c r="AL923" s="40"/>
      <c r="AM923" s="5"/>
      <c r="AO923" s="40"/>
      <c r="AP923" s="5"/>
      <c r="AR923" s="40"/>
      <c r="AS923" s="5"/>
      <c r="AU923" s="40"/>
      <c r="AV923" s="5"/>
      <c r="AX923" s="40"/>
      <c r="AY923" s="5"/>
      <c r="BA923" s="40"/>
      <c r="BB923" s="5"/>
      <c r="BD923" s="40"/>
      <c r="BE923" s="5"/>
      <c r="BG923" s="40"/>
      <c r="BH923" s="5"/>
      <c r="BJ923" s="40"/>
      <c r="BK923" s="5"/>
      <c r="BM923" s="40"/>
      <c r="BN923" s="5"/>
      <c r="BP923" s="40"/>
      <c r="BQ923" s="5"/>
      <c r="BS923" s="40"/>
      <c r="BT923" s="5"/>
      <c r="BV923" s="40"/>
      <c r="BW923" s="5"/>
      <c r="BY923" s="40"/>
      <c r="BZ923" s="5"/>
      <c r="CB923" s="40"/>
      <c r="CC923" s="5"/>
      <c r="CE923" s="40"/>
      <c r="CF923" s="5"/>
      <c r="CH923" s="40"/>
      <c r="CI923" s="5"/>
      <c r="CK923" s="40"/>
      <c r="CL923" s="5"/>
      <c r="CN923" s="40"/>
      <c r="CO923" s="5"/>
      <c r="CQ923" s="40"/>
      <c r="CR923" s="5"/>
    </row>
    <row r="924">
      <c r="AL924" s="40"/>
      <c r="AM924" s="5"/>
      <c r="AO924" s="40"/>
      <c r="AP924" s="5"/>
      <c r="AR924" s="40"/>
      <c r="AS924" s="5"/>
      <c r="AU924" s="40"/>
      <c r="AV924" s="5"/>
      <c r="AX924" s="40"/>
      <c r="AY924" s="5"/>
      <c r="BA924" s="40"/>
      <c r="BB924" s="5"/>
      <c r="BD924" s="40"/>
      <c r="BE924" s="5"/>
      <c r="BG924" s="40"/>
      <c r="BH924" s="5"/>
      <c r="BJ924" s="40"/>
      <c r="BK924" s="5"/>
      <c r="BM924" s="40"/>
      <c r="BN924" s="5"/>
      <c r="BP924" s="40"/>
      <c r="BQ924" s="5"/>
      <c r="BS924" s="40"/>
      <c r="BT924" s="5"/>
      <c r="BV924" s="40"/>
      <c r="BW924" s="5"/>
      <c r="BY924" s="40"/>
      <c r="BZ924" s="5"/>
      <c r="CB924" s="40"/>
      <c r="CC924" s="5"/>
      <c r="CE924" s="40"/>
      <c r="CF924" s="5"/>
      <c r="CH924" s="40"/>
      <c r="CI924" s="5"/>
      <c r="CK924" s="40"/>
      <c r="CL924" s="5"/>
      <c r="CN924" s="40"/>
      <c r="CO924" s="5"/>
      <c r="CQ924" s="40"/>
      <c r="CR924" s="5"/>
    </row>
    <row r="925">
      <c r="AL925" s="40"/>
      <c r="AM925" s="5"/>
      <c r="AO925" s="40"/>
      <c r="AP925" s="5"/>
      <c r="AR925" s="40"/>
      <c r="AS925" s="5"/>
      <c r="AU925" s="40"/>
      <c r="AV925" s="5"/>
      <c r="AX925" s="40"/>
      <c r="AY925" s="5"/>
      <c r="BA925" s="40"/>
      <c r="BB925" s="5"/>
      <c r="BD925" s="40"/>
      <c r="BE925" s="5"/>
      <c r="BG925" s="40"/>
      <c r="BH925" s="5"/>
      <c r="BJ925" s="40"/>
      <c r="BK925" s="5"/>
      <c r="BM925" s="40"/>
      <c r="BN925" s="5"/>
      <c r="BP925" s="40"/>
      <c r="BQ925" s="5"/>
      <c r="BS925" s="40"/>
      <c r="BT925" s="5"/>
      <c r="BV925" s="40"/>
      <c r="BW925" s="5"/>
      <c r="BY925" s="40"/>
      <c r="BZ925" s="5"/>
      <c r="CB925" s="40"/>
      <c r="CC925" s="5"/>
      <c r="CE925" s="40"/>
      <c r="CF925" s="5"/>
      <c r="CH925" s="40"/>
      <c r="CI925" s="5"/>
      <c r="CK925" s="40"/>
      <c r="CL925" s="5"/>
      <c r="CN925" s="40"/>
      <c r="CO925" s="5"/>
      <c r="CQ925" s="40"/>
      <c r="CR925" s="5"/>
    </row>
    <row r="926">
      <c r="AL926" s="40"/>
      <c r="AM926" s="5"/>
      <c r="AO926" s="40"/>
      <c r="AP926" s="5"/>
      <c r="AR926" s="40"/>
      <c r="AS926" s="5"/>
      <c r="AU926" s="40"/>
      <c r="AV926" s="5"/>
      <c r="AX926" s="40"/>
      <c r="AY926" s="5"/>
      <c r="BA926" s="40"/>
      <c r="BB926" s="5"/>
      <c r="BD926" s="40"/>
      <c r="BE926" s="5"/>
      <c r="BG926" s="40"/>
      <c r="BH926" s="5"/>
      <c r="BJ926" s="40"/>
      <c r="BK926" s="5"/>
      <c r="BM926" s="40"/>
      <c r="BN926" s="5"/>
      <c r="BP926" s="40"/>
      <c r="BQ926" s="5"/>
      <c r="BS926" s="40"/>
      <c r="BT926" s="5"/>
      <c r="BV926" s="40"/>
      <c r="BW926" s="5"/>
      <c r="BY926" s="40"/>
      <c r="BZ926" s="5"/>
      <c r="CB926" s="40"/>
      <c r="CC926" s="5"/>
      <c r="CE926" s="40"/>
      <c r="CF926" s="5"/>
      <c r="CH926" s="40"/>
      <c r="CI926" s="5"/>
      <c r="CK926" s="40"/>
      <c r="CL926" s="5"/>
      <c r="CN926" s="40"/>
      <c r="CO926" s="5"/>
      <c r="CQ926" s="40"/>
      <c r="CR926" s="5"/>
    </row>
    <row r="927">
      <c r="AL927" s="40"/>
      <c r="AM927" s="5"/>
      <c r="AO927" s="40"/>
      <c r="AP927" s="5"/>
      <c r="AR927" s="40"/>
      <c r="AS927" s="5"/>
      <c r="AU927" s="40"/>
      <c r="AV927" s="5"/>
      <c r="AX927" s="40"/>
      <c r="AY927" s="5"/>
      <c r="BA927" s="40"/>
      <c r="BB927" s="5"/>
      <c r="BD927" s="40"/>
      <c r="BE927" s="5"/>
      <c r="BG927" s="40"/>
      <c r="BH927" s="5"/>
      <c r="BJ927" s="40"/>
      <c r="BK927" s="5"/>
      <c r="BM927" s="40"/>
      <c r="BN927" s="5"/>
      <c r="BP927" s="40"/>
      <c r="BQ927" s="5"/>
      <c r="BS927" s="40"/>
      <c r="BT927" s="5"/>
      <c r="BV927" s="40"/>
      <c r="BW927" s="5"/>
      <c r="BY927" s="40"/>
      <c r="BZ927" s="5"/>
      <c r="CB927" s="40"/>
      <c r="CC927" s="5"/>
      <c r="CE927" s="40"/>
      <c r="CF927" s="5"/>
      <c r="CH927" s="40"/>
      <c r="CI927" s="5"/>
      <c r="CK927" s="40"/>
      <c r="CL927" s="5"/>
      <c r="CN927" s="40"/>
      <c r="CO927" s="5"/>
      <c r="CQ927" s="40"/>
      <c r="CR927" s="5"/>
    </row>
    <row r="928">
      <c r="AL928" s="40"/>
      <c r="AM928" s="5"/>
      <c r="AO928" s="40"/>
      <c r="AP928" s="5"/>
      <c r="AR928" s="40"/>
      <c r="AS928" s="5"/>
      <c r="AU928" s="40"/>
      <c r="AV928" s="5"/>
      <c r="AX928" s="40"/>
      <c r="AY928" s="5"/>
      <c r="BA928" s="40"/>
      <c r="BB928" s="5"/>
      <c r="BD928" s="40"/>
      <c r="BE928" s="5"/>
      <c r="BG928" s="40"/>
      <c r="BH928" s="5"/>
      <c r="BJ928" s="40"/>
      <c r="BK928" s="5"/>
      <c r="BM928" s="40"/>
      <c r="BN928" s="5"/>
      <c r="BP928" s="40"/>
      <c r="BQ928" s="5"/>
      <c r="BS928" s="40"/>
      <c r="BT928" s="5"/>
      <c r="BV928" s="40"/>
      <c r="BW928" s="5"/>
      <c r="BY928" s="40"/>
      <c r="BZ928" s="5"/>
      <c r="CB928" s="40"/>
      <c r="CC928" s="5"/>
      <c r="CE928" s="40"/>
      <c r="CF928" s="5"/>
      <c r="CH928" s="40"/>
      <c r="CI928" s="5"/>
      <c r="CK928" s="40"/>
      <c r="CL928" s="5"/>
      <c r="CN928" s="40"/>
      <c r="CO928" s="5"/>
      <c r="CQ928" s="40"/>
      <c r="CR928" s="5"/>
    </row>
    <row r="929">
      <c r="AL929" s="40"/>
      <c r="AM929" s="5"/>
      <c r="AO929" s="40"/>
      <c r="AP929" s="5"/>
      <c r="AR929" s="40"/>
      <c r="AS929" s="5"/>
      <c r="AU929" s="40"/>
      <c r="AV929" s="5"/>
      <c r="AX929" s="40"/>
      <c r="AY929" s="5"/>
      <c r="BA929" s="40"/>
      <c r="BB929" s="5"/>
      <c r="BD929" s="40"/>
      <c r="BE929" s="5"/>
      <c r="BG929" s="40"/>
      <c r="BH929" s="5"/>
      <c r="BJ929" s="40"/>
      <c r="BK929" s="5"/>
      <c r="BM929" s="40"/>
      <c r="BN929" s="5"/>
      <c r="BP929" s="40"/>
      <c r="BQ929" s="5"/>
      <c r="BS929" s="40"/>
      <c r="BT929" s="5"/>
      <c r="BV929" s="40"/>
      <c r="BW929" s="5"/>
      <c r="BY929" s="40"/>
      <c r="BZ929" s="5"/>
      <c r="CB929" s="40"/>
      <c r="CC929" s="5"/>
      <c r="CE929" s="40"/>
      <c r="CF929" s="5"/>
      <c r="CH929" s="40"/>
      <c r="CI929" s="5"/>
      <c r="CK929" s="40"/>
      <c r="CL929" s="5"/>
      <c r="CN929" s="40"/>
      <c r="CO929" s="5"/>
      <c r="CQ929" s="40"/>
      <c r="CR929" s="5"/>
    </row>
    <row r="930">
      <c r="AL930" s="40"/>
      <c r="AM930" s="5"/>
      <c r="AO930" s="40"/>
      <c r="AP930" s="5"/>
      <c r="AR930" s="40"/>
      <c r="AS930" s="5"/>
      <c r="AU930" s="40"/>
      <c r="AV930" s="5"/>
      <c r="AX930" s="40"/>
      <c r="AY930" s="5"/>
      <c r="BA930" s="40"/>
      <c r="BB930" s="5"/>
      <c r="BD930" s="40"/>
      <c r="BE930" s="5"/>
      <c r="BG930" s="40"/>
      <c r="BH930" s="5"/>
      <c r="BJ930" s="40"/>
      <c r="BK930" s="5"/>
      <c r="BM930" s="40"/>
      <c r="BN930" s="5"/>
      <c r="BP930" s="40"/>
      <c r="BQ930" s="5"/>
      <c r="BS930" s="40"/>
      <c r="BT930" s="5"/>
      <c r="BV930" s="40"/>
      <c r="BW930" s="5"/>
      <c r="BY930" s="40"/>
      <c r="BZ930" s="5"/>
      <c r="CB930" s="40"/>
      <c r="CC930" s="5"/>
      <c r="CE930" s="40"/>
      <c r="CF930" s="5"/>
      <c r="CH930" s="40"/>
      <c r="CI930" s="5"/>
      <c r="CK930" s="40"/>
      <c r="CL930" s="5"/>
      <c r="CN930" s="40"/>
      <c r="CO930" s="5"/>
      <c r="CQ930" s="40"/>
      <c r="CR930" s="5"/>
    </row>
    <row r="931">
      <c r="AL931" s="40"/>
      <c r="AM931" s="5"/>
      <c r="AO931" s="40"/>
      <c r="AP931" s="5"/>
      <c r="AR931" s="40"/>
      <c r="AS931" s="5"/>
      <c r="AU931" s="40"/>
      <c r="AV931" s="5"/>
      <c r="AX931" s="40"/>
      <c r="AY931" s="5"/>
      <c r="BA931" s="40"/>
      <c r="BB931" s="5"/>
      <c r="BD931" s="40"/>
      <c r="BE931" s="5"/>
      <c r="BG931" s="40"/>
      <c r="BH931" s="5"/>
      <c r="BJ931" s="40"/>
      <c r="BK931" s="5"/>
      <c r="BM931" s="40"/>
      <c r="BN931" s="5"/>
      <c r="BP931" s="40"/>
      <c r="BQ931" s="5"/>
      <c r="BS931" s="40"/>
      <c r="BT931" s="5"/>
      <c r="BV931" s="40"/>
      <c r="BW931" s="5"/>
      <c r="BY931" s="40"/>
      <c r="BZ931" s="5"/>
      <c r="CB931" s="40"/>
      <c r="CC931" s="5"/>
      <c r="CE931" s="40"/>
      <c r="CF931" s="5"/>
      <c r="CH931" s="40"/>
      <c r="CI931" s="5"/>
      <c r="CK931" s="40"/>
      <c r="CL931" s="5"/>
      <c r="CN931" s="40"/>
      <c r="CO931" s="5"/>
      <c r="CQ931" s="40"/>
      <c r="CR931" s="5"/>
    </row>
    <row r="932">
      <c r="AL932" s="40"/>
      <c r="AM932" s="5"/>
      <c r="AO932" s="40"/>
      <c r="AP932" s="5"/>
      <c r="AR932" s="40"/>
      <c r="AS932" s="5"/>
      <c r="AU932" s="40"/>
      <c r="AV932" s="5"/>
      <c r="AX932" s="40"/>
      <c r="AY932" s="5"/>
      <c r="BA932" s="40"/>
      <c r="BB932" s="5"/>
      <c r="BD932" s="40"/>
      <c r="BE932" s="5"/>
      <c r="BG932" s="40"/>
      <c r="BH932" s="5"/>
      <c r="BJ932" s="40"/>
      <c r="BK932" s="5"/>
      <c r="BM932" s="40"/>
      <c r="BN932" s="5"/>
      <c r="BP932" s="40"/>
      <c r="BQ932" s="5"/>
      <c r="BS932" s="40"/>
      <c r="BT932" s="5"/>
      <c r="BV932" s="40"/>
      <c r="BW932" s="5"/>
      <c r="BY932" s="40"/>
      <c r="BZ932" s="5"/>
      <c r="CB932" s="40"/>
      <c r="CC932" s="5"/>
      <c r="CE932" s="40"/>
      <c r="CF932" s="5"/>
      <c r="CH932" s="40"/>
      <c r="CI932" s="5"/>
      <c r="CK932" s="40"/>
      <c r="CL932" s="5"/>
      <c r="CN932" s="40"/>
      <c r="CO932" s="5"/>
      <c r="CQ932" s="40"/>
      <c r="CR932" s="5"/>
    </row>
    <row r="933">
      <c r="AL933" s="40"/>
      <c r="AM933" s="5"/>
      <c r="AO933" s="40"/>
      <c r="AP933" s="5"/>
      <c r="AR933" s="40"/>
      <c r="AS933" s="5"/>
      <c r="AU933" s="40"/>
      <c r="AV933" s="5"/>
      <c r="AX933" s="40"/>
      <c r="AY933" s="5"/>
      <c r="BA933" s="40"/>
      <c r="BB933" s="5"/>
      <c r="BD933" s="40"/>
      <c r="BE933" s="5"/>
      <c r="BG933" s="40"/>
      <c r="BH933" s="5"/>
      <c r="BJ933" s="40"/>
      <c r="BK933" s="5"/>
      <c r="BM933" s="40"/>
      <c r="BN933" s="5"/>
      <c r="BP933" s="40"/>
      <c r="BQ933" s="5"/>
      <c r="BS933" s="40"/>
      <c r="BT933" s="5"/>
      <c r="BV933" s="40"/>
      <c r="BW933" s="5"/>
      <c r="BY933" s="40"/>
      <c r="BZ933" s="5"/>
      <c r="CB933" s="40"/>
      <c r="CC933" s="5"/>
      <c r="CE933" s="40"/>
      <c r="CF933" s="5"/>
      <c r="CH933" s="40"/>
      <c r="CI933" s="5"/>
      <c r="CK933" s="40"/>
      <c r="CL933" s="5"/>
      <c r="CN933" s="40"/>
      <c r="CO933" s="5"/>
      <c r="CQ933" s="40"/>
      <c r="CR933" s="5"/>
    </row>
    <row r="934">
      <c r="AL934" s="40"/>
      <c r="AM934" s="5"/>
      <c r="AO934" s="40"/>
      <c r="AP934" s="5"/>
      <c r="AR934" s="40"/>
      <c r="AS934" s="5"/>
      <c r="AU934" s="40"/>
      <c r="AV934" s="5"/>
      <c r="AX934" s="40"/>
      <c r="AY934" s="5"/>
      <c r="BA934" s="40"/>
      <c r="BB934" s="5"/>
      <c r="BD934" s="40"/>
      <c r="BE934" s="5"/>
      <c r="BG934" s="40"/>
      <c r="BH934" s="5"/>
      <c r="BJ934" s="40"/>
      <c r="BK934" s="5"/>
      <c r="BM934" s="40"/>
      <c r="BN934" s="5"/>
      <c r="BP934" s="40"/>
      <c r="BQ934" s="5"/>
      <c r="BS934" s="40"/>
      <c r="BT934" s="5"/>
      <c r="BV934" s="40"/>
      <c r="BW934" s="5"/>
      <c r="BY934" s="40"/>
      <c r="BZ934" s="5"/>
      <c r="CB934" s="40"/>
      <c r="CC934" s="5"/>
      <c r="CE934" s="40"/>
      <c r="CF934" s="5"/>
      <c r="CH934" s="40"/>
      <c r="CI934" s="5"/>
      <c r="CK934" s="40"/>
      <c r="CL934" s="5"/>
      <c r="CN934" s="40"/>
      <c r="CO934" s="5"/>
      <c r="CQ934" s="40"/>
      <c r="CR934" s="5"/>
    </row>
    <row r="935">
      <c r="AL935" s="40"/>
      <c r="AM935" s="5"/>
      <c r="AO935" s="40"/>
      <c r="AP935" s="5"/>
      <c r="AR935" s="40"/>
      <c r="AS935" s="5"/>
      <c r="AU935" s="40"/>
      <c r="AV935" s="5"/>
      <c r="AX935" s="40"/>
      <c r="AY935" s="5"/>
      <c r="BA935" s="40"/>
      <c r="BB935" s="5"/>
      <c r="BD935" s="40"/>
      <c r="BE935" s="5"/>
      <c r="BG935" s="40"/>
      <c r="BH935" s="5"/>
      <c r="BJ935" s="40"/>
      <c r="BK935" s="5"/>
      <c r="BM935" s="40"/>
      <c r="BN935" s="5"/>
      <c r="BP935" s="40"/>
      <c r="BQ935" s="5"/>
      <c r="BS935" s="40"/>
      <c r="BT935" s="5"/>
      <c r="BV935" s="40"/>
      <c r="BW935" s="5"/>
      <c r="BY935" s="40"/>
      <c r="BZ935" s="5"/>
      <c r="CB935" s="40"/>
      <c r="CC935" s="5"/>
      <c r="CE935" s="40"/>
      <c r="CF935" s="5"/>
      <c r="CH935" s="40"/>
      <c r="CI935" s="5"/>
      <c r="CK935" s="40"/>
      <c r="CL935" s="5"/>
      <c r="CN935" s="40"/>
      <c r="CO935" s="5"/>
      <c r="CQ935" s="40"/>
      <c r="CR935" s="5"/>
    </row>
    <row r="936">
      <c r="AL936" s="40"/>
      <c r="AM936" s="5"/>
      <c r="AO936" s="40"/>
      <c r="AP936" s="5"/>
      <c r="AR936" s="40"/>
      <c r="AS936" s="5"/>
      <c r="AU936" s="40"/>
      <c r="AV936" s="5"/>
      <c r="AX936" s="40"/>
      <c r="AY936" s="5"/>
      <c r="BA936" s="40"/>
      <c r="BB936" s="5"/>
      <c r="BD936" s="40"/>
      <c r="BE936" s="5"/>
      <c r="BG936" s="40"/>
      <c r="BH936" s="5"/>
      <c r="BJ936" s="40"/>
      <c r="BK936" s="5"/>
      <c r="BM936" s="40"/>
      <c r="BN936" s="5"/>
      <c r="BP936" s="40"/>
      <c r="BQ936" s="5"/>
      <c r="BS936" s="40"/>
      <c r="BT936" s="5"/>
      <c r="BV936" s="40"/>
      <c r="BW936" s="5"/>
      <c r="BY936" s="40"/>
      <c r="BZ936" s="5"/>
      <c r="CB936" s="40"/>
      <c r="CC936" s="5"/>
      <c r="CE936" s="40"/>
      <c r="CF936" s="5"/>
      <c r="CH936" s="40"/>
      <c r="CI936" s="5"/>
      <c r="CK936" s="40"/>
      <c r="CL936" s="5"/>
      <c r="CN936" s="40"/>
      <c r="CO936" s="5"/>
      <c r="CQ936" s="40"/>
      <c r="CR936" s="5"/>
    </row>
    <row r="937">
      <c r="AL937" s="40"/>
      <c r="AM937" s="5"/>
      <c r="AO937" s="40"/>
      <c r="AP937" s="5"/>
      <c r="AR937" s="40"/>
      <c r="AS937" s="5"/>
      <c r="AU937" s="40"/>
      <c r="AV937" s="5"/>
      <c r="AX937" s="40"/>
      <c r="AY937" s="5"/>
      <c r="BA937" s="40"/>
      <c r="BB937" s="5"/>
      <c r="BD937" s="40"/>
      <c r="BE937" s="5"/>
      <c r="BG937" s="40"/>
      <c r="BH937" s="5"/>
      <c r="BJ937" s="40"/>
      <c r="BK937" s="5"/>
      <c r="BM937" s="40"/>
      <c r="BN937" s="5"/>
      <c r="BP937" s="40"/>
      <c r="BQ937" s="5"/>
      <c r="BS937" s="40"/>
      <c r="BT937" s="5"/>
      <c r="BV937" s="40"/>
      <c r="BW937" s="5"/>
      <c r="BY937" s="40"/>
      <c r="BZ937" s="5"/>
      <c r="CB937" s="40"/>
      <c r="CC937" s="5"/>
      <c r="CE937" s="40"/>
      <c r="CF937" s="5"/>
      <c r="CH937" s="40"/>
      <c r="CI937" s="5"/>
      <c r="CK937" s="40"/>
      <c r="CL937" s="5"/>
      <c r="CN937" s="40"/>
      <c r="CO937" s="5"/>
      <c r="CQ937" s="40"/>
      <c r="CR937" s="5"/>
    </row>
    <row r="938">
      <c r="AL938" s="40"/>
      <c r="AM938" s="5"/>
      <c r="AO938" s="40"/>
      <c r="AP938" s="5"/>
      <c r="AR938" s="40"/>
      <c r="AS938" s="5"/>
      <c r="AU938" s="40"/>
      <c r="AV938" s="5"/>
      <c r="AX938" s="40"/>
      <c r="AY938" s="5"/>
      <c r="BA938" s="40"/>
      <c r="BB938" s="5"/>
      <c r="BD938" s="40"/>
      <c r="BE938" s="5"/>
      <c r="BG938" s="40"/>
      <c r="BH938" s="5"/>
      <c r="BJ938" s="40"/>
      <c r="BK938" s="5"/>
      <c r="BM938" s="40"/>
      <c r="BN938" s="5"/>
      <c r="BP938" s="40"/>
      <c r="BQ938" s="5"/>
      <c r="BS938" s="40"/>
      <c r="BT938" s="5"/>
      <c r="BV938" s="40"/>
      <c r="BW938" s="5"/>
      <c r="BY938" s="40"/>
      <c r="BZ938" s="5"/>
      <c r="CB938" s="40"/>
      <c r="CC938" s="5"/>
      <c r="CE938" s="40"/>
      <c r="CF938" s="5"/>
      <c r="CH938" s="40"/>
      <c r="CI938" s="5"/>
      <c r="CK938" s="40"/>
      <c r="CL938" s="5"/>
      <c r="CN938" s="40"/>
      <c r="CO938" s="5"/>
      <c r="CQ938" s="40"/>
      <c r="CR938" s="5"/>
    </row>
    <row r="939">
      <c r="AL939" s="40"/>
      <c r="AM939" s="5"/>
      <c r="AO939" s="40"/>
      <c r="AP939" s="5"/>
      <c r="AR939" s="40"/>
      <c r="AS939" s="5"/>
      <c r="AU939" s="40"/>
      <c r="AV939" s="5"/>
      <c r="AX939" s="40"/>
      <c r="AY939" s="5"/>
      <c r="BA939" s="40"/>
      <c r="BB939" s="5"/>
      <c r="BD939" s="40"/>
      <c r="BE939" s="5"/>
      <c r="BG939" s="40"/>
      <c r="BH939" s="5"/>
      <c r="BJ939" s="40"/>
      <c r="BK939" s="5"/>
      <c r="BM939" s="40"/>
      <c r="BN939" s="5"/>
      <c r="BP939" s="40"/>
      <c r="BQ939" s="5"/>
      <c r="BS939" s="40"/>
      <c r="BT939" s="5"/>
      <c r="BV939" s="40"/>
      <c r="BW939" s="5"/>
      <c r="BY939" s="40"/>
      <c r="BZ939" s="5"/>
      <c r="CB939" s="40"/>
      <c r="CC939" s="5"/>
      <c r="CE939" s="40"/>
      <c r="CF939" s="5"/>
      <c r="CH939" s="40"/>
      <c r="CI939" s="5"/>
      <c r="CK939" s="40"/>
      <c r="CL939" s="5"/>
      <c r="CN939" s="40"/>
      <c r="CO939" s="5"/>
      <c r="CQ939" s="40"/>
      <c r="CR939" s="5"/>
    </row>
    <row r="940">
      <c r="AL940" s="40"/>
      <c r="AM940" s="5"/>
      <c r="AO940" s="40"/>
      <c r="AP940" s="5"/>
      <c r="AR940" s="40"/>
      <c r="AS940" s="5"/>
      <c r="AU940" s="40"/>
      <c r="AV940" s="5"/>
      <c r="AX940" s="40"/>
      <c r="AY940" s="5"/>
      <c r="BA940" s="40"/>
      <c r="BB940" s="5"/>
      <c r="BD940" s="40"/>
      <c r="BE940" s="5"/>
      <c r="BG940" s="40"/>
      <c r="BH940" s="5"/>
      <c r="BJ940" s="40"/>
      <c r="BK940" s="5"/>
      <c r="BM940" s="40"/>
      <c r="BN940" s="5"/>
      <c r="BP940" s="40"/>
      <c r="BQ940" s="5"/>
      <c r="BS940" s="40"/>
      <c r="BT940" s="5"/>
      <c r="BV940" s="40"/>
      <c r="BW940" s="5"/>
      <c r="BY940" s="40"/>
      <c r="BZ940" s="5"/>
      <c r="CB940" s="40"/>
      <c r="CC940" s="5"/>
      <c r="CE940" s="40"/>
      <c r="CF940" s="5"/>
      <c r="CH940" s="40"/>
      <c r="CI940" s="5"/>
      <c r="CK940" s="40"/>
      <c r="CL940" s="5"/>
      <c r="CN940" s="40"/>
      <c r="CO940" s="5"/>
      <c r="CQ940" s="40"/>
      <c r="CR940" s="5"/>
    </row>
    <row r="941">
      <c r="AL941" s="40"/>
      <c r="AM941" s="5"/>
      <c r="AO941" s="40"/>
      <c r="AP941" s="5"/>
      <c r="AR941" s="40"/>
      <c r="AS941" s="5"/>
      <c r="AU941" s="40"/>
      <c r="AV941" s="5"/>
      <c r="AX941" s="40"/>
      <c r="AY941" s="5"/>
      <c r="BA941" s="40"/>
      <c r="BB941" s="5"/>
      <c r="BD941" s="40"/>
      <c r="BE941" s="5"/>
      <c r="BG941" s="40"/>
      <c r="BH941" s="5"/>
      <c r="BJ941" s="40"/>
      <c r="BK941" s="5"/>
      <c r="BM941" s="40"/>
      <c r="BN941" s="5"/>
      <c r="BP941" s="40"/>
      <c r="BQ941" s="5"/>
      <c r="BS941" s="40"/>
      <c r="BT941" s="5"/>
      <c r="BV941" s="40"/>
      <c r="BW941" s="5"/>
      <c r="BY941" s="40"/>
      <c r="BZ941" s="5"/>
      <c r="CB941" s="40"/>
      <c r="CC941" s="5"/>
      <c r="CE941" s="40"/>
      <c r="CF941" s="5"/>
      <c r="CH941" s="40"/>
      <c r="CI941" s="5"/>
      <c r="CK941" s="40"/>
      <c r="CL941" s="5"/>
      <c r="CN941" s="40"/>
      <c r="CO941" s="5"/>
      <c r="CQ941" s="40"/>
      <c r="CR941" s="5"/>
    </row>
    <row r="942">
      <c r="AL942" s="40"/>
      <c r="AM942" s="5"/>
      <c r="AO942" s="40"/>
      <c r="AP942" s="5"/>
      <c r="AR942" s="40"/>
      <c r="AS942" s="5"/>
      <c r="AU942" s="40"/>
      <c r="AV942" s="5"/>
      <c r="AX942" s="40"/>
      <c r="AY942" s="5"/>
      <c r="BA942" s="40"/>
      <c r="BB942" s="5"/>
      <c r="BD942" s="40"/>
      <c r="BE942" s="5"/>
      <c r="BG942" s="40"/>
      <c r="BH942" s="5"/>
      <c r="BJ942" s="40"/>
      <c r="BK942" s="5"/>
      <c r="BM942" s="40"/>
      <c r="BN942" s="5"/>
      <c r="BP942" s="40"/>
      <c r="BQ942" s="5"/>
      <c r="BS942" s="40"/>
      <c r="BT942" s="5"/>
      <c r="BV942" s="40"/>
      <c r="BW942" s="5"/>
      <c r="BY942" s="40"/>
      <c r="BZ942" s="5"/>
      <c r="CB942" s="40"/>
      <c r="CC942" s="5"/>
      <c r="CE942" s="40"/>
      <c r="CF942" s="5"/>
      <c r="CH942" s="40"/>
      <c r="CI942" s="5"/>
      <c r="CK942" s="40"/>
      <c r="CL942" s="5"/>
      <c r="CN942" s="40"/>
      <c r="CO942" s="5"/>
      <c r="CQ942" s="40"/>
      <c r="CR942" s="5"/>
    </row>
    <row r="943">
      <c r="AL943" s="40"/>
      <c r="AM943" s="5"/>
      <c r="AO943" s="40"/>
      <c r="AP943" s="5"/>
      <c r="AR943" s="40"/>
      <c r="AS943" s="5"/>
      <c r="AU943" s="40"/>
      <c r="AV943" s="5"/>
      <c r="AX943" s="40"/>
      <c r="AY943" s="5"/>
      <c r="BA943" s="40"/>
      <c r="BB943" s="5"/>
      <c r="BD943" s="40"/>
      <c r="BE943" s="5"/>
      <c r="BG943" s="40"/>
      <c r="BH943" s="5"/>
      <c r="BJ943" s="40"/>
      <c r="BK943" s="5"/>
      <c r="BM943" s="40"/>
      <c r="BN943" s="5"/>
      <c r="BP943" s="40"/>
      <c r="BQ943" s="5"/>
      <c r="BS943" s="40"/>
      <c r="BT943" s="5"/>
      <c r="BV943" s="40"/>
      <c r="BW943" s="5"/>
      <c r="BY943" s="40"/>
      <c r="BZ943" s="5"/>
      <c r="CB943" s="40"/>
      <c r="CC943" s="5"/>
      <c r="CE943" s="40"/>
      <c r="CF943" s="5"/>
      <c r="CH943" s="40"/>
      <c r="CI943" s="5"/>
      <c r="CK943" s="40"/>
      <c r="CL943" s="5"/>
      <c r="CN943" s="40"/>
      <c r="CO943" s="5"/>
      <c r="CQ943" s="40"/>
      <c r="CR943" s="5"/>
    </row>
    <row r="944">
      <c r="AL944" s="40"/>
      <c r="AM944" s="5"/>
      <c r="AO944" s="40"/>
      <c r="AP944" s="5"/>
      <c r="AR944" s="40"/>
      <c r="AS944" s="5"/>
      <c r="AU944" s="40"/>
      <c r="AV944" s="5"/>
      <c r="AX944" s="40"/>
      <c r="AY944" s="5"/>
      <c r="BA944" s="40"/>
      <c r="BB944" s="5"/>
      <c r="BD944" s="40"/>
      <c r="BE944" s="5"/>
      <c r="BG944" s="40"/>
      <c r="BH944" s="5"/>
      <c r="BJ944" s="40"/>
      <c r="BK944" s="5"/>
      <c r="BM944" s="40"/>
      <c r="BN944" s="5"/>
      <c r="BP944" s="40"/>
      <c r="BQ944" s="5"/>
      <c r="BS944" s="40"/>
      <c r="BT944" s="5"/>
      <c r="BV944" s="40"/>
      <c r="BW944" s="5"/>
      <c r="BY944" s="40"/>
      <c r="BZ944" s="5"/>
      <c r="CB944" s="40"/>
      <c r="CC944" s="5"/>
      <c r="CE944" s="40"/>
      <c r="CF944" s="5"/>
      <c r="CH944" s="40"/>
      <c r="CI944" s="5"/>
      <c r="CK944" s="40"/>
      <c r="CL944" s="5"/>
      <c r="CN944" s="40"/>
      <c r="CO944" s="5"/>
      <c r="CQ944" s="40"/>
      <c r="CR944" s="5"/>
    </row>
    <row r="945">
      <c r="AL945" s="40"/>
      <c r="AM945" s="5"/>
      <c r="AO945" s="40"/>
      <c r="AP945" s="5"/>
      <c r="AR945" s="40"/>
      <c r="AS945" s="5"/>
      <c r="AU945" s="40"/>
      <c r="AV945" s="5"/>
      <c r="AX945" s="40"/>
      <c r="AY945" s="5"/>
      <c r="BA945" s="40"/>
      <c r="BB945" s="5"/>
      <c r="BD945" s="40"/>
      <c r="BE945" s="5"/>
      <c r="BG945" s="40"/>
      <c r="BH945" s="5"/>
      <c r="BJ945" s="40"/>
      <c r="BK945" s="5"/>
      <c r="BM945" s="40"/>
      <c r="BN945" s="5"/>
      <c r="BP945" s="40"/>
      <c r="BQ945" s="5"/>
      <c r="BS945" s="40"/>
      <c r="BT945" s="5"/>
      <c r="BV945" s="40"/>
      <c r="BW945" s="5"/>
      <c r="BY945" s="40"/>
      <c r="BZ945" s="5"/>
      <c r="CB945" s="40"/>
      <c r="CC945" s="5"/>
      <c r="CE945" s="40"/>
      <c r="CF945" s="5"/>
      <c r="CH945" s="40"/>
      <c r="CI945" s="5"/>
      <c r="CK945" s="40"/>
      <c r="CL945" s="5"/>
      <c r="CN945" s="40"/>
      <c r="CO945" s="5"/>
      <c r="CQ945" s="40"/>
      <c r="CR945" s="5"/>
    </row>
    <row r="946">
      <c r="AL946" s="40"/>
      <c r="AM946" s="5"/>
      <c r="AO946" s="40"/>
      <c r="AP946" s="5"/>
      <c r="AR946" s="40"/>
      <c r="AS946" s="5"/>
      <c r="AU946" s="40"/>
      <c r="AV946" s="5"/>
      <c r="AX946" s="40"/>
      <c r="AY946" s="5"/>
      <c r="BA946" s="40"/>
      <c r="BB946" s="5"/>
      <c r="BD946" s="40"/>
      <c r="BE946" s="5"/>
      <c r="BG946" s="40"/>
      <c r="BH946" s="5"/>
      <c r="BJ946" s="40"/>
      <c r="BK946" s="5"/>
      <c r="BM946" s="40"/>
      <c r="BN946" s="5"/>
      <c r="BP946" s="40"/>
      <c r="BQ946" s="5"/>
      <c r="BS946" s="40"/>
      <c r="BT946" s="5"/>
      <c r="BV946" s="40"/>
      <c r="BW946" s="5"/>
      <c r="BY946" s="40"/>
      <c r="BZ946" s="5"/>
      <c r="CB946" s="40"/>
      <c r="CC946" s="5"/>
      <c r="CE946" s="40"/>
      <c r="CF946" s="5"/>
      <c r="CH946" s="40"/>
      <c r="CI946" s="5"/>
      <c r="CK946" s="40"/>
      <c r="CL946" s="5"/>
      <c r="CN946" s="40"/>
      <c r="CO946" s="5"/>
      <c r="CQ946" s="40"/>
      <c r="CR946" s="5"/>
    </row>
    <row r="947">
      <c r="AL947" s="40"/>
      <c r="AM947" s="5"/>
      <c r="AO947" s="40"/>
      <c r="AP947" s="5"/>
      <c r="AR947" s="40"/>
      <c r="AS947" s="5"/>
      <c r="AU947" s="40"/>
      <c r="AV947" s="5"/>
      <c r="AX947" s="40"/>
      <c r="AY947" s="5"/>
      <c r="BA947" s="40"/>
      <c r="BB947" s="5"/>
      <c r="BD947" s="40"/>
      <c r="BE947" s="5"/>
      <c r="BG947" s="40"/>
      <c r="BH947" s="5"/>
      <c r="BJ947" s="40"/>
      <c r="BK947" s="5"/>
      <c r="BM947" s="40"/>
      <c r="BN947" s="5"/>
      <c r="BP947" s="40"/>
      <c r="BQ947" s="5"/>
      <c r="BS947" s="40"/>
      <c r="BT947" s="5"/>
      <c r="BV947" s="40"/>
      <c r="BW947" s="5"/>
      <c r="BY947" s="40"/>
      <c r="BZ947" s="5"/>
      <c r="CB947" s="40"/>
      <c r="CC947" s="5"/>
      <c r="CE947" s="40"/>
      <c r="CF947" s="5"/>
      <c r="CH947" s="40"/>
      <c r="CI947" s="5"/>
      <c r="CK947" s="40"/>
      <c r="CL947" s="5"/>
      <c r="CN947" s="40"/>
      <c r="CO947" s="5"/>
      <c r="CQ947" s="40"/>
      <c r="CR947" s="5"/>
    </row>
    <row r="948">
      <c r="AL948" s="40"/>
      <c r="AM948" s="5"/>
      <c r="AO948" s="40"/>
      <c r="AP948" s="5"/>
      <c r="AR948" s="40"/>
      <c r="AS948" s="5"/>
      <c r="AU948" s="40"/>
      <c r="AV948" s="5"/>
      <c r="AX948" s="40"/>
      <c r="AY948" s="5"/>
      <c r="BA948" s="40"/>
      <c r="BB948" s="5"/>
      <c r="BD948" s="40"/>
      <c r="BE948" s="5"/>
      <c r="BG948" s="40"/>
      <c r="BH948" s="5"/>
      <c r="BJ948" s="40"/>
      <c r="BK948" s="5"/>
      <c r="BM948" s="40"/>
      <c r="BN948" s="5"/>
      <c r="BP948" s="40"/>
      <c r="BQ948" s="5"/>
      <c r="BS948" s="40"/>
      <c r="BT948" s="5"/>
      <c r="BV948" s="40"/>
      <c r="BW948" s="5"/>
      <c r="BY948" s="40"/>
      <c r="BZ948" s="5"/>
      <c r="CB948" s="40"/>
      <c r="CC948" s="5"/>
      <c r="CE948" s="40"/>
      <c r="CF948" s="5"/>
      <c r="CH948" s="40"/>
      <c r="CI948" s="5"/>
      <c r="CK948" s="40"/>
      <c r="CL948" s="5"/>
      <c r="CN948" s="40"/>
      <c r="CO948" s="5"/>
      <c r="CQ948" s="40"/>
      <c r="CR948" s="5"/>
    </row>
    <row r="949">
      <c r="AL949" s="40"/>
      <c r="AM949" s="5"/>
      <c r="AO949" s="40"/>
      <c r="AP949" s="5"/>
      <c r="AR949" s="40"/>
      <c r="AS949" s="5"/>
      <c r="AU949" s="40"/>
      <c r="AV949" s="5"/>
      <c r="AX949" s="40"/>
      <c r="AY949" s="5"/>
      <c r="BA949" s="40"/>
      <c r="BB949" s="5"/>
      <c r="BD949" s="40"/>
      <c r="BE949" s="5"/>
      <c r="BG949" s="40"/>
      <c r="BH949" s="5"/>
      <c r="BJ949" s="40"/>
      <c r="BK949" s="5"/>
      <c r="BM949" s="40"/>
      <c r="BN949" s="5"/>
      <c r="BP949" s="40"/>
      <c r="BQ949" s="5"/>
      <c r="BS949" s="40"/>
      <c r="BT949" s="5"/>
      <c r="BV949" s="40"/>
      <c r="BW949" s="5"/>
      <c r="BY949" s="40"/>
      <c r="BZ949" s="5"/>
      <c r="CB949" s="40"/>
      <c r="CC949" s="5"/>
      <c r="CE949" s="40"/>
      <c r="CF949" s="5"/>
      <c r="CH949" s="40"/>
      <c r="CI949" s="5"/>
      <c r="CK949" s="40"/>
      <c r="CL949" s="5"/>
      <c r="CN949" s="40"/>
      <c r="CO949" s="5"/>
      <c r="CQ949" s="40"/>
      <c r="CR949" s="5"/>
    </row>
    <row r="950">
      <c r="AL950" s="40"/>
      <c r="AM950" s="5"/>
      <c r="AO950" s="40"/>
      <c r="AP950" s="5"/>
      <c r="AR950" s="40"/>
      <c r="AS950" s="5"/>
      <c r="AU950" s="40"/>
      <c r="AV950" s="5"/>
      <c r="AX950" s="40"/>
      <c r="AY950" s="5"/>
      <c r="BA950" s="40"/>
      <c r="BB950" s="5"/>
      <c r="BD950" s="40"/>
      <c r="BE950" s="5"/>
      <c r="BG950" s="40"/>
      <c r="BH950" s="5"/>
      <c r="BJ950" s="40"/>
      <c r="BK950" s="5"/>
      <c r="BM950" s="40"/>
      <c r="BN950" s="5"/>
      <c r="BP950" s="40"/>
      <c r="BQ950" s="5"/>
      <c r="BS950" s="40"/>
      <c r="BT950" s="5"/>
      <c r="BV950" s="40"/>
      <c r="BW950" s="5"/>
      <c r="BY950" s="40"/>
      <c r="BZ950" s="5"/>
      <c r="CB950" s="40"/>
      <c r="CC950" s="5"/>
      <c r="CE950" s="40"/>
      <c r="CF950" s="5"/>
      <c r="CH950" s="40"/>
      <c r="CI950" s="5"/>
      <c r="CK950" s="40"/>
      <c r="CL950" s="5"/>
      <c r="CN950" s="40"/>
      <c r="CO950" s="5"/>
      <c r="CQ950" s="40"/>
      <c r="CR950" s="5"/>
    </row>
    <row r="951">
      <c r="AL951" s="40"/>
      <c r="AM951" s="5"/>
      <c r="AO951" s="40"/>
      <c r="AP951" s="5"/>
      <c r="AR951" s="40"/>
      <c r="AS951" s="5"/>
      <c r="AU951" s="40"/>
      <c r="AV951" s="5"/>
      <c r="AX951" s="40"/>
      <c r="AY951" s="5"/>
      <c r="BA951" s="40"/>
      <c r="BB951" s="5"/>
      <c r="BD951" s="40"/>
      <c r="BE951" s="5"/>
      <c r="BG951" s="40"/>
      <c r="BH951" s="5"/>
      <c r="BJ951" s="40"/>
      <c r="BK951" s="5"/>
      <c r="BM951" s="40"/>
      <c r="BN951" s="5"/>
      <c r="BP951" s="40"/>
      <c r="BQ951" s="5"/>
      <c r="BS951" s="40"/>
      <c r="BT951" s="5"/>
      <c r="BV951" s="40"/>
      <c r="BW951" s="5"/>
      <c r="BY951" s="40"/>
      <c r="BZ951" s="5"/>
      <c r="CB951" s="40"/>
      <c r="CC951" s="5"/>
      <c r="CE951" s="40"/>
      <c r="CF951" s="5"/>
      <c r="CH951" s="40"/>
      <c r="CI951" s="5"/>
      <c r="CK951" s="40"/>
      <c r="CL951" s="5"/>
      <c r="CN951" s="40"/>
      <c r="CO951" s="5"/>
      <c r="CQ951" s="40"/>
      <c r="CR951" s="5"/>
    </row>
    <row r="952">
      <c r="AL952" s="40"/>
      <c r="AM952" s="5"/>
      <c r="AO952" s="40"/>
      <c r="AP952" s="5"/>
      <c r="AR952" s="40"/>
      <c r="AS952" s="5"/>
      <c r="AU952" s="40"/>
      <c r="AV952" s="5"/>
      <c r="AX952" s="40"/>
      <c r="AY952" s="5"/>
      <c r="BA952" s="40"/>
      <c r="BB952" s="5"/>
      <c r="BD952" s="40"/>
      <c r="BE952" s="5"/>
      <c r="BG952" s="40"/>
      <c r="BH952" s="5"/>
      <c r="BJ952" s="40"/>
      <c r="BK952" s="5"/>
      <c r="BM952" s="40"/>
      <c r="BN952" s="5"/>
      <c r="BP952" s="40"/>
      <c r="BQ952" s="5"/>
      <c r="BS952" s="40"/>
      <c r="BT952" s="5"/>
      <c r="BV952" s="40"/>
      <c r="BW952" s="5"/>
      <c r="BY952" s="40"/>
      <c r="BZ952" s="5"/>
      <c r="CB952" s="40"/>
      <c r="CC952" s="5"/>
      <c r="CE952" s="40"/>
      <c r="CF952" s="5"/>
      <c r="CH952" s="40"/>
      <c r="CI952" s="5"/>
      <c r="CK952" s="40"/>
      <c r="CL952" s="5"/>
      <c r="CN952" s="40"/>
      <c r="CO952" s="5"/>
      <c r="CQ952" s="40"/>
      <c r="CR952" s="5"/>
    </row>
  </sheetData>
  <mergeCells count="36">
    <mergeCell ref="Z9:AB9"/>
    <mergeCell ref="AC9:AE9"/>
    <mergeCell ref="AF9:AH9"/>
    <mergeCell ref="AI9:AK9"/>
    <mergeCell ref="AL9:AN9"/>
    <mergeCell ref="AO9:AQ9"/>
    <mergeCell ref="AR9:AT9"/>
    <mergeCell ref="AU9:AW9"/>
    <mergeCell ref="AX9:AZ9"/>
    <mergeCell ref="BA9:BC9"/>
    <mergeCell ref="BD9:BF9"/>
    <mergeCell ref="BG9:BI9"/>
    <mergeCell ref="BJ9:BL9"/>
    <mergeCell ref="BM9:BO9"/>
    <mergeCell ref="CK9:CM9"/>
    <mergeCell ref="CN9:CP9"/>
    <mergeCell ref="CQ9:CS9"/>
    <mergeCell ref="BP9:BR9"/>
    <mergeCell ref="BS9:BU9"/>
    <mergeCell ref="BV9:BX9"/>
    <mergeCell ref="BY9:CA9"/>
    <mergeCell ref="CB9:CD9"/>
    <mergeCell ref="CE9:CG9"/>
    <mergeCell ref="CH9:CJ9"/>
    <mergeCell ref="B16:C16"/>
    <mergeCell ref="B17:C17"/>
    <mergeCell ref="B18:D18"/>
    <mergeCell ref="A19:B19"/>
    <mergeCell ref="A45:C45"/>
    <mergeCell ref="E9:G9"/>
    <mergeCell ref="H9:J9"/>
    <mergeCell ref="K9:M9"/>
    <mergeCell ref="N9:P9"/>
    <mergeCell ref="Q9:S9"/>
    <mergeCell ref="T9:V9"/>
    <mergeCell ref="W9:Y9"/>
  </mergeCells>
  <conditionalFormatting sqref="A1:DD1000">
    <cfRule type="cellIs" dxfId="0" priority="1" operator="equal">
      <formula>"Topic"</formula>
    </cfRule>
  </conditionalFormatting>
  <conditionalFormatting sqref="F13">
    <cfRule type="colorScale" priority="2">
      <colorScale>
        <cfvo type="min"/>
        <cfvo type="max"/>
        <color rgb="FF57BB8A"/>
        <color rgb="FFFFFFFF"/>
      </colorScale>
    </cfRule>
  </conditionalFormatting>
  <dataValidations>
    <dataValidation type="list" allowBlank="1" sqref="G11:G61 J11:J61 M11:M61 P11:P61 S11:S61 V11:V61 Y11:Y61 AB11:AB61 AE11:AE61 AH11:AH61 AK11:AK61 AN11:AN61 AQ11:AQ61 AT11:AT61 AW11:AW61 AZ11:AZ61 BC11:BC61 BF11:BF61 BI11:BI61 BL11:BL61 BO11:BO61 BR11:BR61 BU11:BU61 BX11:BX61 CA11:CA61 CD11:CD61 CG11:CG61 CJ11:CJ61 CM11:CM61 CP11:CP61 CS11:DF61">
      <formula1>$E$3:$E$7</formula1>
    </dataValidation>
    <dataValidation type="list" allowBlank="1" sqref="A26:A40">
      <formula1>$A$20:$A$23</formula1>
    </dataValidation>
  </dataValidation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6" width="15.38"/>
  </cols>
  <sheetData>
    <row r="1">
      <c r="A1" s="1" t="s">
        <v>75</v>
      </c>
      <c r="B1" s="1" t="s">
        <v>76</v>
      </c>
      <c r="C1" s="1" t="s">
        <v>77</v>
      </c>
      <c r="D1" s="1" t="s">
        <v>78</v>
      </c>
      <c r="E1" s="1" t="s">
        <v>79</v>
      </c>
      <c r="F1" s="1" t="s">
        <v>80</v>
      </c>
      <c r="G1" s="1"/>
      <c r="H1" s="1"/>
      <c r="I1" s="1"/>
    </row>
    <row r="2">
      <c r="A2" s="44">
        <v>0.0</v>
      </c>
      <c r="B2" s="44">
        <v>1.624107647E9</v>
      </c>
      <c r="C2" s="40">
        <f>IFERROR(__xludf.DUMMYFUNCTION("INDEX(SPLIT(B2, char(10)), 0, 1)/86400+date(1970,1,1)"),44366.54221064815)</f>
        <v>44366.54221</v>
      </c>
      <c r="D2" s="44" t="s">
        <v>136</v>
      </c>
      <c r="E2" s="44" t="s">
        <v>977</v>
      </c>
      <c r="F2" s="44" t="s">
        <v>978</v>
      </c>
    </row>
    <row r="3">
      <c r="A3" s="44">
        <v>1.0</v>
      </c>
      <c r="B3" s="44">
        <v>1.624108225E9</v>
      </c>
      <c r="C3" s="40">
        <f>IFERROR(__xludf.DUMMYFUNCTION("INDEX(SPLIT(B3, char(10)), 0, 1)/86400+date(1970,1,1)"),44366.54890046296)</f>
        <v>44366.5489</v>
      </c>
      <c r="D3" s="44" t="s">
        <v>128</v>
      </c>
      <c r="E3" s="44" t="s">
        <v>979</v>
      </c>
      <c r="F3" s="44" t="s">
        <v>980</v>
      </c>
    </row>
    <row r="4">
      <c r="A4" s="44">
        <v>2.0</v>
      </c>
      <c r="B4" s="44">
        <v>1.624108426E9</v>
      </c>
      <c r="C4" s="40">
        <f>IFERROR(__xludf.DUMMYFUNCTION("INDEX(SPLIT(B4, char(10)), 0, 1)/86400+date(1970,1,1)"),44366.55122685185)</f>
        <v>44366.55123</v>
      </c>
      <c r="D4" s="44" t="s">
        <v>93</v>
      </c>
      <c r="E4" s="44" t="s">
        <v>981</v>
      </c>
      <c r="F4" s="44" t="s">
        <v>982</v>
      </c>
    </row>
    <row r="5">
      <c r="A5" s="44">
        <v>2.0</v>
      </c>
      <c r="B5" s="44">
        <v>1.624108438E9</v>
      </c>
      <c r="C5" s="40">
        <f>IFERROR(__xludf.DUMMYFUNCTION("INDEX(SPLIT(B5, char(10)), 0, 1)/86400+date(1970,1,1)"),44366.55136574074)</f>
        <v>44366.55137</v>
      </c>
      <c r="D5" s="44" t="s">
        <v>174</v>
      </c>
      <c r="E5" s="44" t="s">
        <v>175</v>
      </c>
      <c r="F5" s="44" t="s">
        <v>983</v>
      </c>
    </row>
    <row r="6">
      <c r="A6" s="44">
        <v>3.0</v>
      </c>
      <c r="B6" s="44">
        <v>1.624108555E9</v>
      </c>
      <c r="C6" s="40">
        <f>IFERROR(__xludf.DUMMYFUNCTION("INDEX(SPLIT(B6, char(10)), 0, 1)/86400+date(1970,1,1)"),44366.552719907406)</f>
        <v>44366.55272</v>
      </c>
      <c r="D6" s="44" t="s">
        <v>90</v>
      </c>
      <c r="E6" s="44" t="s">
        <v>984</v>
      </c>
      <c r="F6" s="44" t="s">
        <v>985</v>
      </c>
    </row>
    <row r="7">
      <c r="A7" s="44">
        <v>3.0</v>
      </c>
      <c r="B7" s="44">
        <v>1.624108556E9</v>
      </c>
      <c r="C7" s="40">
        <f>IFERROR(__xludf.DUMMYFUNCTION("INDEX(SPLIT(B7, char(10)), 0, 1)/86400+date(1970,1,1)"),44366.55273148148)</f>
        <v>44366.55273</v>
      </c>
      <c r="D7" s="44" t="s">
        <v>103</v>
      </c>
      <c r="E7" s="44" t="s">
        <v>986</v>
      </c>
      <c r="F7" s="44" t="s">
        <v>987</v>
      </c>
    </row>
    <row r="8">
      <c r="A8" s="44">
        <v>3.0</v>
      </c>
      <c r="B8" s="44">
        <v>1.624108579E9</v>
      </c>
      <c r="C8" s="40">
        <f>IFERROR(__xludf.DUMMYFUNCTION("INDEX(SPLIT(B8, char(10)), 0, 1)/86400+date(1970,1,1)"),44366.55299768518)</f>
        <v>44366.553</v>
      </c>
      <c r="D8" s="44" t="s">
        <v>174</v>
      </c>
      <c r="E8" s="44" t="s">
        <v>988</v>
      </c>
      <c r="F8" s="44" t="s">
        <v>989</v>
      </c>
    </row>
    <row r="9">
      <c r="A9" s="44">
        <v>3.0</v>
      </c>
      <c r="B9" s="44">
        <v>1.624108636E9</v>
      </c>
      <c r="C9" s="40">
        <f>IFERROR(__xludf.DUMMYFUNCTION("INDEX(SPLIT(B9, char(10)), 0, 1)/86400+date(1970,1,1)"),44366.55365740741)</f>
        <v>44366.55366</v>
      </c>
      <c r="D9" s="44" t="s">
        <v>93</v>
      </c>
      <c r="E9" s="44" t="s">
        <v>990</v>
      </c>
      <c r="F9" s="44" t="s">
        <v>991</v>
      </c>
    </row>
    <row r="10">
      <c r="A10" s="44">
        <v>4.0</v>
      </c>
      <c r="B10" s="44">
        <v>1.624108657E9</v>
      </c>
      <c r="C10" s="40">
        <f>IFERROR(__xludf.DUMMYFUNCTION("INDEX(SPLIT(B10, char(10)), 0, 1)/86400+date(1970,1,1)"),44366.55390046297)</f>
        <v>44366.5539</v>
      </c>
      <c r="D10" s="44" t="s">
        <v>131</v>
      </c>
      <c r="E10" s="44" t="s">
        <v>992</v>
      </c>
      <c r="F10" s="44" t="s">
        <v>993</v>
      </c>
    </row>
    <row r="11">
      <c r="A11" s="44">
        <v>5.0</v>
      </c>
      <c r="B11" s="44">
        <v>1.624109207E9</v>
      </c>
      <c r="C11" s="40">
        <f>IFERROR(__xludf.DUMMYFUNCTION("INDEX(SPLIT(B11, char(10)), 0, 1)/86400+date(1970,1,1)"),44366.560266203705)</f>
        <v>44366.56027</v>
      </c>
      <c r="D11" s="44" t="s">
        <v>90</v>
      </c>
      <c r="E11" s="44" t="s">
        <v>994</v>
      </c>
      <c r="F11" s="44" t="s">
        <v>995</v>
      </c>
    </row>
    <row r="12">
      <c r="A12" s="44">
        <v>5.0</v>
      </c>
      <c r="B12" s="44">
        <v>1.624109219E9</v>
      </c>
      <c r="C12" s="40">
        <f>IFERROR(__xludf.DUMMYFUNCTION("INDEX(SPLIT(B12, char(10)), 0, 1)/86400+date(1970,1,1)"),44366.56040509259)</f>
        <v>44366.56041</v>
      </c>
      <c r="D12" s="44" t="s">
        <v>136</v>
      </c>
      <c r="E12" s="44" t="s">
        <v>996</v>
      </c>
      <c r="F12" s="44" t="s">
        <v>997</v>
      </c>
    </row>
    <row r="13">
      <c r="A13" s="44">
        <v>5.0</v>
      </c>
      <c r="B13" s="44">
        <v>1.624109231E9</v>
      </c>
      <c r="C13" s="40">
        <f>IFERROR(__xludf.DUMMYFUNCTION("INDEX(SPLIT(B13, char(10)), 0, 1)/86400+date(1970,1,1)"),44366.56054398148)</f>
        <v>44366.56054</v>
      </c>
      <c r="D13" s="44" t="s">
        <v>131</v>
      </c>
      <c r="E13" s="44" t="s">
        <v>998</v>
      </c>
      <c r="F13" s="44" t="s">
        <v>999</v>
      </c>
    </row>
    <row r="14">
      <c r="A14" s="44">
        <v>6.0</v>
      </c>
      <c r="B14" s="44">
        <v>1.624109441E9</v>
      </c>
      <c r="C14" s="40">
        <f>IFERROR(__xludf.DUMMYFUNCTION("INDEX(SPLIT(B14, char(10)), 0, 1)/86400+date(1970,1,1)"),44366.56297453704)</f>
        <v>44366.56297</v>
      </c>
      <c r="D14" s="44" t="s">
        <v>93</v>
      </c>
      <c r="E14" s="44" t="s">
        <v>1000</v>
      </c>
      <c r="F14" s="44" t="s">
        <v>1001</v>
      </c>
    </row>
    <row r="15">
      <c r="A15" s="44">
        <v>6.0</v>
      </c>
      <c r="B15" s="44">
        <v>1.624109462E9</v>
      </c>
      <c r="C15" s="40">
        <f>IFERROR(__xludf.DUMMYFUNCTION("INDEX(SPLIT(B15, char(10)), 0, 1)/86400+date(1970,1,1)"),44366.56321759259)</f>
        <v>44366.56322</v>
      </c>
      <c r="D15" s="44" t="s">
        <v>131</v>
      </c>
      <c r="E15" s="44" t="s">
        <v>260</v>
      </c>
      <c r="F15" s="44" t="s">
        <v>1002</v>
      </c>
    </row>
    <row r="16">
      <c r="A16" s="44">
        <v>6.0</v>
      </c>
      <c r="B16" s="44">
        <v>1.624109467E9</v>
      </c>
      <c r="C16" s="40">
        <f>IFERROR(__xludf.DUMMYFUNCTION("INDEX(SPLIT(B16, char(10)), 0, 1)/86400+date(1970,1,1)"),44366.56327546296)</f>
        <v>44366.56328</v>
      </c>
      <c r="D16" s="44" t="s">
        <v>103</v>
      </c>
      <c r="E16" s="44" t="s">
        <v>992</v>
      </c>
      <c r="F16" s="44" t="s">
        <v>1003</v>
      </c>
    </row>
    <row r="17">
      <c r="A17" s="44">
        <v>6.0</v>
      </c>
      <c r="B17" s="44">
        <v>1.624109488E9</v>
      </c>
      <c r="C17" s="40">
        <f>IFERROR(__xludf.DUMMYFUNCTION("INDEX(SPLIT(B17, char(10)), 0, 1)/86400+date(1970,1,1)"),44366.563518518524)</f>
        <v>44366.56352</v>
      </c>
      <c r="D17" s="44" t="s">
        <v>96</v>
      </c>
      <c r="E17" s="44" t="s">
        <v>1004</v>
      </c>
      <c r="F17" s="44" t="s">
        <v>1005</v>
      </c>
    </row>
    <row r="18">
      <c r="A18" s="44">
        <v>6.0</v>
      </c>
      <c r="B18" s="44">
        <v>1.624109492E9</v>
      </c>
      <c r="C18" s="40">
        <f>IFERROR(__xludf.DUMMYFUNCTION("INDEX(SPLIT(B18, char(10)), 0, 1)/86400+date(1970,1,1)"),44366.563564814816)</f>
        <v>44366.56356</v>
      </c>
      <c r="D18" s="44" t="s">
        <v>151</v>
      </c>
      <c r="E18" s="44" t="s">
        <v>1006</v>
      </c>
      <c r="F18" s="44" t="s">
        <v>1007</v>
      </c>
    </row>
    <row r="19">
      <c r="A19" s="44">
        <v>6.0</v>
      </c>
      <c r="B19" s="44">
        <v>1.624109516E9</v>
      </c>
      <c r="C19" s="40">
        <f>IFERROR(__xludf.DUMMYFUNCTION("INDEX(SPLIT(B19, char(10)), 0, 1)/86400+date(1970,1,1)"),44366.56384259259)</f>
        <v>44366.56384</v>
      </c>
      <c r="D19" s="44" t="s">
        <v>90</v>
      </c>
      <c r="E19" s="44" t="s">
        <v>1008</v>
      </c>
      <c r="F19" s="44" t="s">
        <v>1009</v>
      </c>
    </row>
    <row r="20">
      <c r="A20" s="44">
        <v>7.0</v>
      </c>
      <c r="B20" s="44">
        <v>1.62410954E9</v>
      </c>
      <c r="C20" s="40">
        <f>IFERROR(__xludf.DUMMYFUNCTION("INDEX(SPLIT(B20, char(10)), 0, 1)/86400+date(1970,1,1)"),44366.56412037037)</f>
        <v>44366.56412</v>
      </c>
      <c r="D20" s="44" t="s">
        <v>81</v>
      </c>
      <c r="E20" s="44" t="s">
        <v>1010</v>
      </c>
      <c r="F20" s="44" t="s">
        <v>1011</v>
      </c>
    </row>
    <row r="21">
      <c r="A21" s="44">
        <v>7.0</v>
      </c>
      <c r="B21" s="44">
        <v>1.624109546E9</v>
      </c>
      <c r="C21" s="40">
        <f>IFERROR(__xludf.DUMMYFUNCTION("INDEX(SPLIT(B21, char(10)), 0, 1)/86400+date(1970,1,1)"),44366.56418981482)</f>
        <v>44366.56419</v>
      </c>
      <c r="D21" s="44" t="s">
        <v>136</v>
      </c>
      <c r="E21" s="44" t="s">
        <v>1012</v>
      </c>
      <c r="F21" s="44" t="s">
        <v>1013</v>
      </c>
    </row>
    <row r="22">
      <c r="A22" s="44">
        <v>8.0</v>
      </c>
      <c r="B22" s="44">
        <v>1.624109755E9</v>
      </c>
      <c r="C22" s="40">
        <f>IFERROR(__xludf.DUMMYFUNCTION("INDEX(SPLIT(B22, char(10)), 0, 1)/86400+date(1970,1,1)"),44366.566608796296)</f>
        <v>44366.56661</v>
      </c>
      <c r="D22" s="44" t="s">
        <v>81</v>
      </c>
      <c r="E22" s="44" t="s">
        <v>1014</v>
      </c>
      <c r="F22" s="44" t="s">
        <v>1015</v>
      </c>
    </row>
    <row r="23">
      <c r="A23" s="44">
        <v>8.0</v>
      </c>
      <c r="B23" s="44">
        <v>1.62410981E9</v>
      </c>
      <c r="C23" s="40">
        <f>IFERROR(__xludf.DUMMYFUNCTION("INDEX(SPLIT(B23, char(10)), 0, 1)/86400+date(1970,1,1)"),44366.567245370374)</f>
        <v>44366.56725</v>
      </c>
      <c r="D23" s="44" t="s">
        <v>103</v>
      </c>
      <c r="E23" s="44" t="s">
        <v>1016</v>
      </c>
      <c r="F23" s="44" t="s">
        <v>1017</v>
      </c>
    </row>
    <row r="24">
      <c r="A24" s="44">
        <v>8.0</v>
      </c>
      <c r="B24" s="44">
        <v>1.62410981E9</v>
      </c>
      <c r="C24" s="40">
        <f>IFERROR(__xludf.DUMMYFUNCTION("INDEX(SPLIT(B24, char(10)), 0, 1)/86400+date(1970,1,1)"),44366.567245370374)</f>
        <v>44366.56725</v>
      </c>
      <c r="D24" s="44" t="s">
        <v>151</v>
      </c>
      <c r="E24" s="44" t="s">
        <v>1018</v>
      </c>
      <c r="F24" s="44" t="s">
        <v>1019</v>
      </c>
    </row>
    <row r="25">
      <c r="A25" s="44">
        <v>9.0</v>
      </c>
      <c r="B25" s="44">
        <v>1.624109911E9</v>
      </c>
      <c r="C25" s="40">
        <f>IFERROR(__xludf.DUMMYFUNCTION("INDEX(SPLIT(B25, char(10)), 0, 1)/86400+date(1970,1,1)"),44366.56841435185)</f>
        <v>44366.56841</v>
      </c>
      <c r="D25" s="44" t="s">
        <v>103</v>
      </c>
      <c r="E25" s="44" t="s">
        <v>698</v>
      </c>
      <c r="F25" s="44" t="s">
        <v>1020</v>
      </c>
    </row>
    <row r="26">
      <c r="A26" s="44">
        <v>10.0</v>
      </c>
      <c r="B26" s="44">
        <v>1.624110206E9</v>
      </c>
      <c r="C26" s="40">
        <f>IFERROR(__xludf.DUMMYFUNCTION("INDEX(SPLIT(B26, char(10)), 0, 1)/86400+date(1970,1,1)"),44366.5718287037)</f>
        <v>44366.57183</v>
      </c>
      <c r="D26" s="44" t="s">
        <v>81</v>
      </c>
      <c r="E26" s="44" t="s">
        <v>1021</v>
      </c>
      <c r="F26" s="44" t="s">
        <v>1022</v>
      </c>
    </row>
    <row r="27">
      <c r="A27" s="44">
        <v>11.0</v>
      </c>
      <c r="B27" s="44">
        <v>1.624110398E9</v>
      </c>
      <c r="C27" s="40">
        <f>IFERROR(__xludf.DUMMYFUNCTION("INDEX(SPLIT(B27, char(10)), 0, 1)/86400+date(1970,1,1)"),44366.57405092593)</f>
        <v>44366.57405</v>
      </c>
      <c r="D27" s="44" t="s">
        <v>96</v>
      </c>
      <c r="E27" s="44" t="s">
        <v>583</v>
      </c>
      <c r="F27" s="44" t="s">
        <v>1023</v>
      </c>
    </row>
    <row r="28">
      <c r="A28" s="44">
        <v>11.0</v>
      </c>
      <c r="B28" s="44">
        <v>1.624110424E9</v>
      </c>
      <c r="C28" s="40">
        <f>IFERROR(__xludf.DUMMYFUNCTION("INDEX(SPLIT(B28, char(10)), 0, 1)/86400+date(1970,1,1)"),44366.57435185185)</f>
        <v>44366.57435</v>
      </c>
      <c r="D28" s="44" t="s">
        <v>90</v>
      </c>
      <c r="E28" s="44" t="s">
        <v>583</v>
      </c>
      <c r="F28" s="44" t="s">
        <v>1024</v>
      </c>
    </row>
    <row r="29">
      <c r="A29" s="44">
        <v>11.0</v>
      </c>
      <c r="B29" s="44">
        <v>1.624110429E9</v>
      </c>
      <c r="C29" s="40">
        <f>IFERROR(__xludf.DUMMYFUNCTION("INDEX(SPLIT(B29, char(10)), 0, 1)/86400+date(1970,1,1)"),44366.57440972222)</f>
        <v>44366.57441</v>
      </c>
      <c r="D29" s="44" t="s">
        <v>81</v>
      </c>
      <c r="E29" s="44" t="s">
        <v>1025</v>
      </c>
      <c r="F29" s="44" t="s">
        <v>1026</v>
      </c>
    </row>
    <row r="30">
      <c r="A30" s="44">
        <v>11.0</v>
      </c>
      <c r="B30" s="44">
        <v>1.624110438E9</v>
      </c>
      <c r="C30" s="40">
        <f>IFERROR(__xludf.DUMMYFUNCTION("INDEX(SPLIT(B30, char(10)), 0, 1)/86400+date(1970,1,1)"),44366.57451388889)</f>
        <v>44366.57451</v>
      </c>
      <c r="D30" s="44" t="s">
        <v>131</v>
      </c>
      <c r="E30" s="44" t="s">
        <v>1027</v>
      </c>
      <c r="F30" s="44" t="s">
        <v>1028</v>
      </c>
    </row>
    <row r="31">
      <c r="A31" s="44">
        <v>11.0</v>
      </c>
      <c r="B31" s="44">
        <v>1.624110453E9</v>
      </c>
      <c r="C31" s="40">
        <f>IFERROR(__xludf.DUMMYFUNCTION("INDEX(SPLIT(B31, char(10)), 0, 1)/86400+date(1970,1,1)"),44366.574687500004)</f>
        <v>44366.57469</v>
      </c>
      <c r="D31" s="44" t="s">
        <v>151</v>
      </c>
      <c r="E31" s="44" t="s">
        <v>1029</v>
      </c>
      <c r="F31" s="44" t="s">
        <v>1030</v>
      </c>
    </row>
    <row r="32">
      <c r="A32" s="44">
        <v>11.0</v>
      </c>
      <c r="B32" s="44">
        <v>1.624110487E9</v>
      </c>
      <c r="C32" s="40">
        <f>IFERROR(__xludf.DUMMYFUNCTION("INDEX(SPLIT(B32, char(10)), 0, 1)/86400+date(1970,1,1)"),44366.57508101852)</f>
        <v>44366.57508</v>
      </c>
      <c r="D32" s="44" t="s">
        <v>103</v>
      </c>
      <c r="E32" s="44" t="s">
        <v>1031</v>
      </c>
      <c r="F32" s="44" t="s">
        <v>1032</v>
      </c>
    </row>
    <row r="33">
      <c r="A33" s="44">
        <v>12.0</v>
      </c>
      <c r="B33" s="44">
        <v>1.624110489E9</v>
      </c>
      <c r="C33" s="40">
        <f>IFERROR(__xludf.DUMMYFUNCTION("INDEX(SPLIT(B33, char(10)), 0, 1)/86400+date(1970,1,1)"),44366.575104166666)</f>
        <v>44366.5751</v>
      </c>
      <c r="D33" s="44" t="s">
        <v>174</v>
      </c>
      <c r="E33" s="44" t="s">
        <v>1033</v>
      </c>
      <c r="F33" s="44" t="s">
        <v>1034</v>
      </c>
    </row>
    <row r="34">
      <c r="A34" s="44">
        <v>12.0</v>
      </c>
      <c r="B34" s="44">
        <v>1.624110497E9</v>
      </c>
      <c r="C34" s="40">
        <f>IFERROR(__xludf.DUMMYFUNCTION("INDEX(SPLIT(B34, char(10)), 0, 1)/86400+date(1970,1,1)"),44366.57519675926)</f>
        <v>44366.5752</v>
      </c>
      <c r="D34" s="44" t="s">
        <v>370</v>
      </c>
      <c r="E34" s="44" t="s">
        <v>1035</v>
      </c>
      <c r="F34" s="44" t="s">
        <v>1036</v>
      </c>
    </row>
    <row r="35">
      <c r="A35" s="44">
        <v>12.0</v>
      </c>
      <c r="B35" s="44">
        <v>1.624110567E9</v>
      </c>
      <c r="C35" s="40">
        <f>IFERROR(__xludf.DUMMYFUNCTION("INDEX(SPLIT(B35, char(10)), 0, 1)/86400+date(1970,1,1)"),44366.576006944444)</f>
        <v>44366.57601</v>
      </c>
      <c r="D35" s="44" t="s">
        <v>81</v>
      </c>
      <c r="E35" s="44" t="s">
        <v>1037</v>
      </c>
      <c r="F35" s="44" t="s">
        <v>1038</v>
      </c>
    </row>
    <row r="36">
      <c r="A36" s="44">
        <v>12.0</v>
      </c>
      <c r="B36" s="44">
        <v>1.624110574E9</v>
      </c>
      <c r="C36" s="40">
        <f>IFERROR(__xludf.DUMMYFUNCTION("INDEX(SPLIT(B36, char(10)), 0, 1)/86400+date(1970,1,1)"),44366.57608796297)</f>
        <v>44366.57609</v>
      </c>
      <c r="D36" s="44" t="s">
        <v>151</v>
      </c>
      <c r="E36" s="44" t="s">
        <v>1039</v>
      </c>
      <c r="F36" s="44" t="s">
        <v>1038</v>
      </c>
    </row>
    <row r="37">
      <c r="A37" s="44">
        <v>13.0</v>
      </c>
      <c r="B37" s="44">
        <v>1.62411062E9</v>
      </c>
      <c r="C37" s="40">
        <f>IFERROR(__xludf.DUMMYFUNCTION("INDEX(SPLIT(B37, char(10)), 0, 1)/86400+date(1970,1,1)"),44366.57662037037)</f>
        <v>44366.57662</v>
      </c>
      <c r="D37" s="44" t="s">
        <v>128</v>
      </c>
      <c r="E37" s="44" t="s">
        <v>1040</v>
      </c>
      <c r="F37" s="44" t="s">
        <v>1041</v>
      </c>
    </row>
    <row r="38">
      <c r="A38" s="44">
        <v>13.0</v>
      </c>
      <c r="B38" s="44">
        <v>1.624110645E9</v>
      </c>
      <c r="C38" s="40">
        <f>IFERROR(__xludf.DUMMYFUNCTION("INDEX(SPLIT(B38, char(10)), 0, 1)/86400+date(1970,1,1)"),44366.57690972222)</f>
        <v>44366.57691</v>
      </c>
      <c r="D38" s="44" t="s">
        <v>174</v>
      </c>
      <c r="E38" s="44" t="s">
        <v>1000</v>
      </c>
      <c r="F38" s="44" t="s">
        <v>1042</v>
      </c>
    </row>
    <row r="39">
      <c r="A39" s="44">
        <v>14.0</v>
      </c>
      <c r="B39" s="44">
        <v>1.624110768E9</v>
      </c>
      <c r="C39" s="40">
        <f>IFERROR(__xludf.DUMMYFUNCTION("INDEX(SPLIT(B39, char(10)), 0, 1)/86400+date(1970,1,1)"),44366.57833333334)</f>
        <v>44366.57833</v>
      </c>
      <c r="D39" s="44" t="s">
        <v>174</v>
      </c>
      <c r="E39" s="44" t="s">
        <v>1043</v>
      </c>
      <c r="F39" s="44" t="s">
        <v>1044</v>
      </c>
    </row>
    <row r="40">
      <c r="A40" s="44">
        <v>15.0</v>
      </c>
      <c r="B40" s="44">
        <v>1.624110915E9</v>
      </c>
      <c r="C40" s="40">
        <f>IFERROR(__xludf.DUMMYFUNCTION("INDEX(SPLIT(B40, char(10)), 0, 1)/86400+date(1970,1,1)"),44366.580034722225)</f>
        <v>44366.58003</v>
      </c>
      <c r="D40" s="44" t="s">
        <v>81</v>
      </c>
      <c r="E40" s="44" t="s">
        <v>1045</v>
      </c>
      <c r="F40" s="44" t="s">
        <v>1046</v>
      </c>
    </row>
    <row r="41">
      <c r="A41" s="44">
        <v>15.0</v>
      </c>
      <c r="B41" s="44">
        <v>1.624110919E9</v>
      </c>
      <c r="C41" s="40">
        <f>IFERROR(__xludf.DUMMYFUNCTION("INDEX(SPLIT(B41, char(10)), 0, 1)/86400+date(1970,1,1)"),44366.58008101852)</f>
        <v>44366.58008</v>
      </c>
      <c r="D41" s="44" t="s">
        <v>151</v>
      </c>
      <c r="E41" s="44" t="s">
        <v>1045</v>
      </c>
      <c r="F41" s="44" t="s">
        <v>1047</v>
      </c>
    </row>
    <row r="42">
      <c r="A42" s="44">
        <v>15.0</v>
      </c>
      <c r="B42" s="44">
        <v>1.624110922E9</v>
      </c>
      <c r="C42" s="40">
        <f>IFERROR(__xludf.DUMMYFUNCTION("INDEX(SPLIT(B42, char(10)), 0, 1)/86400+date(1970,1,1)"),44366.58011574074)</f>
        <v>44366.58012</v>
      </c>
      <c r="D42" s="44" t="s">
        <v>93</v>
      </c>
      <c r="E42" s="44" t="s">
        <v>1048</v>
      </c>
      <c r="F42" s="44" t="s">
        <v>1046</v>
      </c>
    </row>
    <row r="43">
      <c r="A43" s="44">
        <v>15.0</v>
      </c>
      <c r="B43" s="44">
        <v>1.62411093E9</v>
      </c>
      <c r="C43" s="40">
        <f>IFERROR(__xludf.DUMMYFUNCTION("INDEX(SPLIT(B43, char(10)), 0, 1)/86400+date(1970,1,1)"),44366.58020833333)</f>
        <v>44366.58021</v>
      </c>
      <c r="D43" s="44" t="s">
        <v>90</v>
      </c>
      <c r="E43" s="44" t="s">
        <v>1049</v>
      </c>
      <c r="F43" s="44" t="s">
        <v>1050</v>
      </c>
    </row>
    <row r="44">
      <c r="A44" s="44">
        <v>15.0</v>
      </c>
      <c r="B44" s="44">
        <v>1.624111E9</v>
      </c>
      <c r="C44" s="40">
        <f>IFERROR(__xludf.DUMMYFUNCTION("INDEX(SPLIT(B44, char(10)), 0, 1)/86400+date(1970,1,1)"),44366.58101851852)</f>
        <v>44366.58102</v>
      </c>
      <c r="D44" s="44" t="s">
        <v>174</v>
      </c>
      <c r="E44" s="44" t="s">
        <v>1051</v>
      </c>
      <c r="F44" s="44" t="s">
        <v>1052</v>
      </c>
    </row>
    <row r="45">
      <c r="A45" s="44">
        <v>16.0</v>
      </c>
      <c r="B45" s="44">
        <v>1.624111226E9</v>
      </c>
      <c r="C45" s="40">
        <f>IFERROR(__xludf.DUMMYFUNCTION("INDEX(SPLIT(B45, char(10)), 0, 1)/86400+date(1970,1,1)"),44366.58363425926)</f>
        <v>44366.58363</v>
      </c>
      <c r="D45" s="44" t="s">
        <v>81</v>
      </c>
      <c r="E45" s="44" t="s">
        <v>1053</v>
      </c>
      <c r="F45" s="44" t="s">
        <v>1054</v>
      </c>
    </row>
    <row r="46">
      <c r="A46" s="44">
        <v>17.0</v>
      </c>
      <c r="B46" s="44">
        <v>1.624111635E9</v>
      </c>
      <c r="C46" s="40">
        <f>IFERROR(__xludf.DUMMYFUNCTION("INDEX(SPLIT(B46, char(10)), 0, 1)/86400+date(1970,1,1)"),44366.588368055556)</f>
        <v>44366.58837</v>
      </c>
      <c r="D46" s="44" t="s">
        <v>96</v>
      </c>
      <c r="E46" s="44" t="s">
        <v>1055</v>
      </c>
      <c r="F46" s="44" t="s">
        <v>1056</v>
      </c>
    </row>
    <row r="47">
      <c r="A47" s="44">
        <v>17.0</v>
      </c>
      <c r="B47" s="44">
        <v>1.624111641E9</v>
      </c>
      <c r="C47" s="40">
        <f>IFERROR(__xludf.DUMMYFUNCTION("INDEX(SPLIT(B47, char(10)), 0, 1)/86400+date(1970,1,1)"),44366.5884375)</f>
        <v>44366.58844</v>
      </c>
      <c r="D47" s="44" t="s">
        <v>151</v>
      </c>
      <c r="E47" s="44" t="s">
        <v>1057</v>
      </c>
      <c r="F47" s="44" t="s">
        <v>1058</v>
      </c>
    </row>
    <row r="48">
      <c r="A48" s="44">
        <v>17.0</v>
      </c>
      <c r="B48" s="44">
        <v>1.624111642E9</v>
      </c>
      <c r="C48" s="40">
        <f>IFERROR(__xludf.DUMMYFUNCTION("INDEX(SPLIT(B48, char(10)), 0, 1)/86400+date(1970,1,1)"),44366.58844907407)</f>
        <v>44366.58845</v>
      </c>
      <c r="D48" s="44" t="s">
        <v>90</v>
      </c>
      <c r="E48" s="44" t="s">
        <v>1059</v>
      </c>
      <c r="F48" s="44" t="s">
        <v>1060</v>
      </c>
    </row>
    <row r="49">
      <c r="A49" s="44">
        <v>18.0</v>
      </c>
      <c r="B49" s="44">
        <v>1.624111836E9</v>
      </c>
      <c r="C49" s="40">
        <f>IFERROR(__xludf.DUMMYFUNCTION("INDEX(SPLIT(B49, char(10)), 0, 1)/86400+date(1970,1,1)"),44366.59069444444)</f>
        <v>44366.59069</v>
      </c>
      <c r="D49" s="44" t="s">
        <v>90</v>
      </c>
      <c r="E49" s="44" t="s">
        <v>1061</v>
      </c>
      <c r="F49" s="44" t="s">
        <v>1062</v>
      </c>
    </row>
    <row r="50">
      <c r="A50" s="44">
        <v>19.0</v>
      </c>
      <c r="B50" s="44">
        <v>1.62411206E9</v>
      </c>
      <c r="C50" s="40">
        <f>IFERROR(__xludf.DUMMYFUNCTION("INDEX(SPLIT(B50, char(10)), 0, 1)/86400+date(1970,1,1)"),44366.59328703704)</f>
        <v>44366.59329</v>
      </c>
      <c r="D50" s="44" t="s">
        <v>81</v>
      </c>
      <c r="E50" s="44" t="s">
        <v>1063</v>
      </c>
      <c r="F50" s="44" t="s">
        <v>1064</v>
      </c>
    </row>
    <row r="51">
      <c r="A51" s="44">
        <v>19.0</v>
      </c>
      <c r="B51" s="44">
        <v>1.624112123E9</v>
      </c>
      <c r="C51" s="40">
        <f>IFERROR(__xludf.DUMMYFUNCTION("INDEX(SPLIT(B51, char(10)), 0, 1)/86400+date(1970,1,1)"),44366.5940162037)</f>
        <v>44366.59402</v>
      </c>
      <c r="D51" s="44" t="s">
        <v>90</v>
      </c>
      <c r="E51" s="44" t="s">
        <v>1065</v>
      </c>
      <c r="F51" s="44" t="s">
        <v>1066</v>
      </c>
    </row>
    <row r="52">
      <c r="A52" s="44">
        <v>20.0</v>
      </c>
      <c r="B52" s="44">
        <v>1.624112246E9</v>
      </c>
      <c r="C52" s="40">
        <f>IFERROR(__xludf.DUMMYFUNCTION("INDEX(SPLIT(B52, char(10)), 0, 1)/86400+date(1970,1,1)"),44366.59543981482)</f>
        <v>44366.59544</v>
      </c>
      <c r="D52" s="44" t="s">
        <v>90</v>
      </c>
      <c r="E52" s="44" t="s">
        <v>1067</v>
      </c>
      <c r="F52" s="44" t="s">
        <v>1068</v>
      </c>
    </row>
    <row r="53">
      <c r="A53" s="44">
        <v>20.0</v>
      </c>
      <c r="B53" s="44">
        <v>1.624112266E9</v>
      </c>
      <c r="C53" s="40">
        <f>IFERROR(__xludf.DUMMYFUNCTION("INDEX(SPLIT(B53, char(10)), 0, 1)/86400+date(1970,1,1)"),44366.595671296294)</f>
        <v>44366.59567</v>
      </c>
      <c r="D53" s="44" t="s">
        <v>81</v>
      </c>
      <c r="E53" s="44" t="s">
        <v>1069</v>
      </c>
      <c r="F53" s="44" t="s">
        <v>1070</v>
      </c>
    </row>
    <row r="54">
      <c r="A54" s="44">
        <v>20.0</v>
      </c>
      <c r="B54" s="44">
        <v>1.624112317E9</v>
      </c>
      <c r="C54" s="40">
        <f>IFERROR(__xludf.DUMMYFUNCTION("INDEX(SPLIT(B54, char(10)), 0, 1)/86400+date(1970,1,1)"),44366.59626157407)</f>
        <v>44366.59626</v>
      </c>
      <c r="D54" s="44" t="s">
        <v>103</v>
      </c>
      <c r="E54" s="44" t="s">
        <v>198</v>
      </c>
      <c r="F54" s="44" t="s">
        <v>1071</v>
      </c>
    </row>
    <row r="55">
      <c r="A55" s="44">
        <v>21.0</v>
      </c>
      <c r="B55" s="44">
        <v>1.624112463E9</v>
      </c>
      <c r="C55" s="40">
        <f>IFERROR(__xludf.DUMMYFUNCTION("INDEX(SPLIT(B55, char(10)), 0, 1)/86400+date(1970,1,1)"),44366.59795138889)</f>
        <v>44366.59795</v>
      </c>
      <c r="D55" s="44" t="s">
        <v>174</v>
      </c>
      <c r="E55" s="44" t="s">
        <v>876</v>
      </c>
      <c r="F55" s="44" t="s">
        <v>1072</v>
      </c>
    </row>
    <row r="56">
      <c r="A56" s="44">
        <v>22.0</v>
      </c>
      <c r="B56" s="44">
        <v>1.624112594E9</v>
      </c>
      <c r="C56" s="40">
        <f>IFERROR(__xludf.DUMMYFUNCTION("INDEX(SPLIT(B56, char(10)), 0, 1)/86400+date(1970,1,1)"),44366.59946759259)</f>
        <v>44366.59947</v>
      </c>
      <c r="D56" s="44" t="s">
        <v>103</v>
      </c>
      <c r="E56" s="44" t="s">
        <v>1073</v>
      </c>
      <c r="F56" s="44" t="s">
        <v>1074</v>
      </c>
    </row>
    <row r="57">
      <c r="A57" s="44">
        <v>22.0</v>
      </c>
      <c r="B57" s="44">
        <v>1.624112618E9</v>
      </c>
      <c r="C57" s="40">
        <f>IFERROR(__xludf.DUMMYFUNCTION("INDEX(SPLIT(B57, char(10)), 0, 1)/86400+date(1970,1,1)"),44366.599745370375)</f>
        <v>44366.59975</v>
      </c>
      <c r="D57" s="44" t="s">
        <v>81</v>
      </c>
      <c r="E57" s="44" t="s">
        <v>1075</v>
      </c>
      <c r="F57" s="44" t="s">
        <v>1076</v>
      </c>
    </row>
    <row r="58">
      <c r="A58" s="44">
        <v>22.0</v>
      </c>
      <c r="B58" s="44">
        <v>1.624112622E9</v>
      </c>
      <c r="C58" s="40">
        <f>IFERROR(__xludf.DUMMYFUNCTION("INDEX(SPLIT(B58, char(10)), 0, 1)/86400+date(1970,1,1)"),44366.59979166667)</f>
        <v>44366.59979</v>
      </c>
      <c r="D58" s="44" t="s">
        <v>90</v>
      </c>
      <c r="E58" s="44" t="s">
        <v>1077</v>
      </c>
      <c r="F58" s="44" t="s">
        <v>1078</v>
      </c>
    </row>
    <row r="59">
      <c r="A59" s="44">
        <v>23.0</v>
      </c>
      <c r="B59" s="44">
        <v>1.624112749E9</v>
      </c>
      <c r="C59" s="40">
        <f>IFERROR(__xludf.DUMMYFUNCTION("INDEX(SPLIT(B59, char(10)), 0, 1)/86400+date(1970,1,1)"),44366.60126157408)</f>
        <v>44366.60126</v>
      </c>
      <c r="D59" s="44" t="s">
        <v>103</v>
      </c>
      <c r="E59" s="44" t="s">
        <v>1079</v>
      </c>
      <c r="F59" s="44" t="s">
        <v>1080</v>
      </c>
    </row>
    <row r="60">
      <c r="A60" s="44">
        <v>23.0</v>
      </c>
      <c r="B60" s="44">
        <v>1.62411275E9</v>
      </c>
      <c r="C60" s="40">
        <f>IFERROR(__xludf.DUMMYFUNCTION("INDEX(SPLIT(B60, char(10)), 0, 1)/86400+date(1970,1,1)"),44366.601273148146)</f>
        <v>44366.60127</v>
      </c>
      <c r="D60" s="44" t="s">
        <v>128</v>
      </c>
      <c r="E60" s="44" t="s">
        <v>1081</v>
      </c>
      <c r="F60" s="44" t="s">
        <v>1082</v>
      </c>
    </row>
    <row r="61">
      <c r="A61" s="44">
        <v>23.0</v>
      </c>
      <c r="B61" s="44">
        <v>1.624112765E9</v>
      </c>
      <c r="C61" s="40">
        <f>IFERROR(__xludf.DUMMYFUNCTION("INDEX(SPLIT(B61, char(10)), 0, 1)/86400+date(1970,1,1)"),44366.60144675926)</f>
        <v>44366.60145</v>
      </c>
      <c r="D61" s="44" t="s">
        <v>81</v>
      </c>
      <c r="E61" s="44" t="s">
        <v>1083</v>
      </c>
      <c r="F61" s="44" t="s">
        <v>1084</v>
      </c>
    </row>
    <row r="62">
      <c r="A62" s="44">
        <v>23.0</v>
      </c>
      <c r="B62" s="44">
        <v>1.624112797E9</v>
      </c>
      <c r="C62" s="40">
        <f>IFERROR(__xludf.DUMMYFUNCTION("INDEX(SPLIT(B62, char(10)), 0, 1)/86400+date(1970,1,1)"),44366.60181712963)</f>
        <v>44366.60182</v>
      </c>
      <c r="D62" s="44" t="s">
        <v>93</v>
      </c>
      <c r="E62" s="44" t="s">
        <v>1085</v>
      </c>
      <c r="F62" s="44" t="s">
        <v>1086</v>
      </c>
    </row>
    <row r="63">
      <c r="A63" s="44">
        <v>23.0</v>
      </c>
      <c r="B63" s="44">
        <v>1.624112802E9</v>
      </c>
      <c r="C63" s="40">
        <f>IFERROR(__xludf.DUMMYFUNCTION("INDEX(SPLIT(B63, char(10)), 0, 1)/86400+date(1970,1,1)"),44366.601875)</f>
        <v>44366.60188</v>
      </c>
      <c r="D63" s="44" t="s">
        <v>131</v>
      </c>
      <c r="E63" s="44" t="s">
        <v>194</v>
      </c>
      <c r="F63" s="44" t="s">
        <v>1087</v>
      </c>
    </row>
    <row r="64">
      <c r="A64" s="44">
        <v>23.0</v>
      </c>
      <c r="B64" s="44">
        <v>1.624112833E9</v>
      </c>
      <c r="C64" s="40">
        <f>IFERROR(__xludf.DUMMYFUNCTION("INDEX(SPLIT(B64, char(10)), 0, 1)/86400+date(1970,1,1)"),44366.60223379629)</f>
        <v>44366.60223</v>
      </c>
      <c r="D64" s="44" t="s">
        <v>151</v>
      </c>
      <c r="E64" s="44" t="s">
        <v>992</v>
      </c>
      <c r="F64" s="44" t="s">
        <v>1088</v>
      </c>
    </row>
    <row r="65">
      <c r="A65" s="44">
        <v>23.0</v>
      </c>
      <c r="B65" s="44">
        <v>1.624112838E9</v>
      </c>
      <c r="C65" s="40">
        <f>IFERROR(__xludf.DUMMYFUNCTION("INDEX(SPLIT(B65, char(10)), 0, 1)/86400+date(1970,1,1)"),44366.60229166667)</f>
        <v>44366.60229</v>
      </c>
      <c r="D65" s="44" t="s">
        <v>136</v>
      </c>
      <c r="E65" s="44" t="s">
        <v>1033</v>
      </c>
      <c r="F65" s="44" t="s">
        <v>1089</v>
      </c>
    </row>
    <row r="66">
      <c r="A66" s="44">
        <v>24.0</v>
      </c>
      <c r="B66" s="44">
        <v>1.624112844E9</v>
      </c>
      <c r="C66" s="40">
        <f>IFERROR(__xludf.DUMMYFUNCTION("INDEX(SPLIT(B66, char(10)), 0, 1)/86400+date(1970,1,1)"),44366.602361111116)</f>
        <v>44366.60236</v>
      </c>
      <c r="D66" s="44" t="s">
        <v>90</v>
      </c>
      <c r="E66" s="44" t="s">
        <v>992</v>
      </c>
      <c r="F66" s="44" t="s">
        <v>1090</v>
      </c>
    </row>
    <row r="67">
      <c r="A67" s="44">
        <v>24.0</v>
      </c>
      <c r="B67" s="44">
        <v>1.624112903E9</v>
      </c>
      <c r="C67" s="40">
        <f>IFERROR(__xludf.DUMMYFUNCTION("INDEX(SPLIT(B67, char(10)), 0, 1)/86400+date(1970,1,1)"),44366.60304398148)</f>
        <v>44366.60304</v>
      </c>
      <c r="D67" s="44" t="s">
        <v>93</v>
      </c>
      <c r="E67" s="44" t="s">
        <v>1091</v>
      </c>
      <c r="F67" s="44" t="s">
        <v>1092</v>
      </c>
    </row>
    <row r="68">
      <c r="A68" s="44">
        <v>24.0</v>
      </c>
      <c r="B68" s="44">
        <v>1.624112927E9</v>
      </c>
      <c r="C68" s="40">
        <f>IFERROR(__xludf.DUMMYFUNCTION("INDEX(SPLIT(B68, char(10)), 0, 1)/86400+date(1970,1,1)"),44366.60332175926)</f>
        <v>44366.60332</v>
      </c>
      <c r="D68" s="44" t="s">
        <v>81</v>
      </c>
      <c r="E68" s="44" t="s">
        <v>1093</v>
      </c>
      <c r="F68" s="44" t="s">
        <v>1094</v>
      </c>
    </row>
    <row r="69">
      <c r="A69" s="44">
        <v>25.0</v>
      </c>
      <c r="B69" s="44">
        <v>1.624113081E9</v>
      </c>
      <c r="C69" s="40">
        <f>IFERROR(__xludf.DUMMYFUNCTION("INDEX(SPLIT(B69, char(10)), 0, 1)/86400+date(1970,1,1)"),44366.605104166665)</f>
        <v>44366.6051</v>
      </c>
      <c r="D69" s="44" t="s">
        <v>81</v>
      </c>
      <c r="E69" s="44" t="s">
        <v>1095</v>
      </c>
      <c r="F69" s="44" t="s">
        <v>1096</v>
      </c>
    </row>
    <row r="70">
      <c r="A70" s="44">
        <v>25.0</v>
      </c>
      <c r="B70" s="44">
        <v>1.624113156E9</v>
      </c>
      <c r="C70" s="40">
        <f>IFERROR(__xludf.DUMMYFUNCTION("INDEX(SPLIT(B70, char(10)), 0, 1)/86400+date(1970,1,1)"),44366.60597222223)</f>
        <v>44366.60597</v>
      </c>
      <c r="D70" s="44" t="s">
        <v>90</v>
      </c>
      <c r="E70" s="44" t="s">
        <v>1097</v>
      </c>
      <c r="F70" s="44" t="s">
        <v>1098</v>
      </c>
    </row>
    <row r="71">
      <c r="A71" s="44">
        <v>26.0</v>
      </c>
      <c r="B71" s="44">
        <v>1.624113179E9</v>
      </c>
      <c r="C71" s="40">
        <f>IFERROR(__xludf.DUMMYFUNCTION("INDEX(SPLIT(B71, char(10)), 0, 1)/86400+date(1970,1,1)"),44366.60623842593)</f>
        <v>44366.60624</v>
      </c>
      <c r="D71" s="44" t="s">
        <v>103</v>
      </c>
      <c r="E71" s="44" t="s">
        <v>162</v>
      </c>
      <c r="F71" s="44" t="s">
        <v>1099</v>
      </c>
    </row>
    <row r="72">
      <c r="A72" s="44">
        <v>26.0</v>
      </c>
      <c r="B72" s="44">
        <v>1.624113255E9</v>
      </c>
      <c r="C72" s="40">
        <f>IFERROR(__xludf.DUMMYFUNCTION("INDEX(SPLIT(B72, char(10)), 0, 1)/86400+date(1970,1,1)"),44366.60711805556)</f>
        <v>44366.60712</v>
      </c>
      <c r="D72" s="44" t="s">
        <v>93</v>
      </c>
      <c r="E72" s="44" t="s">
        <v>1100</v>
      </c>
      <c r="F72" s="44" t="s">
        <v>1101</v>
      </c>
    </row>
    <row r="73">
      <c r="A73" s="44">
        <v>27.0</v>
      </c>
      <c r="B73" s="44">
        <v>1.624113289E9</v>
      </c>
      <c r="C73" s="40">
        <f>IFERROR(__xludf.DUMMYFUNCTION("INDEX(SPLIT(B73, char(10)), 0, 1)/86400+date(1970,1,1)"),44366.607511574075)</f>
        <v>44366.60751</v>
      </c>
      <c r="D73" s="44" t="s">
        <v>103</v>
      </c>
      <c r="E73" s="44" t="s">
        <v>698</v>
      </c>
      <c r="F73" s="44" t="s">
        <v>1102</v>
      </c>
    </row>
    <row r="74">
      <c r="A74" s="44">
        <v>27.0</v>
      </c>
      <c r="B74" s="44">
        <v>1.624113325E9</v>
      </c>
      <c r="C74" s="40">
        <f>IFERROR(__xludf.DUMMYFUNCTION("INDEX(SPLIT(B74, char(10)), 0, 1)/86400+date(1970,1,1)"),44366.607928240745)</f>
        <v>44366.60793</v>
      </c>
      <c r="D74" s="44" t="s">
        <v>81</v>
      </c>
      <c r="E74" s="44" t="s">
        <v>1103</v>
      </c>
      <c r="F74" s="44" t="s">
        <v>1104</v>
      </c>
    </row>
    <row r="75">
      <c r="A75" s="44">
        <v>27.0</v>
      </c>
      <c r="B75" s="44">
        <v>1.624113377E9</v>
      </c>
      <c r="C75" s="40">
        <f>IFERROR(__xludf.DUMMYFUNCTION("INDEX(SPLIT(B75, char(10)), 0, 1)/86400+date(1970,1,1)"),44366.60853009259)</f>
        <v>44366.60853</v>
      </c>
      <c r="D75" s="44" t="s">
        <v>90</v>
      </c>
      <c r="E75" s="44" t="s">
        <v>1105</v>
      </c>
      <c r="F75" s="44" t="s">
        <v>1106</v>
      </c>
    </row>
    <row r="76">
      <c r="A76" s="44">
        <v>28.0</v>
      </c>
      <c r="B76" s="44">
        <v>1.624113389E9</v>
      </c>
      <c r="C76" s="40">
        <f>IFERROR(__xludf.DUMMYFUNCTION("INDEX(SPLIT(B76, char(10)), 0, 1)/86400+date(1970,1,1)"),44366.608668981484)</f>
        <v>44366.60867</v>
      </c>
      <c r="D76" s="44" t="s">
        <v>93</v>
      </c>
      <c r="E76" s="44" t="s">
        <v>1000</v>
      </c>
      <c r="F76" s="44" t="s">
        <v>1107</v>
      </c>
    </row>
    <row r="77">
      <c r="A77" s="44">
        <v>28.0</v>
      </c>
      <c r="B77" s="44">
        <v>1.624113399E9</v>
      </c>
      <c r="C77" s="40">
        <f>IFERROR(__xludf.DUMMYFUNCTION("INDEX(SPLIT(B77, char(10)), 0, 1)/86400+date(1970,1,1)"),44366.60878472222)</f>
        <v>44366.60878</v>
      </c>
      <c r="D77" s="44" t="s">
        <v>96</v>
      </c>
      <c r="E77" s="44" t="s">
        <v>418</v>
      </c>
      <c r="F77" s="44" t="s">
        <v>1108</v>
      </c>
    </row>
    <row r="78">
      <c r="A78" s="44">
        <v>28.0</v>
      </c>
      <c r="B78" s="44">
        <v>1.624113431E9</v>
      </c>
      <c r="C78" s="40">
        <f>IFERROR(__xludf.DUMMYFUNCTION("INDEX(SPLIT(B78, char(10)), 0, 1)/86400+date(1970,1,1)"),44366.60915509259)</f>
        <v>44366.60916</v>
      </c>
      <c r="D78" s="44" t="s">
        <v>103</v>
      </c>
      <c r="E78" s="44" t="s">
        <v>1109</v>
      </c>
      <c r="F78" s="44" t="s">
        <v>1110</v>
      </c>
    </row>
    <row r="79">
      <c r="A79" s="44">
        <v>29.0</v>
      </c>
      <c r="B79" s="44">
        <v>1.624113539E9</v>
      </c>
      <c r="C79" s="40">
        <f>IFERROR(__xludf.DUMMYFUNCTION("INDEX(SPLIT(B79, char(10)), 0, 1)/86400+date(1970,1,1)"),44366.61040509259)</f>
        <v>44366.61041</v>
      </c>
      <c r="D79" s="44" t="s">
        <v>90</v>
      </c>
      <c r="E79" s="44" t="s">
        <v>1000</v>
      </c>
      <c r="F79" s="44" t="s">
        <v>1111</v>
      </c>
    </row>
    <row r="80">
      <c r="A80" s="44">
        <v>30.0</v>
      </c>
      <c r="B80" s="44">
        <v>1.624113749E9</v>
      </c>
      <c r="C80" s="40">
        <f>IFERROR(__xludf.DUMMYFUNCTION("INDEX(SPLIT(B80, char(10)), 0, 1)/86400+date(1970,1,1)"),44366.61283564815)</f>
        <v>44366.61284</v>
      </c>
      <c r="D80" s="44" t="s">
        <v>93</v>
      </c>
      <c r="E80" s="44" t="s">
        <v>992</v>
      </c>
      <c r="F80" s="44" t="s">
        <v>1112</v>
      </c>
    </row>
    <row r="81">
      <c r="A81" s="44">
        <v>30.0</v>
      </c>
      <c r="B81" s="44">
        <v>1.62411375E9</v>
      </c>
      <c r="C81" s="40">
        <f>IFERROR(__xludf.DUMMYFUNCTION("INDEX(SPLIT(B81, char(10)), 0, 1)/86400+date(1970,1,1)"),44366.61284722222)</f>
        <v>44366.61285</v>
      </c>
      <c r="D81" s="44" t="s">
        <v>174</v>
      </c>
      <c r="E81" s="44" t="s">
        <v>1113</v>
      </c>
      <c r="F81" s="44" t="s">
        <v>1114</v>
      </c>
    </row>
    <row r="82">
      <c r="A82" s="44">
        <v>30.0</v>
      </c>
      <c r="B82" s="44">
        <v>1.624113823E9</v>
      </c>
      <c r="C82" s="40">
        <f>IFERROR(__xludf.DUMMYFUNCTION("INDEX(SPLIT(B82, char(10)), 0, 1)/86400+date(1970,1,1)"),44366.61369212963)</f>
        <v>44366.61369</v>
      </c>
      <c r="D82" s="44" t="s">
        <v>136</v>
      </c>
      <c r="E82" s="44" t="s">
        <v>992</v>
      </c>
      <c r="F82" s="44" t="s">
        <v>1115</v>
      </c>
    </row>
    <row r="83">
      <c r="A83" s="44">
        <v>31.0</v>
      </c>
      <c r="B83" s="44">
        <v>1.624113858E9</v>
      </c>
      <c r="C83" s="40">
        <f>IFERROR(__xludf.DUMMYFUNCTION("INDEX(SPLIT(B83, char(10)), 0, 1)/86400+date(1970,1,1)"),44366.61409722222)</f>
        <v>44366.6141</v>
      </c>
      <c r="D83" s="44" t="s">
        <v>81</v>
      </c>
      <c r="E83" s="44" t="s">
        <v>1116</v>
      </c>
      <c r="F83" s="44" t="s">
        <v>1117</v>
      </c>
    </row>
    <row r="84">
      <c r="A84" s="44">
        <v>31.0</v>
      </c>
      <c r="B84" s="44">
        <v>1.624113887E9</v>
      </c>
      <c r="C84" s="40">
        <f>IFERROR(__xludf.DUMMYFUNCTION("INDEX(SPLIT(B84, char(10)), 0, 1)/86400+date(1970,1,1)"),44366.61443287037)</f>
        <v>44366.61443</v>
      </c>
      <c r="D84" s="44" t="s">
        <v>174</v>
      </c>
      <c r="E84" s="44" t="s">
        <v>585</v>
      </c>
      <c r="F84" s="44" t="s">
        <v>1118</v>
      </c>
    </row>
    <row r="85">
      <c r="A85" s="44">
        <v>32.0</v>
      </c>
      <c r="B85" s="44">
        <v>1.624114078E9</v>
      </c>
      <c r="C85" s="40">
        <f>IFERROR(__xludf.DUMMYFUNCTION("INDEX(SPLIT(B85, char(10)), 0, 1)/86400+date(1970,1,1)"),44366.616643518515)</f>
        <v>44366.61664</v>
      </c>
      <c r="D85" s="44" t="s">
        <v>96</v>
      </c>
      <c r="E85" s="44" t="s">
        <v>1119</v>
      </c>
      <c r="F85" s="44" t="s">
        <v>1120</v>
      </c>
    </row>
    <row r="86">
      <c r="A86" s="44">
        <v>33.0</v>
      </c>
      <c r="B86" s="44">
        <v>1.624114233E9</v>
      </c>
      <c r="C86" s="40">
        <f>IFERROR(__xludf.DUMMYFUNCTION("INDEX(SPLIT(B86, char(10)), 0, 1)/86400+date(1970,1,1)"),44366.6184375)</f>
        <v>44366.61844</v>
      </c>
      <c r="D86" s="44" t="s">
        <v>90</v>
      </c>
      <c r="E86" s="44" t="s">
        <v>1121</v>
      </c>
      <c r="F86" s="44" t="s">
        <v>1122</v>
      </c>
    </row>
    <row r="87">
      <c r="A87" s="44">
        <v>33.0</v>
      </c>
      <c r="B87" s="44">
        <v>1.624114238E9</v>
      </c>
      <c r="C87" s="40">
        <f>IFERROR(__xludf.DUMMYFUNCTION("INDEX(SPLIT(B87, char(10)), 0, 1)/86400+date(1970,1,1)"),44366.61849537037)</f>
        <v>44366.6185</v>
      </c>
      <c r="D87" s="44" t="s">
        <v>81</v>
      </c>
      <c r="E87" s="44" t="s">
        <v>984</v>
      </c>
      <c r="F87" s="44" t="s">
        <v>1123</v>
      </c>
    </row>
    <row r="88">
      <c r="A88" s="44">
        <v>33.0</v>
      </c>
      <c r="B88" s="44">
        <v>1.624114254E9</v>
      </c>
      <c r="C88" s="40">
        <f>IFERROR(__xludf.DUMMYFUNCTION("INDEX(SPLIT(B88, char(10)), 0, 1)/86400+date(1970,1,1)"),44366.618680555555)</f>
        <v>44366.61868</v>
      </c>
      <c r="D88" s="44" t="s">
        <v>103</v>
      </c>
      <c r="E88" s="44" t="s">
        <v>1124</v>
      </c>
      <c r="F88" s="44" t="s">
        <v>1125</v>
      </c>
    </row>
    <row r="89">
      <c r="A89" s="44">
        <v>34.0</v>
      </c>
      <c r="B89" s="44">
        <v>1.624114457E9</v>
      </c>
      <c r="C89" s="40">
        <f>IFERROR(__xludf.DUMMYFUNCTION("INDEX(SPLIT(B89, char(10)), 0, 1)/86400+date(1970,1,1)"),44366.62103009259)</f>
        <v>44366.62103</v>
      </c>
      <c r="D89" s="44" t="s">
        <v>103</v>
      </c>
      <c r="E89" s="44" t="s">
        <v>1126</v>
      </c>
      <c r="F89" s="44" t="s">
        <v>1127</v>
      </c>
    </row>
    <row r="90">
      <c r="A90" s="44">
        <v>34.0</v>
      </c>
      <c r="B90" s="44">
        <v>1.624114497E9</v>
      </c>
      <c r="C90" s="40">
        <f>IFERROR(__xludf.DUMMYFUNCTION("INDEX(SPLIT(B90, char(10)), 0, 1)/86400+date(1970,1,1)"),44366.62149305556)</f>
        <v>44366.62149</v>
      </c>
      <c r="D90" s="44" t="s">
        <v>124</v>
      </c>
      <c r="E90" s="44" t="s">
        <v>1128</v>
      </c>
      <c r="F90" s="44" t="s">
        <v>1129</v>
      </c>
    </row>
    <row r="91">
      <c r="A91" s="44">
        <v>35.0</v>
      </c>
      <c r="B91" s="44">
        <v>1.624114556E9</v>
      </c>
      <c r="C91" s="40">
        <f>IFERROR(__xludf.DUMMYFUNCTION("INDEX(SPLIT(B91, char(10)), 0, 1)/86400+date(1970,1,1)"),44366.62217592592)</f>
        <v>44366.62218</v>
      </c>
      <c r="D91" s="44" t="s">
        <v>81</v>
      </c>
      <c r="E91" s="44" t="s">
        <v>1130</v>
      </c>
      <c r="F91" s="44" t="s">
        <v>1131</v>
      </c>
    </row>
    <row r="92">
      <c r="A92" s="44">
        <v>35.0</v>
      </c>
      <c r="B92" s="44">
        <v>1.624114567E9</v>
      </c>
      <c r="C92" s="40">
        <f>IFERROR(__xludf.DUMMYFUNCTION("INDEX(SPLIT(B92, char(10)), 0, 1)/86400+date(1970,1,1)"),44366.62230324074)</f>
        <v>44366.6223</v>
      </c>
      <c r="D92" s="44" t="s">
        <v>103</v>
      </c>
      <c r="E92" s="44" t="s">
        <v>1132</v>
      </c>
      <c r="F92" s="44" t="s">
        <v>1133</v>
      </c>
    </row>
    <row r="93">
      <c r="A93" s="44">
        <v>35.0</v>
      </c>
      <c r="B93" s="44">
        <v>1.624114584E9</v>
      </c>
      <c r="C93" s="40">
        <f>IFERROR(__xludf.DUMMYFUNCTION("INDEX(SPLIT(B93, char(10)), 0, 1)/86400+date(1970,1,1)"),44366.6225)</f>
        <v>44366.6225</v>
      </c>
      <c r="D93" s="44" t="s">
        <v>151</v>
      </c>
      <c r="E93" s="44" t="s">
        <v>1029</v>
      </c>
      <c r="F93" s="44" t="s">
        <v>1134</v>
      </c>
    </row>
    <row r="94">
      <c r="A94" s="44">
        <v>35.0</v>
      </c>
      <c r="B94" s="44">
        <v>1.624114586E9</v>
      </c>
      <c r="C94" s="40">
        <f>IFERROR(__xludf.DUMMYFUNCTION("INDEX(SPLIT(B94, char(10)), 0, 1)/86400+date(1970,1,1)"),44366.62252314815)</f>
        <v>44366.62252</v>
      </c>
      <c r="D94" s="44" t="s">
        <v>90</v>
      </c>
      <c r="E94" s="44" t="s">
        <v>1135</v>
      </c>
      <c r="F94" s="44" t="s">
        <v>1136</v>
      </c>
    </row>
    <row r="95">
      <c r="A95" s="44">
        <v>36.0</v>
      </c>
      <c r="B95" s="44">
        <v>1.624114678E9</v>
      </c>
      <c r="C95" s="40">
        <f>IFERROR(__xludf.DUMMYFUNCTION("INDEX(SPLIT(B95, char(10)), 0, 1)/86400+date(1970,1,1)"),44366.62358796297)</f>
        <v>44366.62359</v>
      </c>
      <c r="D95" s="44" t="s">
        <v>93</v>
      </c>
      <c r="E95" s="44" t="s">
        <v>1137</v>
      </c>
      <c r="F95" s="44" t="s">
        <v>1138</v>
      </c>
    </row>
    <row r="96">
      <c r="A96" s="44">
        <v>36.0</v>
      </c>
      <c r="B96" s="44">
        <v>1.624114678E9</v>
      </c>
      <c r="C96" s="40">
        <f>IFERROR(__xludf.DUMMYFUNCTION("INDEX(SPLIT(B96, char(10)), 0, 1)/86400+date(1970,1,1)"),44366.62358796297)</f>
        <v>44366.62359</v>
      </c>
      <c r="D96" s="44" t="s">
        <v>96</v>
      </c>
      <c r="E96" s="44" t="s">
        <v>1139</v>
      </c>
      <c r="F96" s="44" t="s">
        <v>1140</v>
      </c>
    </row>
    <row r="97">
      <c r="A97" s="44">
        <v>36.0</v>
      </c>
      <c r="B97" s="44">
        <v>1.624114681E9</v>
      </c>
      <c r="C97" s="40">
        <f>IFERROR(__xludf.DUMMYFUNCTION("INDEX(SPLIT(B97, char(10)), 0, 1)/86400+date(1970,1,1)"),44366.62362268519)</f>
        <v>44366.62362</v>
      </c>
      <c r="D97" s="44" t="s">
        <v>136</v>
      </c>
      <c r="E97" s="44" t="s">
        <v>1141</v>
      </c>
      <c r="F97" s="44" t="s">
        <v>1142</v>
      </c>
    </row>
    <row r="98">
      <c r="A98" s="44">
        <v>36.0</v>
      </c>
      <c r="B98" s="44">
        <v>1.624114711E9</v>
      </c>
      <c r="C98" s="40">
        <f>IFERROR(__xludf.DUMMYFUNCTION("INDEX(SPLIT(B98, char(10)), 0, 1)/86400+date(1970,1,1)"),44366.62396990741)</f>
        <v>44366.62397</v>
      </c>
      <c r="D98" s="44" t="s">
        <v>90</v>
      </c>
      <c r="E98" s="44" t="s">
        <v>1143</v>
      </c>
      <c r="F98" s="44" t="s">
        <v>1144</v>
      </c>
    </row>
    <row r="99">
      <c r="C99" s="40"/>
    </row>
    <row r="100">
      <c r="C100" s="40"/>
    </row>
    <row r="101">
      <c r="C101" s="40"/>
      <c r="D101" s="40"/>
      <c r="E101" s="40"/>
      <c r="F101" s="40"/>
    </row>
    <row r="102">
      <c r="C102" s="40"/>
      <c r="D102" s="40"/>
      <c r="E102" s="40"/>
      <c r="F102" s="40"/>
    </row>
    <row r="103">
      <c r="C103" s="40"/>
      <c r="D103" s="40"/>
      <c r="E103" s="40"/>
      <c r="F103" s="40"/>
    </row>
    <row r="104">
      <c r="C104" s="40"/>
      <c r="D104" s="40"/>
      <c r="E104" s="40"/>
      <c r="F104" s="40"/>
    </row>
    <row r="105">
      <c r="C105" s="40"/>
      <c r="D105" s="40"/>
      <c r="E105" s="40"/>
      <c r="F105" s="40"/>
    </row>
    <row r="106">
      <c r="C106" s="40"/>
      <c r="D106" s="40"/>
      <c r="E106" s="40"/>
      <c r="F106" s="40"/>
    </row>
    <row r="107">
      <c r="C107" s="40"/>
      <c r="D107" s="40"/>
      <c r="E107" s="40"/>
      <c r="F107" s="40"/>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9.0" topLeftCell="E10" activePane="bottomRight" state="frozen"/>
      <selection activeCell="E1" sqref="E1" pane="topRight"/>
      <selection activeCell="A10" sqref="A10" pane="bottomLeft"/>
      <selection activeCell="E10" sqref="E10" pane="bottomRight"/>
    </sheetView>
  </sheetViews>
  <sheetFormatPr customHeight="1" defaultColWidth="12.63" defaultRowHeight="15.75"/>
  <cols>
    <col customWidth="1" min="1" max="1" width="12.0"/>
    <col customWidth="1" min="2" max="2" width="17.13"/>
    <col customWidth="1" min="3" max="3" width="9.13"/>
    <col customWidth="1" min="4" max="4" width="9.75"/>
    <col customWidth="1" min="5" max="5" width="17.13"/>
    <col customWidth="1" min="6" max="6" width="25.75"/>
    <col customWidth="1" min="9" max="9" width="15.88"/>
  </cols>
  <sheetData>
    <row r="1" hidden="1">
      <c r="A1" s="1"/>
      <c r="B1" s="1"/>
      <c r="C1" s="1"/>
      <c r="D1" s="1"/>
      <c r="E1" s="1" t="s">
        <v>30</v>
      </c>
      <c r="F1" s="5" t="str">
        <f>IFERROR(__xludf.DUMMYFUNCTION("TRANSPOSE(UNIQUE(INDIRECT(B2&amp;""!D2:D107"")))"),"['deflect', 'kick', 'corner', 'shot', 'net']")</f>
        <v>['deflect', 'kick', 'corner', 'shot', 'net']</v>
      </c>
      <c r="G1" s="5" t="str">
        <f>IFERROR(__xludf.DUMMYFUNCTION("""COMPUTED_VALUE"""),"['tackl', 'dribbl', 'yellow', 'red', 'card']")</f>
        <v>['tackl', 'dribbl', 'yellow', 'red', 'card']</v>
      </c>
      <c r="H1" s="5" t="str">
        <f>IFERROR(__xludf.DUMMYFUNCTION("""COMPUTED_VALUE"""),"['goal', 'score', 'conced', 'equalis', 'offsid', 'assist']")</f>
        <v>['goal', 'score', 'conced', 'equalis', 'offsid', 'assist']</v>
      </c>
      <c r="I1" s="5" t="str">
        <f>IFERROR(__xludf.DUMMYFUNCTION("""COMPUTED_VALUE"""),"['keeper', 'best', 'goalkeep', 'defend', 'EXCLUDED-kepa', 'save']")</f>
        <v>['keeper', 'best', 'goalkeep', 'defend', 'EXCLUDED-kepa', 'save']</v>
      </c>
      <c r="J1" s="5" t="str">
        <f>IFERROR(__xludf.DUMMYFUNCTION("""COMPUTED_VALUE"""),"['take', 'knee', 'player']")</f>
        <v>['take', 'knee', 'player']</v>
      </c>
      <c r="K1" s="5" t="str">
        <f>IFERROR(__xludf.DUMMYFUNCTION("""COMPUTED_VALUE"""),"['touch', 'cross', 'ball', 'pass']")</f>
        <v>['touch', 'cross', 'ball', 'pass']</v>
      </c>
      <c r="L1" s="5" t="str">
        <f>IFERROR(__xludf.DUMMYFUNCTION("""COMPUTED_VALUE"""),"['gol', 'stream', 'onlin', 'free', 'reddit', 'link', 'EXCLUDED-manchest', 'ff', 'live']")</f>
        <v>['gol', 'stream', 'onlin', 'free', 'reddit', 'link', 'EXCLUDED-manchest', 'ff', 'live']</v>
      </c>
      <c r="M1" s="5" t="str">
        <f>IFERROR(__xludf.DUMMYFUNCTION("""COMPUTED_VALUE"""),"['need', 'half', 'sub', 'second', 'lead', '2nd']")</f>
        <v>['need', 'half', 'sub', 'second', 'lead', '2nd']</v>
      </c>
      <c r="N1" s="5" t="str">
        <f>IFERROR(__xludf.DUMMYFUNCTION("""COMPUTED_VALUE"""),"['world', 'class', 'striker']")</f>
        <v>['world', 'class', 'striker']</v>
      </c>
      <c r="O1" s="5" t="str">
        <f>IFERROR(__xludf.DUMMYFUNCTION("""COMPUTED_VALUE"""),"['champion', 'final', 'leagu', 'footbal', 'win']")</f>
        <v>['champion', 'final', 'leagu', 'footbal', 'win']</v>
      </c>
      <c r="P1" s="5" t="str">
        <f>IFERROR(__xludf.DUMMYFUNCTION("""COMPUTED_VALUE"""),"['hit', 'post']")</f>
        <v>['hit', 'post']</v>
      </c>
      <c r="Q1" s="5" t="str">
        <f>IFERROR(__xludf.DUMMYFUNCTION("""COMPUTED_VALUE"""),"['foul', 'refere', 'book', 'decis', 'var', 'given', 'pen', 'dive', 'ref', 'penalti']")</f>
        <v>['foul', 'refere', 'book', 'decis', 'var', 'given', 'pen', 'dive', 'ref', 'penalti']</v>
      </c>
      <c r="R1" s="5"/>
    </row>
    <row r="2">
      <c r="A2" s="14" t="s">
        <v>31</v>
      </c>
      <c r="B2" s="15" t="s">
        <v>1145</v>
      </c>
      <c r="C2" s="14"/>
      <c r="D2" s="14"/>
      <c r="E2" s="16" t="s">
        <v>33</v>
      </c>
      <c r="F2" s="17" t="s">
        <v>34</v>
      </c>
      <c r="G2" s="18" t="s">
        <v>35</v>
      </c>
      <c r="H2" s="16" t="s">
        <v>33</v>
      </c>
      <c r="I2" s="17" t="s">
        <v>34</v>
      </c>
      <c r="J2" s="18" t="s">
        <v>35</v>
      </c>
      <c r="K2" s="16" t="s">
        <v>33</v>
      </c>
      <c r="L2" s="17" t="s">
        <v>34</v>
      </c>
      <c r="M2" s="18" t="s">
        <v>35</v>
      </c>
      <c r="N2" s="16" t="s">
        <v>33</v>
      </c>
      <c r="O2" s="17" t="s">
        <v>34</v>
      </c>
      <c r="P2" s="18" t="s">
        <v>35</v>
      </c>
      <c r="Q2" s="16" t="s">
        <v>33</v>
      </c>
      <c r="R2" s="17" t="s">
        <v>34</v>
      </c>
      <c r="S2" s="18" t="s">
        <v>35</v>
      </c>
      <c r="T2" s="16" t="s">
        <v>33</v>
      </c>
      <c r="U2" s="17" t="s">
        <v>34</v>
      </c>
      <c r="V2" s="18" t="s">
        <v>35</v>
      </c>
      <c r="W2" s="16" t="s">
        <v>33</v>
      </c>
      <c r="X2" s="17" t="s">
        <v>34</v>
      </c>
      <c r="Y2" s="18" t="s">
        <v>35</v>
      </c>
      <c r="Z2" s="16" t="s">
        <v>33</v>
      </c>
      <c r="AA2" s="17" t="s">
        <v>34</v>
      </c>
      <c r="AB2" s="18" t="s">
        <v>35</v>
      </c>
      <c r="AC2" s="16" t="s">
        <v>33</v>
      </c>
      <c r="AD2" s="17" t="s">
        <v>34</v>
      </c>
      <c r="AE2" s="18" t="s">
        <v>35</v>
      </c>
      <c r="AF2" s="16" t="s">
        <v>33</v>
      </c>
      <c r="AG2" s="17" t="s">
        <v>34</v>
      </c>
      <c r="AH2" s="18" t="s">
        <v>35</v>
      </c>
      <c r="AI2" s="16" t="s">
        <v>33</v>
      </c>
      <c r="AJ2" s="17" t="s">
        <v>34</v>
      </c>
      <c r="AK2" s="18" t="s">
        <v>35</v>
      </c>
      <c r="AL2" s="16" t="s">
        <v>33</v>
      </c>
      <c r="AM2" s="17" t="s">
        <v>34</v>
      </c>
      <c r="AN2" s="18" t="s">
        <v>35</v>
      </c>
      <c r="AO2" s="16" t="s">
        <v>33</v>
      </c>
      <c r="AP2" s="17" t="s">
        <v>34</v>
      </c>
      <c r="AQ2" s="18" t="s">
        <v>35</v>
      </c>
      <c r="AR2" s="16" t="s">
        <v>33</v>
      </c>
      <c r="AS2" s="17" t="s">
        <v>34</v>
      </c>
      <c r="AT2" s="18" t="s">
        <v>35</v>
      </c>
      <c r="AU2" s="16" t="s">
        <v>33</v>
      </c>
      <c r="AV2" s="17" t="s">
        <v>34</v>
      </c>
      <c r="AW2" s="18" t="s">
        <v>35</v>
      </c>
      <c r="AX2" s="16" t="s">
        <v>33</v>
      </c>
      <c r="AY2" s="17" t="s">
        <v>34</v>
      </c>
      <c r="AZ2" s="18" t="s">
        <v>35</v>
      </c>
      <c r="BA2" s="16" t="s">
        <v>33</v>
      </c>
      <c r="BB2" s="17" t="s">
        <v>34</v>
      </c>
      <c r="BC2" s="18" t="s">
        <v>35</v>
      </c>
      <c r="BD2" s="16" t="s">
        <v>33</v>
      </c>
      <c r="BE2" s="17" t="s">
        <v>34</v>
      </c>
      <c r="BF2" s="18" t="s">
        <v>35</v>
      </c>
      <c r="BG2" s="16" t="s">
        <v>33</v>
      </c>
      <c r="BH2" s="17" t="s">
        <v>34</v>
      </c>
      <c r="BI2" s="18" t="s">
        <v>35</v>
      </c>
      <c r="BJ2" s="16" t="s">
        <v>33</v>
      </c>
      <c r="BK2" s="17" t="s">
        <v>34</v>
      </c>
      <c r="BL2" s="18" t="s">
        <v>35</v>
      </c>
      <c r="BM2" s="16" t="s">
        <v>33</v>
      </c>
      <c r="BN2" s="17" t="s">
        <v>34</v>
      </c>
      <c r="BO2" s="18" t="s">
        <v>35</v>
      </c>
      <c r="BP2" s="16" t="s">
        <v>33</v>
      </c>
      <c r="BQ2" s="17" t="s">
        <v>34</v>
      </c>
      <c r="BR2" s="18" t="s">
        <v>35</v>
      </c>
      <c r="BS2" s="16" t="s">
        <v>33</v>
      </c>
      <c r="BT2" s="17" t="s">
        <v>34</v>
      </c>
      <c r="BU2" s="18" t="s">
        <v>35</v>
      </c>
      <c r="BV2" s="16" t="s">
        <v>33</v>
      </c>
      <c r="BW2" s="17" t="s">
        <v>34</v>
      </c>
      <c r="BX2" s="18" t="s">
        <v>35</v>
      </c>
      <c r="BY2" s="16" t="s">
        <v>33</v>
      </c>
      <c r="BZ2" s="17" t="s">
        <v>34</v>
      </c>
      <c r="CA2" s="18" t="s">
        <v>35</v>
      </c>
      <c r="CB2" s="16" t="s">
        <v>33</v>
      </c>
      <c r="CC2" s="17" t="s">
        <v>34</v>
      </c>
      <c r="CD2" s="18" t="s">
        <v>35</v>
      </c>
      <c r="CE2" s="16" t="s">
        <v>33</v>
      </c>
      <c r="CF2" s="17" t="s">
        <v>34</v>
      </c>
      <c r="CG2" s="18" t="s">
        <v>35</v>
      </c>
      <c r="CH2" s="16" t="s">
        <v>33</v>
      </c>
      <c r="CI2" s="17" t="s">
        <v>34</v>
      </c>
      <c r="CJ2" s="18" t="s">
        <v>35</v>
      </c>
      <c r="CK2" s="16" t="s">
        <v>33</v>
      </c>
      <c r="CL2" s="17" t="s">
        <v>34</v>
      </c>
      <c r="CM2" s="18" t="s">
        <v>35</v>
      </c>
      <c r="CN2" s="16" t="s">
        <v>33</v>
      </c>
      <c r="CO2" s="17" t="s">
        <v>34</v>
      </c>
      <c r="CP2" s="18" t="s">
        <v>35</v>
      </c>
      <c r="CQ2" s="16" t="s">
        <v>33</v>
      </c>
      <c r="CR2" s="17" t="s">
        <v>34</v>
      </c>
      <c r="CS2" s="18" t="s">
        <v>35</v>
      </c>
      <c r="CT2" s="1"/>
      <c r="CU2" s="1"/>
      <c r="CV2" s="1"/>
      <c r="CW2" s="1"/>
      <c r="CX2" s="1"/>
      <c r="CY2" s="1"/>
      <c r="CZ2" s="1"/>
      <c r="DA2" s="1"/>
      <c r="DB2" s="1"/>
      <c r="DC2" s="1"/>
      <c r="DD2" s="1"/>
      <c r="DE2" s="1"/>
      <c r="DF2" s="1"/>
    </row>
    <row r="3">
      <c r="A3" s="14"/>
      <c r="B3" s="19"/>
      <c r="C3" s="14"/>
      <c r="D3" s="14"/>
      <c r="E3" s="20" t="s">
        <v>14</v>
      </c>
      <c r="F3" s="21">
        <f t="shared" ref="F3:F7" si="1">COUNTIF(G$10:G1007,E3)</f>
        <v>0</v>
      </c>
      <c r="G3" s="22">
        <f t="shared" ref="G3:G7" si="2">F3/SUM(F$3:F$7)</f>
        <v>0</v>
      </c>
      <c r="H3" s="20" t="s">
        <v>14</v>
      </c>
      <c r="I3" s="21">
        <f t="shared" ref="I3:I7" si="3">COUNTIF(J$10:J1007,H3)</f>
        <v>0</v>
      </c>
      <c r="J3" s="22">
        <f t="shared" ref="J3:J7" si="4">I3/SUM(I$3:I$7)</f>
        <v>0</v>
      </c>
      <c r="K3" s="20" t="s">
        <v>14</v>
      </c>
      <c r="L3" s="21">
        <f t="shared" ref="L3:L7" si="5">COUNTIF(M$10:M1007,K3)</f>
        <v>2</v>
      </c>
      <c r="M3" s="22">
        <f t="shared" ref="M3:M7" si="6">L3/SUM(L$3:L$7)</f>
        <v>0.2</v>
      </c>
      <c r="N3" s="20" t="s">
        <v>14</v>
      </c>
      <c r="O3" s="21">
        <f t="shared" ref="O3:O7" si="7">COUNTIF(P$10:P1007,N3)</f>
        <v>1</v>
      </c>
      <c r="P3" s="22">
        <f t="shared" ref="P3:P7" si="8">O3/SUM(O$3:O$7)</f>
        <v>0.1111111111</v>
      </c>
      <c r="Q3" s="20" t="s">
        <v>14</v>
      </c>
      <c r="R3" s="21">
        <f t="shared" ref="R3:R7" si="9">COUNTIF(S$10:S1007,Q3)</f>
        <v>0</v>
      </c>
      <c r="S3" s="22">
        <f t="shared" ref="S3:S7" si="10">R3/SUM(R$3:R$7)</f>
        <v>0</v>
      </c>
      <c r="T3" s="20" t="s">
        <v>14</v>
      </c>
      <c r="U3" s="21">
        <f t="shared" ref="U3:U7" si="11">COUNTIF(V$10:V1007,T3)</f>
        <v>0</v>
      </c>
      <c r="V3" s="22">
        <f t="shared" ref="V3:V7" si="12">U3/SUM(U$3:U$7)</f>
        <v>0</v>
      </c>
      <c r="W3" s="20" t="s">
        <v>14</v>
      </c>
      <c r="X3" s="21">
        <f t="shared" ref="X3:X7" si="13">COUNTIF(Y$10:Y1007,W3)</f>
        <v>0</v>
      </c>
      <c r="Y3" s="22">
        <f t="shared" ref="Y3:Y7" si="14">X3/SUM(X$3:X$7)</f>
        <v>0</v>
      </c>
      <c r="Z3" s="20" t="s">
        <v>14</v>
      </c>
      <c r="AA3" s="21">
        <f t="shared" ref="AA3:AA7" si="15">COUNTIF(AB$10:AB1007,Z3)</f>
        <v>1</v>
      </c>
      <c r="AB3" s="22">
        <f t="shared" ref="AB3:AB7" si="16">AA3/SUM(AA$3:AA$7)</f>
        <v>0.1666666667</v>
      </c>
      <c r="AC3" s="20" t="s">
        <v>14</v>
      </c>
      <c r="AD3" s="21">
        <f t="shared" ref="AD3:AD7" si="17">COUNTIF(AE$10:AE1007,AC3)</f>
        <v>2</v>
      </c>
      <c r="AE3" s="22">
        <f t="shared" ref="AE3:AE7" si="18">AD3/SUM(AD$3:AD$7)</f>
        <v>0.25</v>
      </c>
      <c r="AF3" s="20" t="s">
        <v>14</v>
      </c>
      <c r="AG3" s="21">
        <f t="shared" ref="AG3:AG7" si="19">COUNTIF(AH$10:AH1007,AF3)</f>
        <v>2</v>
      </c>
      <c r="AH3" s="22">
        <f t="shared" ref="AH3:AH7" si="20">AG3/SUM(AG$3:AG$7)</f>
        <v>0.1176470588</v>
      </c>
      <c r="AI3" s="20" t="s">
        <v>14</v>
      </c>
      <c r="AJ3" s="21">
        <f t="shared" ref="AJ3:AJ7" si="21">COUNTIF(AK$10:AK1007,AI3)</f>
        <v>0</v>
      </c>
      <c r="AK3" s="22">
        <f t="shared" ref="AK3:AK7" si="22">AJ3/SUM(AJ$3:AJ$7)</f>
        <v>0</v>
      </c>
      <c r="AL3" s="20" t="s">
        <v>14</v>
      </c>
      <c r="AM3" s="21">
        <f t="shared" ref="AM3:AM7" si="23">COUNTIF(AN$10:AN1007,AL3)</f>
        <v>0</v>
      </c>
      <c r="AN3" s="22">
        <f t="shared" ref="AN3:AN7" si="24">AM3/SUM(AM$3:AM$7)</f>
        <v>0</v>
      </c>
      <c r="AO3" s="20" t="s">
        <v>14</v>
      </c>
      <c r="AP3" s="21">
        <f t="shared" ref="AP3:AP7" si="25">COUNTIF(AQ$10:AQ1007,AO3)</f>
        <v>0</v>
      </c>
      <c r="AQ3" s="22" t="str">
        <f t="shared" ref="AQ3:AQ7" si="26">AP3/SUM(AP$3:AP$7)</f>
        <v>#DIV/0!</v>
      </c>
      <c r="AR3" s="20" t="s">
        <v>14</v>
      </c>
      <c r="AS3" s="21">
        <f t="shared" ref="AS3:AS7" si="27">COUNTIF(AT$10:AT1007,AR3)</f>
        <v>0</v>
      </c>
      <c r="AT3" s="22" t="str">
        <f t="shared" ref="AT3:AT7" si="28">AS3/SUM(AS$3:AS$7)</f>
        <v>#DIV/0!</v>
      </c>
      <c r="AU3" s="20" t="s">
        <v>14</v>
      </c>
      <c r="AV3" s="21">
        <f t="shared" ref="AV3:AV7" si="29">COUNTIF(AW$10:AW1007,AU3)</f>
        <v>0</v>
      </c>
      <c r="AW3" s="22" t="str">
        <f t="shared" ref="AW3:AW7" si="30">AV3/SUM(AV$3:AV$7)</f>
        <v>#DIV/0!</v>
      </c>
      <c r="AX3" s="20" t="s">
        <v>14</v>
      </c>
      <c r="AY3" s="21">
        <f t="shared" ref="AY3:AY7" si="31">COUNTIF(AZ$10:AZ1007,AX3)</f>
        <v>0</v>
      </c>
      <c r="AZ3" s="22" t="str">
        <f t="shared" ref="AZ3:AZ7" si="32">AY3/SUM(AY$3:AY$7)</f>
        <v>#DIV/0!</v>
      </c>
      <c r="BA3" s="20" t="s">
        <v>14</v>
      </c>
      <c r="BB3" s="21">
        <f t="shared" ref="BB3:BB7" si="33">COUNTIF(BC$10:BC1007,BA3)</f>
        <v>0</v>
      </c>
      <c r="BC3" s="22" t="str">
        <f t="shared" ref="BC3:BC7" si="34">BB3/SUM(BB$3:BB$7)</f>
        <v>#DIV/0!</v>
      </c>
      <c r="BD3" s="20" t="s">
        <v>14</v>
      </c>
      <c r="BE3" s="21">
        <f t="shared" ref="BE3:BE7" si="35">COUNTIF(BF$10:BF1007,BD3)</f>
        <v>0</v>
      </c>
      <c r="BF3" s="22" t="str">
        <f t="shared" ref="BF3:BF7" si="36">BE3/SUM(BE$3:BE$7)</f>
        <v>#DIV/0!</v>
      </c>
      <c r="BG3" s="20" t="s">
        <v>14</v>
      </c>
      <c r="BH3" s="21">
        <f t="shared" ref="BH3:BH7" si="37">COUNTIF(BI$10:BI1007,BG3)</f>
        <v>0</v>
      </c>
      <c r="BI3" s="22" t="str">
        <f t="shared" ref="BI3:BI7" si="38">BH3/SUM(BH$3:BH$7)</f>
        <v>#DIV/0!</v>
      </c>
      <c r="BJ3" s="20" t="s">
        <v>14</v>
      </c>
      <c r="BK3" s="21">
        <f t="shared" ref="BK3:BK7" si="39">COUNTIF(BL$10:BL1007,BJ3)</f>
        <v>0</v>
      </c>
      <c r="BL3" s="22" t="str">
        <f t="shared" ref="BL3:BL7" si="40">BK3/SUM(BK$3:BK$7)</f>
        <v>#DIV/0!</v>
      </c>
      <c r="BM3" s="20" t="s">
        <v>14</v>
      </c>
      <c r="BN3" s="21">
        <f t="shared" ref="BN3:BN7" si="41">COUNTIF(BO$10:BO1007,BM3)</f>
        <v>0</v>
      </c>
      <c r="BO3" s="22" t="str">
        <f t="shared" ref="BO3:BO7" si="42">BN3/SUM(BN$3:BN$7)</f>
        <v>#DIV/0!</v>
      </c>
      <c r="BP3" s="20" t="s">
        <v>14</v>
      </c>
      <c r="BQ3" s="21">
        <f t="shared" ref="BQ3:BQ7" si="43">COUNTIF(BR$10:BR1007,BP3)</f>
        <v>0</v>
      </c>
      <c r="BR3" s="22" t="str">
        <f t="shared" ref="BR3:BR7" si="44">BQ3/SUM(BQ$3:BQ$7)</f>
        <v>#DIV/0!</v>
      </c>
      <c r="BS3" s="20" t="s">
        <v>14</v>
      </c>
      <c r="BT3" s="21">
        <f t="shared" ref="BT3:BT7" si="45">COUNTIF(BU$10:BU1007,BS3)</f>
        <v>0</v>
      </c>
      <c r="BU3" s="22" t="str">
        <f t="shared" ref="BU3:BU7" si="46">BT3/SUM(BT$3:BT$7)</f>
        <v>#DIV/0!</v>
      </c>
      <c r="BV3" s="20" t="s">
        <v>14</v>
      </c>
      <c r="BW3" s="21">
        <f t="shared" ref="BW3:BW7" si="47">COUNTIF(BX$10:BX1007,BV3)</f>
        <v>0</v>
      </c>
      <c r="BX3" s="22" t="str">
        <f t="shared" ref="BX3:BX7" si="48">BW3/SUM(BW$3:BW$7)</f>
        <v>#DIV/0!</v>
      </c>
      <c r="BY3" s="20" t="s">
        <v>14</v>
      </c>
      <c r="BZ3" s="21">
        <f t="shared" ref="BZ3:BZ7" si="49">COUNTIF(CA$10:CA1007,BY3)</f>
        <v>0</v>
      </c>
      <c r="CA3" s="22" t="str">
        <f t="shared" ref="CA3:CA7" si="50">BZ3/SUM(BZ$3:BZ$7)</f>
        <v>#DIV/0!</v>
      </c>
      <c r="CB3" s="20" t="s">
        <v>14</v>
      </c>
      <c r="CC3" s="21">
        <f t="shared" ref="CC3:CC7" si="51">COUNTIF(CD$10:CD1007,CB3)</f>
        <v>0</v>
      </c>
      <c r="CD3" s="22" t="str">
        <f t="shared" ref="CD3:CD7" si="52">CC3/SUM(CC$3:CC$7)</f>
        <v>#DIV/0!</v>
      </c>
      <c r="CE3" s="20" t="s">
        <v>14</v>
      </c>
      <c r="CF3" s="21">
        <f t="shared" ref="CF3:CF7" si="53">COUNTIF(CG$10:CG1007,CE3)</f>
        <v>0</v>
      </c>
      <c r="CG3" s="22" t="str">
        <f t="shared" ref="CG3:CG7" si="54">CF3/SUM(CF$3:CF$7)</f>
        <v>#DIV/0!</v>
      </c>
      <c r="CH3" s="20" t="s">
        <v>14</v>
      </c>
      <c r="CI3" s="21">
        <f t="shared" ref="CI3:CI7" si="55">COUNTIF(CJ$10:CJ1007,CH3)</f>
        <v>0</v>
      </c>
      <c r="CJ3" s="22" t="str">
        <f t="shared" ref="CJ3:CJ7" si="56">CI3/SUM(CI$3:CI$7)</f>
        <v>#DIV/0!</v>
      </c>
      <c r="CK3" s="20" t="s">
        <v>14</v>
      </c>
      <c r="CL3" s="21">
        <f t="shared" ref="CL3:CL7" si="57">COUNTIF(CM$10:CM1007,CK3)</f>
        <v>0</v>
      </c>
      <c r="CM3" s="22" t="str">
        <f t="shared" ref="CM3:CM7" si="58">CL3/SUM(CL$3:CL$7)</f>
        <v>#DIV/0!</v>
      </c>
      <c r="CN3" s="20" t="s">
        <v>14</v>
      </c>
      <c r="CO3" s="21">
        <f t="shared" ref="CO3:CO7" si="59">COUNTIF(CP$10:CP1007,CN3)</f>
        <v>0</v>
      </c>
      <c r="CP3" s="22" t="str">
        <f t="shared" ref="CP3:CP7" si="60">CO3/SUM(CO$3:CO$7)</f>
        <v>#DIV/0!</v>
      </c>
      <c r="CQ3" s="20" t="s">
        <v>14</v>
      </c>
      <c r="CR3" s="21">
        <f t="shared" ref="CR3:CR7" si="61">COUNTIF(CS$10:CS1007,CQ3)</f>
        <v>0</v>
      </c>
      <c r="CS3" s="22" t="str">
        <f t="shared" ref="CS3:CS7" si="62">CR3/SUM(CR$3:CR$7)</f>
        <v>#DIV/0!</v>
      </c>
      <c r="CT3" s="6"/>
      <c r="CU3" s="6"/>
      <c r="CV3" s="6"/>
      <c r="CW3" s="6"/>
      <c r="CX3" s="6"/>
      <c r="CY3" s="6"/>
      <c r="CZ3" s="6"/>
      <c r="DA3" s="6"/>
      <c r="DB3" s="6"/>
      <c r="DC3" s="6"/>
      <c r="DD3" s="6"/>
      <c r="DE3" s="6"/>
      <c r="DF3" s="6"/>
    </row>
    <row r="4">
      <c r="A4" s="14"/>
      <c r="B4" s="19"/>
      <c r="C4" s="14"/>
      <c r="D4" s="14"/>
      <c r="E4" s="20" t="s">
        <v>15</v>
      </c>
      <c r="F4" s="21">
        <f t="shared" si="1"/>
        <v>0</v>
      </c>
      <c r="G4" s="22">
        <f t="shared" si="2"/>
        <v>0</v>
      </c>
      <c r="H4" s="20" t="s">
        <v>15</v>
      </c>
      <c r="I4" s="21">
        <f t="shared" si="3"/>
        <v>0</v>
      </c>
      <c r="J4" s="22">
        <f t="shared" si="4"/>
        <v>0</v>
      </c>
      <c r="K4" s="20" t="s">
        <v>15</v>
      </c>
      <c r="L4" s="21">
        <f t="shared" si="5"/>
        <v>0</v>
      </c>
      <c r="M4" s="22">
        <f t="shared" si="6"/>
        <v>0</v>
      </c>
      <c r="N4" s="20" t="s">
        <v>15</v>
      </c>
      <c r="O4" s="21">
        <f t="shared" si="7"/>
        <v>1</v>
      </c>
      <c r="P4" s="22">
        <f t="shared" si="8"/>
        <v>0.1111111111</v>
      </c>
      <c r="Q4" s="20" t="s">
        <v>15</v>
      </c>
      <c r="R4" s="21">
        <f t="shared" si="9"/>
        <v>3</v>
      </c>
      <c r="S4" s="22">
        <f t="shared" si="10"/>
        <v>0.1875</v>
      </c>
      <c r="T4" s="20" t="s">
        <v>15</v>
      </c>
      <c r="U4" s="21">
        <f t="shared" si="11"/>
        <v>2</v>
      </c>
      <c r="V4" s="22">
        <f t="shared" si="12"/>
        <v>0.1428571429</v>
      </c>
      <c r="W4" s="20" t="s">
        <v>15</v>
      </c>
      <c r="X4" s="21">
        <f t="shared" si="13"/>
        <v>0</v>
      </c>
      <c r="Y4" s="22">
        <f t="shared" si="14"/>
        <v>0</v>
      </c>
      <c r="Z4" s="20" t="s">
        <v>15</v>
      </c>
      <c r="AA4" s="21">
        <f t="shared" si="15"/>
        <v>0</v>
      </c>
      <c r="AB4" s="22">
        <f t="shared" si="16"/>
        <v>0</v>
      </c>
      <c r="AC4" s="20" t="s">
        <v>15</v>
      </c>
      <c r="AD4" s="21">
        <f t="shared" si="17"/>
        <v>2</v>
      </c>
      <c r="AE4" s="22">
        <f t="shared" si="18"/>
        <v>0.25</v>
      </c>
      <c r="AF4" s="20" t="s">
        <v>15</v>
      </c>
      <c r="AG4" s="21">
        <f t="shared" si="19"/>
        <v>3</v>
      </c>
      <c r="AH4" s="22">
        <f t="shared" si="20"/>
        <v>0.1764705882</v>
      </c>
      <c r="AI4" s="20" t="s">
        <v>15</v>
      </c>
      <c r="AJ4" s="21">
        <f t="shared" si="21"/>
        <v>0</v>
      </c>
      <c r="AK4" s="22">
        <f t="shared" si="22"/>
        <v>0</v>
      </c>
      <c r="AL4" s="20" t="s">
        <v>15</v>
      </c>
      <c r="AM4" s="21">
        <f t="shared" si="23"/>
        <v>0</v>
      </c>
      <c r="AN4" s="22">
        <f t="shared" si="24"/>
        <v>0</v>
      </c>
      <c r="AO4" s="20" t="s">
        <v>15</v>
      </c>
      <c r="AP4" s="21">
        <f t="shared" si="25"/>
        <v>0</v>
      </c>
      <c r="AQ4" s="22" t="str">
        <f t="shared" si="26"/>
        <v>#DIV/0!</v>
      </c>
      <c r="AR4" s="20" t="s">
        <v>15</v>
      </c>
      <c r="AS4" s="21">
        <f t="shared" si="27"/>
        <v>0</v>
      </c>
      <c r="AT4" s="22" t="str">
        <f t="shared" si="28"/>
        <v>#DIV/0!</v>
      </c>
      <c r="AU4" s="20" t="s">
        <v>15</v>
      </c>
      <c r="AV4" s="21">
        <f t="shared" si="29"/>
        <v>0</v>
      </c>
      <c r="AW4" s="22" t="str">
        <f t="shared" si="30"/>
        <v>#DIV/0!</v>
      </c>
      <c r="AX4" s="20" t="s">
        <v>15</v>
      </c>
      <c r="AY4" s="21">
        <f t="shared" si="31"/>
        <v>0</v>
      </c>
      <c r="AZ4" s="22" t="str">
        <f t="shared" si="32"/>
        <v>#DIV/0!</v>
      </c>
      <c r="BA4" s="20" t="s">
        <v>15</v>
      </c>
      <c r="BB4" s="21">
        <f t="shared" si="33"/>
        <v>0</v>
      </c>
      <c r="BC4" s="22" t="str">
        <f t="shared" si="34"/>
        <v>#DIV/0!</v>
      </c>
      <c r="BD4" s="20" t="s">
        <v>15</v>
      </c>
      <c r="BE4" s="21">
        <f t="shared" si="35"/>
        <v>0</v>
      </c>
      <c r="BF4" s="22" t="str">
        <f t="shared" si="36"/>
        <v>#DIV/0!</v>
      </c>
      <c r="BG4" s="20" t="s">
        <v>15</v>
      </c>
      <c r="BH4" s="21">
        <f t="shared" si="37"/>
        <v>0</v>
      </c>
      <c r="BI4" s="22" t="str">
        <f t="shared" si="38"/>
        <v>#DIV/0!</v>
      </c>
      <c r="BJ4" s="20" t="s">
        <v>15</v>
      </c>
      <c r="BK4" s="21">
        <f t="shared" si="39"/>
        <v>0</v>
      </c>
      <c r="BL4" s="22" t="str">
        <f t="shared" si="40"/>
        <v>#DIV/0!</v>
      </c>
      <c r="BM4" s="20" t="s">
        <v>15</v>
      </c>
      <c r="BN4" s="21">
        <f t="shared" si="41"/>
        <v>0</v>
      </c>
      <c r="BO4" s="22" t="str">
        <f t="shared" si="42"/>
        <v>#DIV/0!</v>
      </c>
      <c r="BP4" s="20" t="s">
        <v>15</v>
      </c>
      <c r="BQ4" s="21">
        <f t="shared" si="43"/>
        <v>0</v>
      </c>
      <c r="BR4" s="22" t="str">
        <f t="shared" si="44"/>
        <v>#DIV/0!</v>
      </c>
      <c r="BS4" s="20" t="s">
        <v>15</v>
      </c>
      <c r="BT4" s="21">
        <f t="shared" si="45"/>
        <v>0</v>
      </c>
      <c r="BU4" s="22" t="str">
        <f t="shared" si="46"/>
        <v>#DIV/0!</v>
      </c>
      <c r="BV4" s="20" t="s">
        <v>15</v>
      </c>
      <c r="BW4" s="21">
        <f t="shared" si="47"/>
        <v>0</v>
      </c>
      <c r="BX4" s="22" t="str">
        <f t="shared" si="48"/>
        <v>#DIV/0!</v>
      </c>
      <c r="BY4" s="20" t="s">
        <v>15</v>
      </c>
      <c r="BZ4" s="21">
        <f t="shared" si="49"/>
        <v>0</v>
      </c>
      <c r="CA4" s="22" t="str">
        <f t="shared" si="50"/>
        <v>#DIV/0!</v>
      </c>
      <c r="CB4" s="20" t="s">
        <v>15</v>
      </c>
      <c r="CC4" s="21">
        <f t="shared" si="51"/>
        <v>0</v>
      </c>
      <c r="CD4" s="22" t="str">
        <f t="shared" si="52"/>
        <v>#DIV/0!</v>
      </c>
      <c r="CE4" s="20" t="s">
        <v>15</v>
      </c>
      <c r="CF4" s="21">
        <f t="shared" si="53"/>
        <v>0</v>
      </c>
      <c r="CG4" s="22" t="str">
        <f t="shared" si="54"/>
        <v>#DIV/0!</v>
      </c>
      <c r="CH4" s="20" t="s">
        <v>15</v>
      </c>
      <c r="CI4" s="21">
        <f t="shared" si="55"/>
        <v>0</v>
      </c>
      <c r="CJ4" s="22" t="str">
        <f t="shared" si="56"/>
        <v>#DIV/0!</v>
      </c>
      <c r="CK4" s="20" t="s">
        <v>15</v>
      </c>
      <c r="CL4" s="21">
        <f t="shared" si="57"/>
        <v>0</v>
      </c>
      <c r="CM4" s="22" t="str">
        <f t="shared" si="58"/>
        <v>#DIV/0!</v>
      </c>
      <c r="CN4" s="20" t="s">
        <v>15</v>
      </c>
      <c r="CO4" s="21">
        <f t="shared" si="59"/>
        <v>0</v>
      </c>
      <c r="CP4" s="22" t="str">
        <f t="shared" si="60"/>
        <v>#DIV/0!</v>
      </c>
      <c r="CQ4" s="20" t="s">
        <v>15</v>
      </c>
      <c r="CR4" s="21">
        <f t="shared" si="61"/>
        <v>0</v>
      </c>
      <c r="CS4" s="22" t="str">
        <f t="shared" si="62"/>
        <v>#DIV/0!</v>
      </c>
      <c r="CT4" s="6"/>
      <c r="CU4" s="6"/>
      <c r="CV4" s="6"/>
      <c r="CW4" s="6"/>
      <c r="CX4" s="6"/>
      <c r="CY4" s="6"/>
      <c r="CZ4" s="6"/>
      <c r="DA4" s="6"/>
      <c r="DB4" s="6"/>
      <c r="DC4" s="6"/>
      <c r="DD4" s="6"/>
      <c r="DE4" s="6"/>
      <c r="DF4" s="6"/>
    </row>
    <row r="5">
      <c r="A5" s="23"/>
      <c r="B5" s="19"/>
      <c r="C5" s="14"/>
      <c r="D5" s="14"/>
      <c r="E5" s="20" t="s">
        <v>16</v>
      </c>
      <c r="F5" s="21">
        <f t="shared" si="1"/>
        <v>0</v>
      </c>
      <c r="G5" s="22">
        <f t="shared" si="2"/>
        <v>0</v>
      </c>
      <c r="H5" s="20" t="s">
        <v>16</v>
      </c>
      <c r="I5" s="21">
        <f t="shared" si="3"/>
        <v>1</v>
      </c>
      <c r="J5" s="22">
        <f t="shared" si="4"/>
        <v>0.3333333333</v>
      </c>
      <c r="K5" s="20" t="s">
        <v>16</v>
      </c>
      <c r="L5" s="21">
        <f t="shared" si="5"/>
        <v>1</v>
      </c>
      <c r="M5" s="22">
        <f t="shared" si="6"/>
        <v>0.1</v>
      </c>
      <c r="N5" s="20" t="s">
        <v>16</v>
      </c>
      <c r="O5" s="21">
        <f t="shared" si="7"/>
        <v>4</v>
      </c>
      <c r="P5" s="22">
        <f t="shared" si="8"/>
        <v>0.4444444444</v>
      </c>
      <c r="Q5" s="20" t="s">
        <v>16</v>
      </c>
      <c r="R5" s="21">
        <f t="shared" si="9"/>
        <v>7</v>
      </c>
      <c r="S5" s="22">
        <f t="shared" si="10"/>
        <v>0.4375</v>
      </c>
      <c r="T5" s="20" t="s">
        <v>16</v>
      </c>
      <c r="U5" s="21">
        <f t="shared" si="11"/>
        <v>0</v>
      </c>
      <c r="V5" s="22">
        <f t="shared" si="12"/>
        <v>0</v>
      </c>
      <c r="W5" s="20" t="s">
        <v>16</v>
      </c>
      <c r="X5" s="21">
        <f t="shared" si="13"/>
        <v>1</v>
      </c>
      <c r="Y5" s="22">
        <f t="shared" si="14"/>
        <v>0.2</v>
      </c>
      <c r="Z5" s="20" t="s">
        <v>16</v>
      </c>
      <c r="AA5" s="21">
        <f t="shared" si="15"/>
        <v>0</v>
      </c>
      <c r="AB5" s="22">
        <f t="shared" si="16"/>
        <v>0</v>
      </c>
      <c r="AC5" s="20" t="s">
        <v>16</v>
      </c>
      <c r="AD5" s="21">
        <f t="shared" si="17"/>
        <v>0</v>
      </c>
      <c r="AE5" s="22">
        <f t="shared" si="18"/>
        <v>0</v>
      </c>
      <c r="AF5" s="20" t="s">
        <v>16</v>
      </c>
      <c r="AG5" s="21">
        <f t="shared" si="19"/>
        <v>5</v>
      </c>
      <c r="AH5" s="22">
        <f t="shared" si="20"/>
        <v>0.2941176471</v>
      </c>
      <c r="AI5" s="20" t="s">
        <v>16</v>
      </c>
      <c r="AJ5" s="21">
        <f t="shared" si="21"/>
        <v>0</v>
      </c>
      <c r="AK5" s="22">
        <f t="shared" si="22"/>
        <v>0</v>
      </c>
      <c r="AL5" s="20" t="s">
        <v>16</v>
      </c>
      <c r="AM5" s="21">
        <f t="shared" si="23"/>
        <v>0</v>
      </c>
      <c r="AN5" s="22">
        <f t="shared" si="24"/>
        <v>0</v>
      </c>
      <c r="AO5" s="20" t="s">
        <v>16</v>
      </c>
      <c r="AP5" s="21">
        <f t="shared" si="25"/>
        <v>0</v>
      </c>
      <c r="AQ5" s="22" t="str">
        <f t="shared" si="26"/>
        <v>#DIV/0!</v>
      </c>
      <c r="AR5" s="20" t="s">
        <v>16</v>
      </c>
      <c r="AS5" s="21">
        <f t="shared" si="27"/>
        <v>0</v>
      </c>
      <c r="AT5" s="22" t="str">
        <f t="shared" si="28"/>
        <v>#DIV/0!</v>
      </c>
      <c r="AU5" s="20" t="s">
        <v>16</v>
      </c>
      <c r="AV5" s="21">
        <f t="shared" si="29"/>
        <v>0</v>
      </c>
      <c r="AW5" s="22" t="str">
        <f t="shared" si="30"/>
        <v>#DIV/0!</v>
      </c>
      <c r="AX5" s="20" t="s">
        <v>16</v>
      </c>
      <c r="AY5" s="21">
        <f t="shared" si="31"/>
        <v>0</v>
      </c>
      <c r="AZ5" s="22" t="str">
        <f t="shared" si="32"/>
        <v>#DIV/0!</v>
      </c>
      <c r="BA5" s="20" t="s">
        <v>16</v>
      </c>
      <c r="BB5" s="21">
        <f t="shared" si="33"/>
        <v>0</v>
      </c>
      <c r="BC5" s="22" t="str">
        <f t="shared" si="34"/>
        <v>#DIV/0!</v>
      </c>
      <c r="BD5" s="20" t="s">
        <v>16</v>
      </c>
      <c r="BE5" s="21">
        <f t="shared" si="35"/>
        <v>0</v>
      </c>
      <c r="BF5" s="22" t="str">
        <f t="shared" si="36"/>
        <v>#DIV/0!</v>
      </c>
      <c r="BG5" s="20" t="s">
        <v>16</v>
      </c>
      <c r="BH5" s="21">
        <f t="shared" si="37"/>
        <v>0</v>
      </c>
      <c r="BI5" s="22" t="str">
        <f t="shared" si="38"/>
        <v>#DIV/0!</v>
      </c>
      <c r="BJ5" s="20" t="s">
        <v>16</v>
      </c>
      <c r="BK5" s="21">
        <f t="shared" si="39"/>
        <v>0</v>
      </c>
      <c r="BL5" s="22" t="str">
        <f t="shared" si="40"/>
        <v>#DIV/0!</v>
      </c>
      <c r="BM5" s="20" t="s">
        <v>16</v>
      </c>
      <c r="BN5" s="21">
        <f t="shared" si="41"/>
        <v>0</v>
      </c>
      <c r="BO5" s="22" t="str">
        <f t="shared" si="42"/>
        <v>#DIV/0!</v>
      </c>
      <c r="BP5" s="20" t="s">
        <v>16</v>
      </c>
      <c r="BQ5" s="21">
        <f t="shared" si="43"/>
        <v>0</v>
      </c>
      <c r="BR5" s="22" t="str">
        <f t="shared" si="44"/>
        <v>#DIV/0!</v>
      </c>
      <c r="BS5" s="20" t="s">
        <v>16</v>
      </c>
      <c r="BT5" s="21">
        <f t="shared" si="45"/>
        <v>0</v>
      </c>
      <c r="BU5" s="22" t="str">
        <f t="shared" si="46"/>
        <v>#DIV/0!</v>
      </c>
      <c r="BV5" s="20" t="s">
        <v>16</v>
      </c>
      <c r="BW5" s="21">
        <f t="shared" si="47"/>
        <v>0</v>
      </c>
      <c r="BX5" s="22" t="str">
        <f t="shared" si="48"/>
        <v>#DIV/0!</v>
      </c>
      <c r="BY5" s="20" t="s">
        <v>16</v>
      </c>
      <c r="BZ5" s="21">
        <f t="shared" si="49"/>
        <v>0</v>
      </c>
      <c r="CA5" s="22" t="str">
        <f t="shared" si="50"/>
        <v>#DIV/0!</v>
      </c>
      <c r="CB5" s="20" t="s">
        <v>16</v>
      </c>
      <c r="CC5" s="21">
        <f t="shared" si="51"/>
        <v>0</v>
      </c>
      <c r="CD5" s="22" t="str">
        <f t="shared" si="52"/>
        <v>#DIV/0!</v>
      </c>
      <c r="CE5" s="20" t="s">
        <v>16</v>
      </c>
      <c r="CF5" s="21">
        <f t="shared" si="53"/>
        <v>0</v>
      </c>
      <c r="CG5" s="22" t="str">
        <f t="shared" si="54"/>
        <v>#DIV/0!</v>
      </c>
      <c r="CH5" s="20" t="s">
        <v>16</v>
      </c>
      <c r="CI5" s="21">
        <f t="shared" si="55"/>
        <v>0</v>
      </c>
      <c r="CJ5" s="22" t="str">
        <f t="shared" si="56"/>
        <v>#DIV/0!</v>
      </c>
      <c r="CK5" s="20" t="s">
        <v>16</v>
      </c>
      <c r="CL5" s="21">
        <f t="shared" si="57"/>
        <v>0</v>
      </c>
      <c r="CM5" s="22" t="str">
        <f t="shared" si="58"/>
        <v>#DIV/0!</v>
      </c>
      <c r="CN5" s="20" t="s">
        <v>16</v>
      </c>
      <c r="CO5" s="21">
        <f t="shared" si="59"/>
        <v>0</v>
      </c>
      <c r="CP5" s="22" t="str">
        <f t="shared" si="60"/>
        <v>#DIV/0!</v>
      </c>
      <c r="CQ5" s="20" t="s">
        <v>16</v>
      </c>
      <c r="CR5" s="21">
        <f t="shared" si="61"/>
        <v>0</v>
      </c>
      <c r="CS5" s="22" t="str">
        <f t="shared" si="62"/>
        <v>#DIV/0!</v>
      </c>
      <c r="CT5" s="6"/>
      <c r="CU5" s="6"/>
      <c r="CV5" s="6"/>
      <c r="CW5" s="6"/>
      <c r="CX5" s="6"/>
      <c r="CY5" s="6"/>
      <c r="CZ5" s="6"/>
      <c r="DA5" s="6"/>
      <c r="DB5" s="6"/>
      <c r="DC5" s="6"/>
      <c r="DD5" s="6"/>
      <c r="DE5" s="6"/>
      <c r="DF5" s="6"/>
    </row>
    <row r="6">
      <c r="A6" s="14"/>
      <c r="B6" s="19"/>
      <c r="C6" s="14"/>
      <c r="D6" s="14"/>
      <c r="E6" s="20" t="s">
        <v>17</v>
      </c>
      <c r="F6" s="21">
        <f t="shared" si="1"/>
        <v>3</v>
      </c>
      <c r="G6" s="22">
        <f t="shared" si="2"/>
        <v>0.5</v>
      </c>
      <c r="H6" s="20" t="s">
        <v>17</v>
      </c>
      <c r="I6" s="21">
        <f t="shared" si="3"/>
        <v>1</v>
      </c>
      <c r="J6" s="22">
        <f t="shared" si="4"/>
        <v>0.3333333333</v>
      </c>
      <c r="K6" s="20" t="s">
        <v>17</v>
      </c>
      <c r="L6" s="21">
        <f t="shared" si="5"/>
        <v>4</v>
      </c>
      <c r="M6" s="22">
        <f t="shared" si="6"/>
        <v>0.4</v>
      </c>
      <c r="N6" s="20" t="s">
        <v>17</v>
      </c>
      <c r="O6" s="21">
        <f t="shared" si="7"/>
        <v>0</v>
      </c>
      <c r="P6" s="22">
        <f t="shared" si="8"/>
        <v>0</v>
      </c>
      <c r="Q6" s="20" t="s">
        <v>17</v>
      </c>
      <c r="R6" s="21">
        <f t="shared" si="9"/>
        <v>4</v>
      </c>
      <c r="S6" s="22">
        <f t="shared" si="10"/>
        <v>0.25</v>
      </c>
      <c r="T6" s="20" t="s">
        <v>17</v>
      </c>
      <c r="U6" s="21">
        <f t="shared" si="11"/>
        <v>3</v>
      </c>
      <c r="V6" s="22">
        <f t="shared" si="12"/>
        <v>0.2142857143</v>
      </c>
      <c r="W6" s="20" t="s">
        <v>17</v>
      </c>
      <c r="X6" s="21">
        <f t="shared" si="13"/>
        <v>2</v>
      </c>
      <c r="Y6" s="22">
        <f t="shared" si="14"/>
        <v>0.4</v>
      </c>
      <c r="Z6" s="20" t="s">
        <v>17</v>
      </c>
      <c r="AA6" s="21">
        <f t="shared" si="15"/>
        <v>4</v>
      </c>
      <c r="AB6" s="22">
        <f t="shared" si="16"/>
        <v>0.6666666667</v>
      </c>
      <c r="AC6" s="20" t="s">
        <v>17</v>
      </c>
      <c r="AD6" s="21">
        <f t="shared" si="17"/>
        <v>2</v>
      </c>
      <c r="AE6" s="22">
        <f t="shared" si="18"/>
        <v>0.25</v>
      </c>
      <c r="AF6" s="20" t="s">
        <v>17</v>
      </c>
      <c r="AG6" s="21">
        <f t="shared" si="19"/>
        <v>5</v>
      </c>
      <c r="AH6" s="22">
        <f t="shared" si="20"/>
        <v>0.2941176471</v>
      </c>
      <c r="AI6" s="20" t="s">
        <v>17</v>
      </c>
      <c r="AJ6" s="21">
        <f t="shared" si="21"/>
        <v>1</v>
      </c>
      <c r="AK6" s="22">
        <f t="shared" si="22"/>
        <v>1</v>
      </c>
      <c r="AL6" s="20" t="s">
        <v>17</v>
      </c>
      <c r="AM6" s="21">
        <f t="shared" si="23"/>
        <v>0</v>
      </c>
      <c r="AN6" s="22">
        <f t="shared" si="24"/>
        <v>0</v>
      </c>
      <c r="AO6" s="20" t="s">
        <v>17</v>
      </c>
      <c r="AP6" s="21">
        <f t="shared" si="25"/>
        <v>0</v>
      </c>
      <c r="AQ6" s="22" t="str">
        <f t="shared" si="26"/>
        <v>#DIV/0!</v>
      </c>
      <c r="AR6" s="20" t="s">
        <v>17</v>
      </c>
      <c r="AS6" s="21">
        <f t="shared" si="27"/>
        <v>0</v>
      </c>
      <c r="AT6" s="22" t="str">
        <f t="shared" si="28"/>
        <v>#DIV/0!</v>
      </c>
      <c r="AU6" s="20" t="s">
        <v>17</v>
      </c>
      <c r="AV6" s="21">
        <f t="shared" si="29"/>
        <v>0</v>
      </c>
      <c r="AW6" s="22" t="str">
        <f t="shared" si="30"/>
        <v>#DIV/0!</v>
      </c>
      <c r="AX6" s="20" t="s">
        <v>17</v>
      </c>
      <c r="AY6" s="21">
        <f t="shared" si="31"/>
        <v>0</v>
      </c>
      <c r="AZ6" s="22" t="str">
        <f t="shared" si="32"/>
        <v>#DIV/0!</v>
      </c>
      <c r="BA6" s="20" t="s">
        <v>17</v>
      </c>
      <c r="BB6" s="21">
        <f t="shared" si="33"/>
        <v>0</v>
      </c>
      <c r="BC6" s="22" t="str">
        <f t="shared" si="34"/>
        <v>#DIV/0!</v>
      </c>
      <c r="BD6" s="20" t="s">
        <v>17</v>
      </c>
      <c r="BE6" s="21">
        <f t="shared" si="35"/>
        <v>0</v>
      </c>
      <c r="BF6" s="22" t="str">
        <f t="shared" si="36"/>
        <v>#DIV/0!</v>
      </c>
      <c r="BG6" s="20" t="s">
        <v>17</v>
      </c>
      <c r="BH6" s="21">
        <f t="shared" si="37"/>
        <v>0</v>
      </c>
      <c r="BI6" s="22" t="str">
        <f t="shared" si="38"/>
        <v>#DIV/0!</v>
      </c>
      <c r="BJ6" s="20" t="s">
        <v>17</v>
      </c>
      <c r="BK6" s="21">
        <f t="shared" si="39"/>
        <v>0</v>
      </c>
      <c r="BL6" s="22" t="str">
        <f t="shared" si="40"/>
        <v>#DIV/0!</v>
      </c>
      <c r="BM6" s="20" t="s">
        <v>17</v>
      </c>
      <c r="BN6" s="21">
        <f t="shared" si="41"/>
        <v>0</v>
      </c>
      <c r="BO6" s="22" t="str">
        <f t="shared" si="42"/>
        <v>#DIV/0!</v>
      </c>
      <c r="BP6" s="20" t="s">
        <v>17</v>
      </c>
      <c r="BQ6" s="21">
        <f t="shared" si="43"/>
        <v>0</v>
      </c>
      <c r="BR6" s="22" t="str">
        <f t="shared" si="44"/>
        <v>#DIV/0!</v>
      </c>
      <c r="BS6" s="20" t="s">
        <v>17</v>
      </c>
      <c r="BT6" s="21">
        <f t="shared" si="45"/>
        <v>0</v>
      </c>
      <c r="BU6" s="22" t="str">
        <f t="shared" si="46"/>
        <v>#DIV/0!</v>
      </c>
      <c r="BV6" s="20" t="s">
        <v>17</v>
      </c>
      <c r="BW6" s="21">
        <f t="shared" si="47"/>
        <v>0</v>
      </c>
      <c r="BX6" s="22" t="str">
        <f t="shared" si="48"/>
        <v>#DIV/0!</v>
      </c>
      <c r="BY6" s="20" t="s">
        <v>17</v>
      </c>
      <c r="BZ6" s="21">
        <f t="shared" si="49"/>
        <v>0</v>
      </c>
      <c r="CA6" s="22" t="str">
        <f t="shared" si="50"/>
        <v>#DIV/0!</v>
      </c>
      <c r="CB6" s="20" t="s">
        <v>17</v>
      </c>
      <c r="CC6" s="21">
        <f t="shared" si="51"/>
        <v>0</v>
      </c>
      <c r="CD6" s="22" t="str">
        <f t="shared" si="52"/>
        <v>#DIV/0!</v>
      </c>
      <c r="CE6" s="20" t="s">
        <v>17</v>
      </c>
      <c r="CF6" s="21">
        <f t="shared" si="53"/>
        <v>0</v>
      </c>
      <c r="CG6" s="22" t="str">
        <f t="shared" si="54"/>
        <v>#DIV/0!</v>
      </c>
      <c r="CH6" s="20" t="s">
        <v>17</v>
      </c>
      <c r="CI6" s="21">
        <f t="shared" si="55"/>
        <v>0</v>
      </c>
      <c r="CJ6" s="22" t="str">
        <f t="shared" si="56"/>
        <v>#DIV/0!</v>
      </c>
      <c r="CK6" s="20" t="s">
        <v>17</v>
      </c>
      <c r="CL6" s="21">
        <f t="shared" si="57"/>
        <v>0</v>
      </c>
      <c r="CM6" s="22" t="str">
        <f t="shared" si="58"/>
        <v>#DIV/0!</v>
      </c>
      <c r="CN6" s="20" t="s">
        <v>17</v>
      </c>
      <c r="CO6" s="21">
        <f t="shared" si="59"/>
        <v>0</v>
      </c>
      <c r="CP6" s="22" t="str">
        <f t="shared" si="60"/>
        <v>#DIV/0!</v>
      </c>
      <c r="CQ6" s="20" t="s">
        <v>17</v>
      </c>
      <c r="CR6" s="21">
        <f t="shared" si="61"/>
        <v>0</v>
      </c>
      <c r="CS6" s="22" t="str">
        <f t="shared" si="62"/>
        <v>#DIV/0!</v>
      </c>
      <c r="CT6" s="6"/>
      <c r="CU6" s="6"/>
      <c r="CV6" s="6"/>
      <c r="CW6" s="6"/>
      <c r="CX6" s="6"/>
      <c r="CY6" s="6"/>
      <c r="CZ6" s="6"/>
      <c r="DA6" s="6"/>
      <c r="DB6" s="6"/>
      <c r="DC6" s="6"/>
      <c r="DD6" s="6"/>
      <c r="DE6" s="6"/>
      <c r="DF6" s="6"/>
    </row>
    <row r="7">
      <c r="A7" s="14"/>
      <c r="B7" s="19"/>
      <c r="C7" s="14"/>
      <c r="D7" s="14"/>
      <c r="E7" s="20" t="s">
        <v>18</v>
      </c>
      <c r="F7" s="21">
        <f t="shared" si="1"/>
        <v>3</v>
      </c>
      <c r="G7" s="22">
        <f t="shared" si="2"/>
        <v>0.5</v>
      </c>
      <c r="H7" s="20" t="s">
        <v>18</v>
      </c>
      <c r="I7" s="21">
        <f t="shared" si="3"/>
        <v>1</v>
      </c>
      <c r="J7" s="22">
        <f t="shared" si="4"/>
        <v>0.3333333333</v>
      </c>
      <c r="K7" s="20" t="s">
        <v>18</v>
      </c>
      <c r="L7" s="21">
        <f t="shared" si="5"/>
        <v>3</v>
      </c>
      <c r="M7" s="22">
        <f t="shared" si="6"/>
        <v>0.3</v>
      </c>
      <c r="N7" s="20" t="s">
        <v>18</v>
      </c>
      <c r="O7" s="21">
        <f t="shared" si="7"/>
        <v>3</v>
      </c>
      <c r="P7" s="22">
        <f t="shared" si="8"/>
        <v>0.3333333333</v>
      </c>
      <c r="Q7" s="20" t="s">
        <v>18</v>
      </c>
      <c r="R7" s="21">
        <f t="shared" si="9"/>
        <v>2</v>
      </c>
      <c r="S7" s="22">
        <f t="shared" si="10"/>
        <v>0.125</v>
      </c>
      <c r="T7" s="20" t="s">
        <v>18</v>
      </c>
      <c r="U7" s="21">
        <f t="shared" si="11"/>
        <v>9</v>
      </c>
      <c r="V7" s="22">
        <f t="shared" si="12"/>
        <v>0.6428571429</v>
      </c>
      <c r="W7" s="20" t="s">
        <v>18</v>
      </c>
      <c r="X7" s="21">
        <f t="shared" si="13"/>
        <v>2</v>
      </c>
      <c r="Y7" s="22">
        <f t="shared" si="14"/>
        <v>0.4</v>
      </c>
      <c r="Z7" s="20" t="s">
        <v>18</v>
      </c>
      <c r="AA7" s="21">
        <f t="shared" si="15"/>
        <v>1</v>
      </c>
      <c r="AB7" s="22">
        <f t="shared" si="16"/>
        <v>0.1666666667</v>
      </c>
      <c r="AC7" s="20" t="s">
        <v>18</v>
      </c>
      <c r="AD7" s="21">
        <f t="shared" si="17"/>
        <v>2</v>
      </c>
      <c r="AE7" s="22">
        <f t="shared" si="18"/>
        <v>0.25</v>
      </c>
      <c r="AF7" s="20" t="s">
        <v>18</v>
      </c>
      <c r="AG7" s="21">
        <f t="shared" si="19"/>
        <v>2</v>
      </c>
      <c r="AH7" s="22">
        <f t="shared" si="20"/>
        <v>0.1176470588</v>
      </c>
      <c r="AI7" s="20" t="s">
        <v>18</v>
      </c>
      <c r="AJ7" s="21">
        <f t="shared" si="21"/>
        <v>0</v>
      </c>
      <c r="AK7" s="22">
        <f t="shared" si="22"/>
        <v>0</v>
      </c>
      <c r="AL7" s="20" t="s">
        <v>18</v>
      </c>
      <c r="AM7" s="21">
        <f t="shared" si="23"/>
        <v>1</v>
      </c>
      <c r="AN7" s="22">
        <f t="shared" si="24"/>
        <v>1</v>
      </c>
      <c r="AO7" s="20" t="s">
        <v>18</v>
      </c>
      <c r="AP7" s="21">
        <f t="shared" si="25"/>
        <v>0</v>
      </c>
      <c r="AQ7" s="22" t="str">
        <f t="shared" si="26"/>
        <v>#DIV/0!</v>
      </c>
      <c r="AR7" s="20" t="s">
        <v>18</v>
      </c>
      <c r="AS7" s="21">
        <f t="shared" si="27"/>
        <v>0</v>
      </c>
      <c r="AT7" s="22" t="str">
        <f t="shared" si="28"/>
        <v>#DIV/0!</v>
      </c>
      <c r="AU7" s="20" t="s">
        <v>18</v>
      </c>
      <c r="AV7" s="21">
        <f t="shared" si="29"/>
        <v>0</v>
      </c>
      <c r="AW7" s="22" t="str">
        <f t="shared" si="30"/>
        <v>#DIV/0!</v>
      </c>
      <c r="AX7" s="20" t="s">
        <v>18</v>
      </c>
      <c r="AY7" s="21">
        <f t="shared" si="31"/>
        <v>0</v>
      </c>
      <c r="AZ7" s="22" t="str">
        <f t="shared" si="32"/>
        <v>#DIV/0!</v>
      </c>
      <c r="BA7" s="20" t="s">
        <v>18</v>
      </c>
      <c r="BB7" s="21">
        <f t="shared" si="33"/>
        <v>0</v>
      </c>
      <c r="BC7" s="22" t="str">
        <f t="shared" si="34"/>
        <v>#DIV/0!</v>
      </c>
      <c r="BD7" s="20" t="s">
        <v>18</v>
      </c>
      <c r="BE7" s="21">
        <f t="shared" si="35"/>
        <v>0</v>
      </c>
      <c r="BF7" s="22" t="str">
        <f t="shared" si="36"/>
        <v>#DIV/0!</v>
      </c>
      <c r="BG7" s="20" t="s">
        <v>18</v>
      </c>
      <c r="BH7" s="21">
        <f t="shared" si="37"/>
        <v>0</v>
      </c>
      <c r="BI7" s="22" t="str">
        <f t="shared" si="38"/>
        <v>#DIV/0!</v>
      </c>
      <c r="BJ7" s="20" t="s">
        <v>18</v>
      </c>
      <c r="BK7" s="21">
        <f t="shared" si="39"/>
        <v>0</v>
      </c>
      <c r="BL7" s="22" t="str">
        <f t="shared" si="40"/>
        <v>#DIV/0!</v>
      </c>
      <c r="BM7" s="20" t="s">
        <v>18</v>
      </c>
      <c r="BN7" s="21">
        <f t="shared" si="41"/>
        <v>0</v>
      </c>
      <c r="BO7" s="22" t="str">
        <f t="shared" si="42"/>
        <v>#DIV/0!</v>
      </c>
      <c r="BP7" s="20" t="s">
        <v>18</v>
      </c>
      <c r="BQ7" s="21">
        <f t="shared" si="43"/>
        <v>0</v>
      </c>
      <c r="BR7" s="22" t="str">
        <f t="shared" si="44"/>
        <v>#DIV/0!</v>
      </c>
      <c r="BS7" s="20" t="s">
        <v>18</v>
      </c>
      <c r="BT7" s="21">
        <f t="shared" si="45"/>
        <v>0</v>
      </c>
      <c r="BU7" s="22" t="str">
        <f t="shared" si="46"/>
        <v>#DIV/0!</v>
      </c>
      <c r="BV7" s="20" t="s">
        <v>18</v>
      </c>
      <c r="BW7" s="21">
        <f t="shared" si="47"/>
        <v>0</v>
      </c>
      <c r="BX7" s="22" t="str">
        <f t="shared" si="48"/>
        <v>#DIV/0!</v>
      </c>
      <c r="BY7" s="20" t="s">
        <v>18</v>
      </c>
      <c r="BZ7" s="21">
        <f t="shared" si="49"/>
        <v>0</v>
      </c>
      <c r="CA7" s="22" t="str">
        <f t="shared" si="50"/>
        <v>#DIV/0!</v>
      </c>
      <c r="CB7" s="20" t="s">
        <v>18</v>
      </c>
      <c r="CC7" s="21">
        <f t="shared" si="51"/>
        <v>0</v>
      </c>
      <c r="CD7" s="22" t="str">
        <f t="shared" si="52"/>
        <v>#DIV/0!</v>
      </c>
      <c r="CE7" s="20" t="s">
        <v>18</v>
      </c>
      <c r="CF7" s="21">
        <f t="shared" si="53"/>
        <v>0</v>
      </c>
      <c r="CG7" s="22" t="str">
        <f t="shared" si="54"/>
        <v>#DIV/0!</v>
      </c>
      <c r="CH7" s="20" t="s">
        <v>18</v>
      </c>
      <c r="CI7" s="21">
        <f t="shared" si="55"/>
        <v>0</v>
      </c>
      <c r="CJ7" s="22" t="str">
        <f t="shared" si="56"/>
        <v>#DIV/0!</v>
      </c>
      <c r="CK7" s="20" t="s">
        <v>18</v>
      </c>
      <c r="CL7" s="21">
        <f t="shared" si="57"/>
        <v>0</v>
      </c>
      <c r="CM7" s="22" t="str">
        <f t="shared" si="58"/>
        <v>#DIV/0!</v>
      </c>
      <c r="CN7" s="20" t="s">
        <v>18</v>
      </c>
      <c r="CO7" s="21">
        <f t="shared" si="59"/>
        <v>0</v>
      </c>
      <c r="CP7" s="22" t="str">
        <f t="shared" si="60"/>
        <v>#DIV/0!</v>
      </c>
      <c r="CQ7" s="20" t="s">
        <v>18</v>
      </c>
      <c r="CR7" s="21">
        <f t="shared" si="61"/>
        <v>0</v>
      </c>
      <c r="CS7" s="22" t="str">
        <f t="shared" si="62"/>
        <v>#DIV/0!</v>
      </c>
      <c r="CT7" s="6"/>
      <c r="CU7" s="6"/>
      <c r="CV7" s="6"/>
      <c r="CW7" s="6"/>
      <c r="CX7" s="6"/>
      <c r="CY7" s="6"/>
      <c r="CZ7" s="6"/>
      <c r="DA7" s="6"/>
      <c r="DB7" s="6"/>
      <c r="DC7" s="6"/>
      <c r="DD7" s="6"/>
      <c r="DE7" s="6"/>
      <c r="DF7" s="6"/>
    </row>
    <row r="8">
      <c r="A8" s="14"/>
      <c r="B8" s="19"/>
      <c r="C8" s="14"/>
      <c r="D8" s="14"/>
      <c r="E8" s="24" t="s">
        <v>13</v>
      </c>
      <c r="F8" s="5">
        <f>SUM(F3:F7)</f>
        <v>6</v>
      </c>
      <c r="G8" s="25">
        <f>SUM(G6:G7)</f>
        <v>1</v>
      </c>
      <c r="H8" s="24" t="s">
        <v>13</v>
      </c>
      <c r="I8" s="5">
        <f>SUM(I3:I7)</f>
        <v>3</v>
      </c>
      <c r="J8" s="25">
        <f>SUM(J6:J7)</f>
        <v>0.6666666667</v>
      </c>
      <c r="K8" s="24" t="s">
        <v>13</v>
      </c>
      <c r="L8" s="5">
        <f>SUM(L3:L7)</f>
        <v>10</v>
      </c>
      <c r="M8" s="25">
        <f>SUM(M6:M7)</f>
        <v>0.7</v>
      </c>
      <c r="N8" s="24" t="s">
        <v>13</v>
      </c>
      <c r="O8" s="5">
        <f>SUM(O3:O7)</f>
        <v>9</v>
      </c>
      <c r="P8" s="25">
        <f>SUM(P6:P7)</f>
        <v>0.3333333333</v>
      </c>
      <c r="Q8" s="24" t="s">
        <v>13</v>
      </c>
      <c r="R8" s="5">
        <f>SUM(R3:R7)</f>
        <v>16</v>
      </c>
      <c r="S8" s="25">
        <f>SUM(S6:S7)</f>
        <v>0.375</v>
      </c>
      <c r="T8" s="24" t="s">
        <v>13</v>
      </c>
      <c r="U8" s="5">
        <f>SUM(U3:U7)</f>
        <v>14</v>
      </c>
      <c r="V8" s="25">
        <f>SUM(V6:V7)</f>
        <v>0.8571428571</v>
      </c>
      <c r="W8" s="24" t="s">
        <v>13</v>
      </c>
      <c r="X8" s="5">
        <f>SUM(X3:X7)</f>
        <v>5</v>
      </c>
      <c r="Y8" s="25">
        <f>SUM(Y6:Y7)</f>
        <v>0.8</v>
      </c>
      <c r="Z8" s="24" t="s">
        <v>13</v>
      </c>
      <c r="AA8" s="5">
        <f>SUM(AA3:AA7)</f>
        <v>6</v>
      </c>
      <c r="AB8" s="25">
        <f>SUM(AB6:AB7)</f>
        <v>0.8333333333</v>
      </c>
      <c r="AC8" s="24" t="s">
        <v>13</v>
      </c>
      <c r="AD8" s="5">
        <f>SUM(AD3:AD7)</f>
        <v>8</v>
      </c>
      <c r="AE8" s="25">
        <f>SUM(AE6:AE7)</f>
        <v>0.5</v>
      </c>
      <c r="AF8" s="24" t="s">
        <v>13</v>
      </c>
      <c r="AG8" s="5">
        <f>SUM(AG3:AG7)</f>
        <v>17</v>
      </c>
      <c r="AH8" s="25">
        <f>SUM(AH6:AH7)</f>
        <v>0.4117647059</v>
      </c>
      <c r="AI8" s="24" t="s">
        <v>13</v>
      </c>
      <c r="AJ8" s="5">
        <f>SUM(AJ3:AJ7)</f>
        <v>1</v>
      </c>
      <c r="AK8" s="25">
        <f>SUM(AK6:AK7)</f>
        <v>1</v>
      </c>
      <c r="AL8" s="24" t="s">
        <v>13</v>
      </c>
      <c r="AM8" s="5">
        <f>SUM(AM3:AM7)</f>
        <v>1</v>
      </c>
      <c r="AN8" s="25">
        <f>SUM(AN6:AN7)</f>
        <v>1</v>
      </c>
      <c r="AO8" s="24" t="s">
        <v>13</v>
      </c>
      <c r="AP8" s="5">
        <f>SUM(AP3:AP7)</f>
        <v>0</v>
      </c>
      <c r="AQ8" s="25" t="str">
        <f>SUM(AQ6:AQ7)</f>
        <v>#DIV/0!</v>
      </c>
      <c r="AR8" s="24" t="s">
        <v>13</v>
      </c>
      <c r="AS8" s="5">
        <f>SUM(AS3:AS7)</f>
        <v>0</v>
      </c>
      <c r="AT8" s="25" t="str">
        <f>SUM(AT6:AT7)</f>
        <v>#DIV/0!</v>
      </c>
      <c r="AU8" s="24" t="s">
        <v>13</v>
      </c>
      <c r="AV8" s="5">
        <f>SUM(AV3:AV7)</f>
        <v>0</v>
      </c>
      <c r="AW8" s="25" t="str">
        <f>SUM(AW6:AW7)</f>
        <v>#DIV/0!</v>
      </c>
      <c r="AX8" s="24" t="s">
        <v>13</v>
      </c>
      <c r="AY8" s="5">
        <f>SUM(AY3:AY7)</f>
        <v>0</v>
      </c>
      <c r="AZ8" s="25" t="str">
        <f>SUM(AZ6:AZ7)</f>
        <v>#DIV/0!</v>
      </c>
      <c r="BA8" s="24" t="s">
        <v>13</v>
      </c>
      <c r="BB8" s="5">
        <f>SUM(BB3:BB7)</f>
        <v>0</v>
      </c>
      <c r="BC8" s="25" t="str">
        <f>SUM(BC6:BC7)</f>
        <v>#DIV/0!</v>
      </c>
      <c r="BD8" s="24" t="s">
        <v>13</v>
      </c>
      <c r="BE8" s="5">
        <f>SUM(BE3:BE7)</f>
        <v>0</v>
      </c>
      <c r="BF8" s="25" t="str">
        <f>SUM(BF6:BF7)</f>
        <v>#DIV/0!</v>
      </c>
      <c r="BG8" s="24" t="s">
        <v>13</v>
      </c>
      <c r="BH8" s="5">
        <f>SUM(BH3:BH7)</f>
        <v>0</v>
      </c>
      <c r="BI8" s="25" t="str">
        <f>SUM(BI6:BI7)</f>
        <v>#DIV/0!</v>
      </c>
      <c r="BJ8" s="24" t="s">
        <v>13</v>
      </c>
      <c r="BK8" s="5">
        <f>SUM(BK3:BK7)</f>
        <v>0</v>
      </c>
      <c r="BL8" s="25" t="str">
        <f>SUM(BL6:BL7)</f>
        <v>#DIV/0!</v>
      </c>
      <c r="BM8" s="24" t="s">
        <v>13</v>
      </c>
      <c r="BN8" s="5">
        <f>SUM(BN3:BN7)</f>
        <v>0</v>
      </c>
      <c r="BO8" s="25" t="str">
        <f>SUM(BO6:BO7)</f>
        <v>#DIV/0!</v>
      </c>
      <c r="BP8" s="24" t="s">
        <v>13</v>
      </c>
      <c r="BQ8" s="5">
        <f>SUM(BQ3:BQ7)</f>
        <v>0</v>
      </c>
      <c r="BR8" s="25" t="str">
        <f>SUM(BR6:BR7)</f>
        <v>#DIV/0!</v>
      </c>
      <c r="BS8" s="24" t="s">
        <v>13</v>
      </c>
      <c r="BT8" s="5">
        <f>SUM(BT3:BT7)</f>
        <v>0</v>
      </c>
      <c r="BU8" s="25" t="str">
        <f>SUM(BU6:BU7)</f>
        <v>#DIV/0!</v>
      </c>
      <c r="BV8" s="24" t="s">
        <v>13</v>
      </c>
      <c r="BW8" s="5">
        <f>SUM(BW3:BW7)</f>
        <v>0</v>
      </c>
      <c r="BX8" s="25" t="str">
        <f>SUM(BX6:BX7)</f>
        <v>#DIV/0!</v>
      </c>
      <c r="BY8" s="24" t="s">
        <v>13</v>
      </c>
      <c r="BZ8" s="5">
        <f>SUM(BZ3:BZ7)</f>
        <v>0</v>
      </c>
      <c r="CA8" s="25" t="str">
        <f>SUM(CA6:CA7)</f>
        <v>#DIV/0!</v>
      </c>
      <c r="CB8" s="24" t="s">
        <v>13</v>
      </c>
      <c r="CC8" s="5">
        <f>SUM(CC3:CC7)</f>
        <v>0</v>
      </c>
      <c r="CD8" s="25" t="str">
        <f>SUM(CD6:CD7)</f>
        <v>#DIV/0!</v>
      </c>
      <c r="CE8" s="24" t="s">
        <v>13</v>
      </c>
      <c r="CF8" s="5">
        <f>SUM(CF3:CF7)</f>
        <v>0</v>
      </c>
      <c r="CG8" s="25" t="str">
        <f>SUM(CG6:CG7)</f>
        <v>#DIV/0!</v>
      </c>
      <c r="CH8" s="24" t="s">
        <v>13</v>
      </c>
      <c r="CI8" s="5">
        <f>SUM(CI3:CI7)</f>
        <v>0</v>
      </c>
      <c r="CJ8" s="25" t="str">
        <f>SUM(CJ6:CJ7)</f>
        <v>#DIV/0!</v>
      </c>
      <c r="CK8" s="24" t="s">
        <v>13</v>
      </c>
      <c r="CL8" s="5">
        <f>SUM(CL3:CL7)</f>
        <v>0</v>
      </c>
      <c r="CM8" s="25" t="str">
        <f>SUM(CM6:CM7)</f>
        <v>#DIV/0!</v>
      </c>
      <c r="CN8" s="24" t="s">
        <v>13</v>
      </c>
      <c r="CO8" s="5">
        <f>SUM(CO3:CO7)</f>
        <v>0</v>
      </c>
      <c r="CP8" s="25" t="str">
        <f>SUM(CP6:CP7)</f>
        <v>#DIV/0!</v>
      </c>
      <c r="CQ8" s="24" t="s">
        <v>13</v>
      </c>
      <c r="CR8" s="5">
        <f>SUM(CR3:CR7)</f>
        <v>0</v>
      </c>
      <c r="CS8" s="25" t="str">
        <f>SUM(CS6:CS7)</f>
        <v>#DIV/0!</v>
      </c>
      <c r="CT8" s="26"/>
      <c r="CU8" s="26"/>
      <c r="CV8" s="26"/>
      <c r="CW8" s="26"/>
      <c r="CX8" s="26"/>
      <c r="CY8" s="26"/>
      <c r="CZ8" s="26"/>
      <c r="DA8" s="26"/>
      <c r="DB8" s="26"/>
      <c r="DC8" s="26"/>
      <c r="DD8" s="26"/>
      <c r="DE8" s="26"/>
      <c r="DF8" s="26"/>
    </row>
    <row r="9">
      <c r="A9" s="14" t="s">
        <v>33</v>
      </c>
      <c r="B9" s="19"/>
      <c r="C9" s="14" t="s">
        <v>34</v>
      </c>
      <c r="D9" s="14" t="s">
        <v>35</v>
      </c>
      <c r="E9" s="27" t="str">
        <f>IF((COLUMN(E9) - 2)/3 = INT((COLUMN(E9) - 2)/3), INDIRECT("R1C"&amp;CEILING(4 + COLUMN(E9)/3,1), FALSE), "")</f>
        <v>['deflect', 'kick', 'corner', 'shot', 'net']</v>
      </c>
      <c r="F9" s="28"/>
      <c r="G9" s="29"/>
      <c r="H9" s="27" t="str">
        <f>IF((COLUMN(H9) - 2)/3 = INT((COLUMN(H9) - 2)/3), INDIRECT("R1C"&amp;CEILING(4 + COLUMN(H9)/3,1), FALSE), "")</f>
        <v>['tackl', 'dribbl', 'yellow', 'red', 'card']</v>
      </c>
      <c r="I9" s="28"/>
      <c r="J9" s="29"/>
      <c r="K9" s="27" t="str">
        <f>IF((COLUMN(K9) - 2)/3 = INT((COLUMN(K9) - 2)/3), INDIRECT("R1C"&amp;CEILING(4 + COLUMN(K9)/3,1), FALSE), "")</f>
        <v>['goal', 'score', 'conced', 'equalis', 'offsid', 'assist']</v>
      </c>
      <c r="L9" s="28"/>
      <c r="M9" s="29"/>
      <c r="N9" s="27" t="str">
        <f>IF((COLUMN(N9) - 2)/3 = INT((COLUMN(N9) - 2)/3), INDIRECT("R1C"&amp;CEILING(4 + COLUMN(N9)/3,1), FALSE), "")</f>
        <v>['keeper', 'best', 'goalkeep', 'defend', 'EXCLUDED-kepa', 'save']</v>
      </c>
      <c r="O9" s="28"/>
      <c r="P9" s="29"/>
      <c r="Q9" s="27" t="str">
        <f>IF((COLUMN(Q9) - 2)/3 = INT((COLUMN(Q9) - 2)/3), INDIRECT("R1C"&amp;CEILING(4 + COLUMN(Q9)/3,1), FALSE), "")</f>
        <v>['take', 'knee', 'player']</v>
      </c>
      <c r="R9" s="28"/>
      <c r="S9" s="29"/>
      <c r="T9" s="27" t="str">
        <f>IF((COLUMN(T9) - 2)/3 = INT((COLUMN(T9) - 2)/3), INDIRECT("R1C"&amp;CEILING(4 + COLUMN(T9)/3,1), FALSE), "")</f>
        <v>['touch', 'cross', 'ball', 'pass']</v>
      </c>
      <c r="U9" s="28"/>
      <c r="V9" s="29"/>
      <c r="W9" s="27" t="str">
        <f>IF((COLUMN(W9) - 2)/3 = INT((COLUMN(W9) - 2)/3), INDIRECT("R1C"&amp;CEILING(4 + COLUMN(W9)/3,1), FALSE), "")</f>
        <v>['gol', 'stream', 'onlin', 'free', 'reddit', 'link', 'EXCLUDED-manchest', 'ff', 'live']</v>
      </c>
      <c r="X9" s="28"/>
      <c r="Y9" s="29"/>
      <c r="Z9" s="27" t="str">
        <f>IF((COLUMN(Z9) - 2)/3 = INT((COLUMN(Z9) - 2)/3), INDIRECT("R1C"&amp;CEILING(4 + COLUMN(Z9)/3,1), FALSE), "")</f>
        <v>['need', 'half', 'sub', 'second', 'lead', '2nd']</v>
      </c>
      <c r="AA9" s="28"/>
      <c r="AB9" s="29"/>
      <c r="AC9" s="27" t="str">
        <f>IF((COLUMN(AC9) - 2)/3 = INT((COLUMN(AC9) - 2)/3), INDIRECT("R1C"&amp;CEILING(4 + COLUMN(AC9)/3,1), FALSE), "")</f>
        <v>['world', 'class', 'striker']</v>
      </c>
      <c r="AD9" s="28"/>
      <c r="AE9" s="29"/>
      <c r="AF9" s="27" t="str">
        <f>IF((COLUMN(AF9) - 2)/3 = INT((COLUMN(AF9) - 2)/3), INDIRECT("R1C"&amp;CEILING(4 + COLUMN(AF9)/3,1), FALSE), "")</f>
        <v>['champion', 'final', 'leagu', 'footbal', 'win']</v>
      </c>
      <c r="AG9" s="28"/>
      <c r="AH9" s="29"/>
      <c r="AI9" s="27" t="str">
        <f>IF((COLUMN(AI9) - 2)/3 = INT((COLUMN(AI9) - 2)/3), INDIRECT("R1C"&amp;CEILING(4 + COLUMN(AI9)/3,1), FALSE), "")</f>
        <v>['hit', 'post']</v>
      </c>
      <c r="AJ9" s="28"/>
      <c r="AK9" s="29"/>
      <c r="AL9" s="27" t="str">
        <f>IF((COLUMN(AL9) - 2)/3 = INT((COLUMN(AL9) - 2)/3), INDIRECT("R1C"&amp;CEILING(4 + COLUMN(AL9)/3,1), FALSE), "")</f>
        <v>['foul', 'refere', 'book', 'decis', 'var', 'given', 'pen', 'dive', 'ref', 'penalti']</v>
      </c>
      <c r="AM9" s="28"/>
      <c r="AN9" s="29"/>
      <c r="AO9" s="27" t="str">
        <f>IF((COLUMN(AO9) - 2)/3 = INT((COLUMN(AO9) - 2)/3), INDIRECT("R1C"&amp;CEILING(4 + COLUMN(AO9)/3,1), FALSE), "")</f>
        <v/>
      </c>
      <c r="AP9" s="28"/>
      <c r="AQ9" s="29"/>
      <c r="AR9" s="27" t="str">
        <f>IF((COLUMN(AR9) - 2)/3 = INT((COLUMN(AR9) - 2)/3), INDIRECT("R1C"&amp;CEILING(4 + COLUMN(AR9)/3,1), FALSE), "")</f>
        <v/>
      </c>
      <c r="AS9" s="28"/>
      <c r="AT9" s="29"/>
      <c r="AU9" s="27" t="str">
        <f>IF((COLUMN(AU9) - 2)/3 = INT((COLUMN(AU9) - 2)/3), INDIRECT("R1C"&amp;CEILING(4 + COLUMN(AU9)/3,1), FALSE), "")</f>
        <v/>
      </c>
      <c r="AV9" s="28"/>
      <c r="AW9" s="29"/>
      <c r="AX9" s="27" t="str">
        <f>IF((COLUMN(AX9) - 2)/3 = INT((COLUMN(AX9) - 2)/3), INDIRECT("R1C"&amp;CEILING(4 + COLUMN(AX9)/3,1), FALSE), "")</f>
        <v/>
      </c>
      <c r="AY9" s="28"/>
      <c r="AZ9" s="29"/>
      <c r="BA9" s="27" t="str">
        <f>IF((COLUMN(BA9) - 2)/3 = INT((COLUMN(BA9) - 2)/3), INDIRECT("R1C"&amp;CEILING(4 + COLUMN(BA9)/3,1), FALSE), "")</f>
        <v/>
      </c>
      <c r="BB9" s="28"/>
      <c r="BC9" s="29"/>
      <c r="BD9" s="27" t="str">
        <f>IF((COLUMN(BD9) - 2)/3 = INT((COLUMN(BD9) - 2)/3), INDIRECT("R1C"&amp;CEILING(4 + COLUMN(BD9)/3,1), FALSE), "")</f>
        <v/>
      </c>
      <c r="BE9" s="28"/>
      <c r="BF9" s="29"/>
      <c r="BG9" s="27" t="str">
        <f>IF((COLUMN(BG9) - 2)/3 = INT((COLUMN(BG9) - 2)/3), INDIRECT("R1C"&amp;CEILING(4 + COLUMN(BG9)/3,1), FALSE), "")</f>
        <v/>
      </c>
      <c r="BH9" s="28"/>
      <c r="BI9" s="29"/>
      <c r="BJ9" s="27" t="str">
        <f>IF((COLUMN(BJ9) - 2)/3 = INT((COLUMN(BJ9) - 2)/3), INDIRECT("R1C"&amp;CEILING(4 + COLUMN(BJ9)/3,1), FALSE), "")</f>
        <v/>
      </c>
      <c r="BK9" s="28"/>
      <c r="BL9" s="29"/>
      <c r="BM9" s="27" t="str">
        <f>IF((COLUMN(BM9) - 2)/3 = INT((COLUMN(BM9) - 2)/3), INDIRECT("R1C"&amp;CEILING(4 + COLUMN(BM9)/3,1), FALSE), "")</f>
        <v/>
      </c>
      <c r="BN9" s="28"/>
      <c r="BO9" s="29"/>
      <c r="BP9" s="27" t="str">
        <f>IF((COLUMN(BP9) - 2)/3 = INT((COLUMN(BP9) - 2)/3), INDIRECT("R1C"&amp;CEILING(4 + COLUMN(BP9)/3,1), FALSE), "")</f>
        <v/>
      </c>
      <c r="BQ9" s="28"/>
      <c r="BR9" s="29"/>
      <c r="BS9" s="27" t="str">
        <f>IF((COLUMN(BS9) - 2)/3 = INT((COLUMN(BS9) - 2)/3), INDIRECT("R1C"&amp;CEILING(4 + COLUMN(BS9)/3,1), FALSE), "")</f>
        <v/>
      </c>
      <c r="BT9" s="28"/>
      <c r="BU9" s="29"/>
      <c r="BV9" s="27" t="str">
        <f>IF((COLUMN(BV9) - 2)/3 = INT((COLUMN(BV9) - 2)/3), INDIRECT("R1C"&amp;CEILING(4 + COLUMN(BV9)/3,1), FALSE), "")</f>
        <v/>
      </c>
      <c r="BW9" s="28"/>
      <c r="BX9" s="29"/>
      <c r="BY9" s="27" t="str">
        <f>IF((COLUMN(BY9) - 2)/3 = INT((COLUMN(BY9) - 2)/3), INDIRECT("R1C"&amp;CEILING(4 + COLUMN(BY9)/3,1), FALSE), "")</f>
        <v/>
      </c>
      <c r="BZ9" s="28"/>
      <c r="CA9" s="29"/>
      <c r="CB9" s="27" t="str">
        <f>IF((COLUMN(CB9) - 2)/3 = INT((COLUMN(CB9) - 2)/3), INDIRECT("R1C"&amp;CEILING(4 + COLUMN(CB9)/3,1), FALSE), "")</f>
        <v/>
      </c>
      <c r="CC9" s="28"/>
      <c r="CD9" s="29"/>
      <c r="CE9" s="27" t="str">
        <f>IF((COLUMN(CE9) - 2)/3 = INT((COLUMN(CE9) - 2)/3), INDIRECT("R1C"&amp;CEILING(4 + COLUMN(CE9)/3,1), FALSE), "")</f>
        <v/>
      </c>
      <c r="CF9" s="28"/>
      <c r="CG9" s="29"/>
      <c r="CH9" s="27" t="str">
        <f>IF((COLUMN(CH9) - 2)/3 = INT((COLUMN(CH9) - 2)/3), INDIRECT("R1C"&amp;CEILING(4 + COLUMN(CH9)/3,1), FALSE), "")</f>
        <v/>
      </c>
      <c r="CI9" s="28"/>
      <c r="CJ9" s="29"/>
      <c r="CK9" s="27" t="str">
        <f>IF((COLUMN(CK9) - 2)/3 = INT((COLUMN(CK9) - 2)/3), INDIRECT("R1C"&amp;CEILING(4 + COLUMN(CK9)/3,1), FALSE), "")</f>
        <v/>
      </c>
      <c r="CL9" s="28"/>
      <c r="CM9" s="29"/>
      <c r="CN9" s="27" t="str">
        <f>IF((COLUMN(CN9) - 2)/3 = INT((COLUMN(CN9) - 2)/3), INDIRECT("R1C"&amp;CEILING(4 + COLUMN(CN9)/3,1), FALSE), "")</f>
        <v/>
      </c>
      <c r="CO9" s="28"/>
      <c r="CP9" s="29"/>
      <c r="CQ9" s="27" t="str">
        <f>IF((COLUMN(CQ9) - 2)/3 = INT((COLUMN(CQ9) - 2)/3), INDIRECT("R1C"&amp;CEILING(4 + COLUMN(CQ9)/3,1), FALSE), "")</f>
        <v/>
      </c>
      <c r="CR9" s="28"/>
      <c r="CS9" s="29"/>
    </row>
    <row r="10">
      <c r="A10" s="19" t="s">
        <v>14</v>
      </c>
      <c r="B10" s="19" t="s">
        <v>36</v>
      </c>
      <c r="C10" s="30">
        <f>IFERROR(__xludf.DUMMYFUNCTION("SUM(FILTER($E3:DF3, (COLUMN($E3:DF3)) / 3 = ROUND((COLUMN($E3:DF3)) / 3), NOT(ISERROR($E3:DF3))))"),8.0)</f>
        <v>8</v>
      </c>
      <c r="D10" s="26">
        <f t="shared" ref="D10:D14" si="63">$C10/$C$15</f>
        <v>0.08333333333</v>
      </c>
      <c r="E10" s="5" t="str">
        <f>IFERROR(__xludf.DUMMYFUNCTION("QUERY(INDIRECT($B$2&amp;""!$A$1:$F""), ""SELECT C, F WHERE D = """""" &amp; E9 &amp; """""""")"),"date")</f>
        <v>date</v>
      </c>
      <c r="F10" s="5" t="str">
        <f>IFERROR(__xludf.DUMMYFUNCTION("""COMPUTED_VALUE"""),"summary")</f>
        <v>summary</v>
      </c>
      <c r="H10" s="5" t="str">
        <f>IFERROR(__xludf.DUMMYFUNCTION("QUERY(INDIRECT($B$2&amp;""!$A$1:$F""), ""SELECT C, F WHERE D = """""" &amp; H9 &amp; """""""")"),"date")</f>
        <v>date</v>
      </c>
      <c r="I10" s="5" t="str">
        <f>IFERROR(__xludf.DUMMYFUNCTION("""COMPUTED_VALUE"""),"summary")</f>
        <v>summary</v>
      </c>
      <c r="K10" s="5" t="str">
        <f>IFERROR(__xludf.DUMMYFUNCTION("QUERY(INDIRECT($B$2&amp;""!$A$1:$F""), ""SELECT C, F WHERE D = """""" &amp; K9 &amp; """""""")"),"date")</f>
        <v>date</v>
      </c>
      <c r="L10" s="5" t="str">
        <f>IFERROR(__xludf.DUMMYFUNCTION("""COMPUTED_VALUE"""),"summary")</f>
        <v>summary</v>
      </c>
      <c r="N10" s="5" t="str">
        <f>IFERROR(__xludf.DUMMYFUNCTION("QUERY(INDIRECT($B$2&amp;""!$A$1:$F""), ""SELECT C, F WHERE D = """""" &amp; N9 &amp; """""""")"),"date")</f>
        <v>date</v>
      </c>
      <c r="O10" s="5" t="str">
        <f>IFERROR(__xludf.DUMMYFUNCTION("""COMPUTED_VALUE"""),"summary")</f>
        <v>summary</v>
      </c>
      <c r="Q10" s="5" t="str">
        <f>IFERROR(__xludf.DUMMYFUNCTION("QUERY(INDIRECT($B$2&amp;""!$A$1:$F""), ""SELECT C, F WHERE D = """""" &amp; Q9 &amp; """""""")"),"date")</f>
        <v>date</v>
      </c>
      <c r="R10" s="5" t="str">
        <f>IFERROR(__xludf.DUMMYFUNCTION("""COMPUTED_VALUE"""),"summary")</f>
        <v>summary</v>
      </c>
      <c r="T10" s="5" t="str">
        <f>IFERROR(__xludf.DUMMYFUNCTION("QUERY(INDIRECT($B$2&amp;""!$A$1:$F""), ""SELECT C, F WHERE D = """""" &amp; T9 &amp; """""""")"),"date")</f>
        <v>date</v>
      </c>
      <c r="U10" s="5" t="str">
        <f>IFERROR(__xludf.DUMMYFUNCTION("""COMPUTED_VALUE"""),"summary")</f>
        <v>summary</v>
      </c>
      <c r="W10" s="5" t="str">
        <f>IFERROR(__xludf.DUMMYFUNCTION("QUERY(INDIRECT($B$2&amp;""!$A$1:$F""), ""SELECT C, F WHERE D = """""" &amp; W9 &amp; """""""")"),"date")</f>
        <v>date</v>
      </c>
      <c r="X10" s="5" t="str">
        <f>IFERROR(__xludf.DUMMYFUNCTION("""COMPUTED_VALUE"""),"summary")</f>
        <v>summary</v>
      </c>
      <c r="Z10" s="5" t="str">
        <f>IFERROR(__xludf.DUMMYFUNCTION("QUERY(INDIRECT($B$2&amp;""!$A$1:$F""), ""SELECT C, F WHERE D = """""" &amp; Z9 &amp; """""""")"),"date")</f>
        <v>date</v>
      </c>
      <c r="AA10" s="5" t="str">
        <f>IFERROR(__xludf.DUMMYFUNCTION("""COMPUTED_VALUE"""),"summary")</f>
        <v>summary</v>
      </c>
      <c r="AC10" s="5" t="str">
        <f>IFERROR(__xludf.DUMMYFUNCTION("QUERY(INDIRECT($B$2&amp;""!$A$1:$F""), ""SELECT C, F WHERE D = """""" &amp; AC9 &amp; """""""")"),"date")</f>
        <v>date</v>
      </c>
      <c r="AD10" s="5" t="str">
        <f>IFERROR(__xludf.DUMMYFUNCTION("""COMPUTED_VALUE"""),"summary")</f>
        <v>summary</v>
      </c>
      <c r="AF10" s="5" t="str">
        <f>IFERROR(__xludf.DUMMYFUNCTION("QUERY(INDIRECT($B$2&amp;""!$A$1:$F""), ""SELECT C, F WHERE D = """""" &amp; AF9 &amp; """""""")"),"date")</f>
        <v>date</v>
      </c>
      <c r="AG10" s="5" t="str">
        <f>IFERROR(__xludf.DUMMYFUNCTION("""COMPUTED_VALUE"""),"summary")</f>
        <v>summary</v>
      </c>
      <c r="AI10" s="5" t="str">
        <f>IFERROR(__xludf.DUMMYFUNCTION("QUERY(INDIRECT($B$2&amp;""!$A$1:$F""), ""SELECT C, F WHERE D = """""" &amp; AI9 &amp; """""""")"),"date")</f>
        <v>date</v>
      </c>
      <c r="AJ10" s="5" t="str">
        <f>IFERROR(__xludf.DUMMYFUNCTION("""COMPUTED_VALUE"""),"summary")</f>
        <v>summary</v>
      </c>
      <c r="AL10" s="5" t="str">
        <f>IFERROR(__xludf.DUMMYFUNCTION("QUERY(INDIRECT($B$2&amp;""!$A$1:$F""), ""SELECT C, F WHERE D = """""" &amp; AL9 &amp; """""""")"),"date")</f>
        <v>date</v>
      </c>
      <c r="AM10" s="5" t="str">
        <f>IFERROR(__xludf.DUMMYFUNCTION("""COMPUTED_VALUE"""),"summary")</f>
        <v>summary</v>
      </c>
      <c r="AO10" s="5" t="str">
        <f>IFERROR(__xludf.DUMMYFUNCTION("QUERY(INDIRECT($B$2&amp;""!$A$1:$F""), ""SELECT C, F WHERE D = """""" &amp; AO9 &amp; """""""")"),"date")</f>
        <v>date</v>
      </c>
      <c r="AP10" s="5" t="str">
        <f>IFERROR(__xludf.DUMMYFUNCTION("""COMPUTED_VALUE"""),"summary")</f>
        <v>summary</v>
      </c>
      <c r="AR10" s="5" t="str">
        <f>IFERROR(__xludf.DUMMYFUNCTION("QUERY(INDIRECT($B$2&amp;""!$A$1:$F""), ""SELECT C, F WHERE D = """""" &amp; AR9 &amp; """""""")"),"date")</f>
        <v>date</v>
      </c>
      <c r="AS10" s="5" t="str">
        <f>IFERROR(__xludf.DUMMYFUNCTION("""COMPUTED_VALUE"""),"summary")</f>
        <v>summary</v>
      </c>
      <c r="AU10" s="5" t="str">
        <f>IFERROR(__xludf.DUMMYFUNCTION("QUERY(INDIRECT($B$2&amp;""!$A$1:$F""), ""SELECT C, F WHERE D = """""" &amp; AU9 &amp; """""""")"),"date")</f>
        <v>date</v>
      </c>
      <c r="AV10" s="5" t="str">
        <f>IFERROR(__xludf.DUMMYFUNCTION("""COMPUTED_VALUE"""),"summary")</f>
        <v>summary</v>
      </c>
      <c r="AX10" s="5" t="str">
        <f>IFERROR(__xludf.DUMMYFUNCTION("QUERY(INDIRECT($B$2&amp;""!$A$1:$F""), ""SELECT C, F WHERE D = """""" &amp; AX9 &amp; """""""")"),"date")</f>
        <v>date</v>
      </c>
      <c r="AY10" s="5" t="str">
        <f>IFERROR(__xludf.DUMMYFUNCTION("""COMPUTED_VALUE"""),"summary")</f>
        <v>summary</v>
      </c>
      <c r="BA10" s="5" t="str">
        <f>IFERROR(__xludf.DUMMYFUNCTION("QUERY(INDIRECT($B$2&amp;""!$A$1:$F""), ""SELECT C, F WHERE D = """""" &amp; BA9 &amp; """""""")"),"date")</f>
        <v>date</v>
      </c>
      <c r="BB10" s="5" t="str">
        <f>IFERROR(__xludf.DUMMYFUNCTION("""COMPUTED_VALUE"""),"summary")</f>
        <v>summary</v>
      </c>
      <c r="BD10" s="5" t="str">
        <f>IFERROR(__xludf.DUMMYFUNCTION("QUERY(INDIRECT($B$2&amp;""!$A$1:$F""), ""SELECT C, F WHERE D = """""" &amp; BD9 &amp; """""""")"),"date")</f>
        <v>date</v>
      </c>
      <c r="BE10" s="5" t="str">
        <f>IFERROR(__xludf.DUMMYFUNCTION("""COMPUTED_VALUE"""),"summary")</f>
        <v>summary</v>
      </c>
      <c r="BG10" s="5" t="str">
        <f>IFERROR(__xludf.DUMMYFUNCTION("QUERY(INDIRECT($B$2&amp;""!$A$1:$F""), ""SELECT C, F WHERE D = """""" &amp; BG9 &amp; """""""")"),"date")</f>
        <v>date</v>
      </c>
      <c r="BH10" s="5" t="str">
        <f>IFERROR(__xludf.DUMMYFUNCTION("""COMPUTED_VALUE"""),"summary")</f>
        <v>summary</v>
      </c>
      <c r="BJ10" s="5" t="str">
        <f>IFERROR(__xludf.DUMMYFUNCTION("QUERY(INDIRECT($B$2&amp;""!$A$1:$F""), ""SELECT C, F WHERE D = """""" &amp; BJ9 &amp; """""""")"),"date")</f>
        <v>date</v>
      </c>
      <c r="BK10" s="5" t="str">
        <f>IFERROR(__xludf.DUMMYFUNCTION("""COMPUTED_VALUE"""),"summary")</f>
        <v>summary</v>
      </c>
      <c r="BM10" s="5" t="str">
        <f>IFERROR(__xludf.DUMMYFUNCTION("QUERY(INDIRECT($B$2&amp;""!$A$1:$F""), ""SELECT C, F WHERE D = """""" &amp; BM9 &amp; """""""")"),"date")</f>
        <v>date</v>
      </c>
      <c r="BN10" s="5" t="str">
        <f>IFERROR(__xludf.DUMMYFUNCTION("""COMPUTED_VALUE"""),"summary")</f>
        <v>summary</v>
      </c>
      <c r="BP10" s="5" t="str">
        <f>IFERROR(__xludf.DUMMYFUNCTION("QUERY(INDIRECT($B$2&amp;""!$A$1:$F""), ""SELECT C, F WHERE D = """""" &amp; BP9 &amp; """""""")"),"date")</f>
        <v>date</v>
      </c>
      <c r="BQ10" s="5" t="str">
        <f>IFERROR(__xludf.DUMMYFUNCTION("""COMPUTED_VALUE"""),"summary")</f>
        <v>summary</v>
      </c>
      <c r="BS10" s="5" t="str">
        <f>IFERROR(__xludf.DUMMYFUNCTION("QUERY(INDIRECT($B$2&amp;""!$A$1:$F""), ""SELECT C, F WHERE D = """""" &amp; BS9 &amp; """""""")"),"date")</f>
        <v>date</v>
      </c>
      <c r="BT10" s="5" t="str">
        <f>IFERROR(__xludf.DUMMYFUNCTION("""COMPUTED_VALUE"""),"summary")</f>
        <v>summary</v>
      </c>
      <c r="BV10" s="5" t="str">
        <f>IFERROR(__xludf.DUMMYFUNCTION("QUERY(INDIRECT($B$2&amp;""!$A$1:$F""), ""SELECT C, F WHERE D = """""" &amp; BV9 &amp; """""""")"),"date")</f>
        <v>date</v>
      </c>
      <c r="BW10" s="5" t="str">
        <f>IFERROR(__xludf.DUMMYFUNCTION("""COMPUTED_VALUE"""),"summary")</f>
        <v>summary</v>
      </c>
      <c r="BY10" s="5" t="str">
        <f>IFERROR(__xludf.DUMMYFUNCTION("QUERY(INDIRECT($B$2&amp;""!$A$1:$F""), ""SELECT C, F WHERE D = """""" &amp; BY9 &amp; """""""")"),"date")</f>
        <v>date</v>
      </c>
      <c r="BZ10" s="5" t="str">
        <f>IFERROR(__xludf.DUMMYFUNCTION("""COMPUTED_VALUE"""),"summary")</f>
        <v>summary</v>
      </c>
      <c r="CB10" s="5" t="str">
        <f>IFERROR(__xludf.DUMMYFUNCTION("QUERY(INDIRECT($B$2&amp;""!$A$1:$F""), ""SELECT C, F WHERE D = """""" &amp; CB9 &amp; """""""")"),"date")</f>
        <v>date</v>
      </c>
      <c r="CC10" s="5" t="str">
        <f>IFERROR(__xludf.DUMMYFUNCTION("""COMPUTED_VALUE"""),"summary")</f>
        <v>summary</v>
      </c>
      <c r="CE10" s="5" t="str">
        <f>IFERROR(__xludf.DUMMYFUNCTION("QUERY(INDIRECT($B$2&amp;""!$A$1:$F""), ""SELECT C, F WHERE D = """""" &amp; CE9 &amp; """""""")"),"date")</f>
        <v>date</v>
      </c>
      <c r="CF10" s="5" t="str">
        <f>IFERROR(__xludf.DUMMYFUNCTION("""COMPUTED_VALUE"""),"summary")</f>
        <v>summary</v>
      </c>
      <c r="CH10" s="5" t="str">
        <f>IFERROR(__xludf.DUMMYFUNCTION("QUERY(INDIRECT($B$2&amp;""!$A$1:$F""), ""SELECT C, F WHERE D = """""" &amp; CH9 &amp; """""""")"),"date")</f>
        <v>date</v>
      </c>
      <c r="CI10" s="5" t="str">
        <f>IFERROR(__xludf.DUMMYFUNCTION("""COMPUTED_VALUE"""),"summary")</f>
        <v>summary</v>
      </c>
      <c r="CK10" s="5" t="str">
        <f>IFERROR(__xludf.DUMMYFUNCTION("QUERY(INDIRECT($B$2&amp;""!$A$1:$F""), ""SELECT C, F WHERE D = """""" &amp; CK9 &amp; """""""")"),"date")</f>
        <v>date</v>
      </c>
      <c r="CL10" s="5" t="str">
        <f>IFERROR(__xludf.DUMMYFUNCTION("""COMPUTED_VALUE"""),"summary")</f>
        <v>summary</v>
      </c>
      <c r="CN10" s="5" t="str">
        <f>IFERROR(__xludf.DUMMYFUNCTION("QUERY(INDIRECT($B$2&amp;""!$A$1:$F""), ""SELECT C, F WHERE D = """""" &amp; CN9 &amp; """""""")"),"date")</f>
        <v>date</v>
      </c>
      <c r="CO10" s="5" t="str">
        <f>IFERROR(__xludf.DUMMYFUNCTION("""COMPUTED_VALUE"""),"summary")</f>
        <v>summary</v>
      </c>
      <c r="CQ10" s="5" t="str">
        <f>IFERROR(__xludf.DUMMYFUNCTION("QUERY(INDIRECT($B$2&amp;""!$A$1:$F""), ""SELECT C, F WHERE D = """""" &amp; CQ9 &amp; """""""")"),"date")</f>
        <v>date</v>
      </c>
      <c r="CR10" s="5" t="str">
        <f>IFERROR(__xludf.DUMMYFUNCTION("""COMPUTED_VALUE"""),"summary")</f>
        <v>summary</v>
      </c>
    </row>
    <row r="11">
      <c r="A11" s="19" t="s">
        <v>15</v>
      </c>
      <c r="B11" s="19" t="s">
        <v>37</v>
      </c>
      <c r="C11" s="30">
        <f>IFERROR(__xludf.DUMMYFUNCTION("SUM(FILTER($E4:DF4, (COLUMN($E4:DF4)) / 3 = ROUND((COLUMN($E4:DF4)) / 3), NOT(ISERROR($E4:DF4))))"),11.0)</f>
        <v>11</v>
      </c>
      <c r="D11" s="26">
        <f t="shared" si="63"/>
        <v>0.1145833333</v>
      </c>
      <c r="E11" s="40">
        <f>IFERROR(__xludf.DUMMYFUNCTION("""COMPUTED_VALUE"""),44366.54221064815)</f>
        <v>44366.54221</v>
      </c>
      <c r="F11" s="5" t="str">
        <f>IFERROR(__xludf.DUMMYFUNCTION("""COMPUTED_VALUE"""),"EURO 2020 Kick-off in Budapest! Hungary Vs France ⚽. What are your predictions? ⚽️ KICK-OFF! 🇭🇺🆚🇫🇷. ℹ️ Group F, matchday 2. 🤔 What will happen in Budapest? EURO 2020. Kick-off ⚽️ Here. We go. Allez Les Bleus!!! #HUNFRA Fiersdetre Bleus.")</f>
        <v>EURO 2020 Kick-off in Budapest! Hungary Vs France ⚽. What are your predictions? ⚽️ KICK-OFF! 🇭🇺🆚🇫🇷. ℹ️ Group F, matchday 2. 🤔 What will happen in Budapest? EURO 2020. Kick-off ⚽️ Here. We go. Allez Les Bleus!!! #HUNFRA Fiersdetre Bleus.</v>
      </c>
      <c r="G11" s="39" t="s">
        <v>17</v>
      </c>
      <c r="H11" s="40">
        <f>IFERROR(__xludf.DUMMYFUNCTION("""COMPUTED_VALUE"""),44366.54890046296)</f>
        <v>44366.5489</v>
      </c>
      <c r="I11" s="5" t="str">
        <f>IFERROR(__xludf.DUMMYFUNCTION("""COMPUTED_VALUE"""),"PAVARD YELLOW ! 🤦‍♂️. EURO 2020 #HUNFRA reference should give 2 yellow cards - Varane and Pavard! Pavard’s looking to get a red card. Mello Yellow Pavard. Pavard is gonna get cooked after that yellow on that flank. 📸 - Pavard on a yellow card already, w"&amp;"ithin 10 minutes..")</f>
        <v>PAVARD YELLOW ! 🤦‍♂️. EURO 2020 #HUNFRA reference should give 2 yellow cards - Varane and Pavard! Pavard’s looking to get a red card. Mello Yellow Pavard. Pavard is gonna get cooked after that yellow on that flank. 📸 - Pavard on a yellow card already, within 10 minutes..</v>
      </c>
      <c r="J11" s="39" t="s">
        <v>17</v>
      </c>
      <c r="K11" s="40">
        <f>IFERROR(__xludf.DUMMYFUNCTION("""COMPUTED_VALUE"""),44366.55122685185)</f>
        <v>44366.55123</v>
      </c>
      <c r="L11" s="5" t="str">
        <f>IFERROR(__xludf.DUMMYFUNCTION("""COMPUTED_VALUE"""),"Griezmann eh score that wtf lmao even if it offside. I know he's offside but that's so poor from Griezmann. Offside but Griezmann has to find the back of the net there. Griezmann lucky he was offsides bc that was a terrible miss.")</f>
        <v>Griezmann eh score that wtf lmao even if it offside. I know he's offside but that's so poor from Griezmann. Offside but Griezmann has to find the back of the net there. Griezmann lucky he was offsides bc that was a terrible miss.</v>
      </c>
      <c r="M11" s="39" t="s">
        <v>18</v>
      </c>
      <c r="N11" s="40">
        <f>IFERROR(__xludf.DUMMYFUNCTION("""COMPUTED_VALUE"""),44366.55136574074)</f>
        <v>44366.55137</v>
      </c>
      <c r="O11" s="5" t="str">
        <f>IFERROR(__xludf.DUMMYFUNCTION("""COMPUTED_VALUE"""),"Fantastic save from the GK. #HUN. Good save but Griezmann should be scoring there. Almost benzema good save by the keeper. Great save by Gulasci after his own error. Offside though.. EURO 2020. Whatta double save! EURO 2020 #HUNFRA. Gulacsi mate. What a s"&amp;"ave. #HUNFRA.")</f>
        <v>Fantastic save from the GK. #HUN. Good save but Griezmann should be scoring there. Almost benzema good save by the keeper. Great save by Gulasci after his own error. Offside though.. EURO 2020. Whatta double save! EURO 2020 #HUNFRA. Gulacsi mate. What a save. #HUNFRA.</v>
      </c>
      <c r="P11" s="39" t="s">
        <v>18</v>
      </c>
      <c r="Q11" s="40">
        <f>IFERROR(__xludf.DUMMYFUNCTION("""COMPUTED_VALUE"""),44366.552719907406)</f>
        <v>44366.55272</v>
      </c>
      <c r="R11" s="5" t="str">
        <f>IFERROR(__xludf.DUMMYFUNCTION("""COMPUTED_VALUE"""),"What a player Kante is. KANTE, What a Player. DRIVER. Kanté best player in the world?? Arguably. Don’t @ me. I fucking love watching the little wizard. #FRA. Kante’s ability to glide past players with such speed is incredible. Kante is an infinitely great"&amp;"er player than Pogba.")</f>
        <v>What a player Kante is. KANTE, What a Player. DRIVER. Kanté best player in the world?? Arguably. Don’t @ me. I fucking love watching the little wizard. #FRA. Kante’s ability to glide past players with such speed is incredible. Kante is an infinitely greater player than Pogba.</v>
      </c>
      <c r="S11" s="39" t="s">
        <v>16</v>
      </c>
      <c r="T11" s="40">
        <f>IFERROR(__xludf.DUMMYFUNCTION("""COMPUTED_VALUE"""),44366.55273148148)</f>
        <v>44366.55273</v>
      </c>
      <c r="U11" s="5" t="str">
        <f>IFERROR(__xludf.DUMMYFUNCTION("""COMPUTED_VALUE"""),"Kante what a run! Hand him the ball on d'or asap! Kante all alone passed 3/4 of the players im yelling. Digne's crosses are so good. Mbappe should have done better with that. Kylian kylian kylian that was so close that pass from digne 🔥.")</f>
        <v>Kante what a run! Hand him the ball on d'or asap! Kante all alone passed 3/4 of the players im yelling. Digne's crosses are so good. Mbappe should have done better with that. Kylian kylian kylian that was so close that pass from digne 🔥.</v>
      </c>
      <c r="V11" s="39" t="s">
        <v>18</v>
      </c>
      <c r="W11" s="40">
        <f>IFERROR(__xludf.DUMMYFUNCTION("""COMPUTED_VALUE"""),44366.55390046297)</f>
        <v>44366.5539</v>
      </c>
      <c r="X11" s="5" t="str">
        <f>IFERROR(__xludf.DUMMYFUNCTION("""COMPUTED_VALUE"""),"Mbappe with another free header wa o. Mbappe ffsss. Digne and Mbappe link up. 8 yards out free header 200 mill mbappe get fucked. Quase gol do mbappe. We’ve only made one 100m+ signing in 7 years ffs. Wake up Real Madrid C.F. sancho haaland and mbappe are"&amp;" all available.")</f>
        <v>Mbappe with another free header wa o. Mbappe ffsss. Digne and Mbappe link up. 8 yards out free header 200 mill mbappe get fucked. Quase gol do mbappe. We’ve only made one 100m+ signing in 7 years ffs. Wake up Real Madrid C.F. sancho haaland and mbappe are all available.</v>
      </c>
      <c r="Y11" s="39" t="s">
        <v>18</v>
      </c>
      <c r="Z11" s="40">
        <f>IFERROR(__xludf.DUMMYFUNCTION("""COMPUTED_VALUE"""),44366.563518518524)</f>
        <v>44366.56352</v>
      </c>
      <c r="AA11" s="5" t="str">
        <f>IFERROR(__xludf.DUMMYFUNCTION("""COMPUTED_VALUE"""),"Benzema should be subbed off immediately for ruining that. That would’ve been such a good goal ffsss. Griezmann ball over the top, Mbappe touch and reverse pass, Benzema half volley. Benzema isn’t even half the player giroud is for France. I need a goal f"&amp;"rom Benzema now. Come on.")</f>
        <v>Benzema should be subbed off immediately for ruining that. That would’ve been such a good goal ffsss. Griezmann ball over the top, Mbappe touch and reverse pass, Benzema half volley. Benzema isn’t even half the player giroud is for France. I need a goal from Benzema now. Come on.</v>
      </c>
      <c r="AB11" s="39" t="s">
        <v>18</v>
      </c>
      <c r="AC11" s="40">
        <f>IFERROR(__xludf.DUMMYFUNCTION("""COMPUTED_VALUE"""),44366.563564814816)</f>
        <v>44366.56356</v>
      </c>
      <c r="AD11" s="5" t="str">
        <f>IFERROR(__xludf.DUMMYFUNCTION("""COMPUTED_VALUE"""),"And that’s why Giroud is France’s best striker…. So class from mbappe. Smh look at this pipe of a striker called benzema. Oh my, that was class. Benzema needs to do better... Benzema out here missing sitters. My striker couldn’t. Benzema knows what he’s d"&amp;"oing. My striker 😻.")</f>
        <v>And that’s why Giroud is France’s best striker…. So class from mbappe. Smh look at this pipe of a striker called benzema. Oh my, that was class. Benzema needs to do better... Benzema out here missing sitters. My striker couldn’t. Benzema knows what he’s doing. My striker 😻.</v>
      </c>
      <c r="AE11" s="39" t="s">
        <v>15</v>
      </c>
      <c r="AF11" s="40">
        <f>IFERROR(__xludf.DUMMYFUNCTION("""COMPUTED_VALUE"""),44366.56412037037)</f>
        <v>44366.56412</v>
      </c>
      <c r="AG11" s="5" t="str">
        <f>IFERROR(__xludf.DUMMYFUNCTION("""COMPUTED_VALUE"""),"If mbappe and benzema eventually click properly in this tournament, they will most likely win. Master class final pass from Mbappe, very poor delivery from Benzema.. EURO 2020. If Mbappe joins the reds I’m giving up on football. Mbappe is the best footbal"&amp;"ler in the world man.")</f>
        <v>If mbappe and benzema eventually click properly in this tournament, they will most likely win. Master class final pass from Mbappe, very poor delivery from Benzema.. EURO 2020. If Mbappe joins the reds I’m giving up on football. Mbappe is the best footballer in the world man.</v>
      </c>
      <c r="AH11" s="39" t="s">
        <v>18</v>
      </c>
      <c r="AI11" s="40">
        <f>IFERROR(__xludf.DUMMYFUNCTION("""COMPUTED_VALUE"""),44366.57519675926)</f>
        <v>44366.5752</v>
      </c>
      <c r="AJ11" s="5" t="str">
        <f>IFERROR(__xludf.DUMMYFUNCTION("""COMPUTED_VALUE"""),"Lloris getting beat near post…. Lloris left a gaping gap at his near post. It’s like Lloris only got one arm... he’s so bad on his near post. Lloris beaten at near post. Shockingly over rated keeper. Lloris moving like ddg and ter stegen at the near post"&amp;".")</f>
        <v>Lloris getting beat near post…. Lloris left a gaping gap at his near post. It’s like Lloris only got one arm... he’s so bad on his near post. Lloris beaten at near post. Shockingly over rated keeper. Lloris moving like ddg and ter stegen at the near post😭.</v>
      </c>
      <c r="AK11" s="39" t="s">
        <v>17</v>
      </c>
      <c r="AL11" s="40">
        <f>IFERROR(__xludf.DUMMYFUNCTION("""COMPUTED_VALUE"""),44366.62149305556)</f>
        <v>44366.62149</v>
      </c>
      <c r="AM11" s="5" t="str">
        <f>IFERROR(__xludf.DUMMYFUNCTION("""COMPUTED_VALUE"""),"Looks a foul on kimpembe , should be a Pen for #FRA. Penalty to France no? Kimpembe rugby tackled 😂. Tirage de maillot sur kimpembe penalty allo ? They want to give #fra a penalty 🤣🤣🤣. That has to be a penalty EURO 2020. That's a penalty for the attem"&amp;"pted undressing of Kimpembe.")</f>
        <v>Looks a foul on kimpembe , should be a Pen for #FRA. Penalty to France no? Kimpembe rugby tackled 😂. Tirage de maillot sur kimpembe penalty allo ? They want to give #fra a penalty 🤣🤣🤣. That has to be a penalty EURO 2020. That's a penalty for the attempted undressing of Kimpembe.</v>
      </c>
      <c r="AN11" s="39" t="s">
        <v>18</v>
      </c>
      <c r="AO11" s="40"/>
      <c r="AP11" s="5"/>
      <c r="AQ11" s="5"/>
      <c r="AR11" s="40"/>
      <c r="AS11" s="5"/>
      <c r="AT11" s="5"/>
      <c r="AU11" s="40"/>
      <c r="AV11" s="5"/>
      <c r="AW11" s="5"/>
      <c r="AX11" s="40"/>
      <c r="AY11" s="5"/>
      <c r="AZ11" s="5"/>
      <c r="BA11" s="40"/>
      <c r="BB11" s="5"/>
      <c r="BC11" s="5"/>
      <c r="BD11" s="40"/>
      <c r="BE11" s="5"/>
      <c r="BF11" s="5"/>
      <c r="BG11" s="40"/>
      <c r="BH11" s="5"/>
      <c r="BI11" s="5"/>
      <c r="BJ11" s="40"/>
      <c r="BK11" s="5"/>
      <c r="BL11" s="5"/>
      <c r="BM11" s="40"/>
      <c r="BN11" s="5"/>
      <c r="BO11" s="5"/>
      <c r="BP11" s="40"/>
      <c r="BQ11" s="5"/>
      <c r="BR11" s="5"/>
      <c r="BS11" s="40"/>
      <c r="BT11" s="5"/>
      <c r="BU11" s="5"/>
      <c r="BV11" s="40"/>
      <c r="BW11" s="5"/>
      <c r="BX11" s="5"/>
      <c r="BY11" s="40"/>
      <c r="BZ11" s="5"/>
      <c r="CA11" s="5"/>
      <c r="CB11" s="40"/>
      <c r="CC11" s="5"/>
      <c r="CD11" s="5"/>
      <c r="CE11" s="40"/>
      <c r="CF11" s="5"/>
      <c r="CG11" s="5"/>
      <c r="CH11" s="40"/>
      <c r="CI11" s="5"/>
      <c r="CJ11" s="5"/>
      <c r="CK11" s="40"/>
      <c r="CL11" s="5"/>
      <c r="CM11" s="5"/>
      <c r="CN11" s="40"/>
      <c r="CO11" s="5"/>
      <c r="CP11" s="5"/>
      <c r="CQ11" s="40"/>
      <c r="CR11" s="5"/>
      <c r="CS11" s="5"/>
      <c r="CT11" s="5"/>
      <c r="CU11" s="5"/>
      <c r="CV11" s="5"/>
      <c r="CW11" s="5"/>
      <c r="CX11" s="5"/>
      <c r="CY11" s="5"/>
      <c r="CZ11" s="5"/>
      <c r="DA11" s="5"/>
      <c r="DB11" s="5"/>
      <c r="DC11" s="5"/>
      <c r="DD11" s="5"/>
      <c r="DE11" s="5"/>
      <c r="DF11" s="5"/>
    </row>
    <row r="12">
      <c r="A12" s="19" t="s">
        <v>16</v>
      </c>
      <c r="B12" s="19" t="s">
        <v>38</v>
      </c>
      <c r="C12" s="30">
        <f>IFERROR(__xludf.DUMMYFUNCTION("SUM(FILTER($E5:DF5, (COLUMN($E5:DF5)) / 3 = ROUND((COLUMN($E5:DF5)) / 3), NOT(ISERROR($E5:DF5))))"),19.0)</f>
        <v>19</v>
      </c>
      <c r="D12" s="26">
        <f t="shared" si="63"/>
        <v>0.1979166667</v>
      </c>
      <c r="E12" s="40">
        <f>IFERROR(__xludf.DUMMYFUNCTION("""COMPUTED_VALUE"""),44366.56040509259)</f>
        <v>44366.56041</v>
      </c>
      <c r="F12" s="5" t="str">
        <f>IFERROR(__xludf.DUMMYFUNCTION("""COMPUTED_VALUE"""),"Why is mbappe taking free kicks? 😭. This Mbappe ego 🤢🤢. Now he wants to play the Free-kick. That must’ve hurt bro getting a shot from mbappe to the face😭😭😭. Oh le head shot de mbappe la. Mbappe lining up for a free kick una 😂. Seriously Has mbappe "&amp;"ever scored a free kick goal?")</f>
        <v>Why is mbappe taking free kicks? 😭. This Mbappe ego 🤢🤢. Now he wants to play the Free-kick. That must’ve hurt bro getting a shot from mbappe to the face😭😭😭. Oh le head shot de mbappe la. Mbappe lining up for a free kick una 😂. Seriously Has mbappe ever scored a free kick goal?</v>
      </c>
      <c r="G12" s="39" t="s">
        <v>18</v>
      </c>
      <c r="H12" s="40">
        <f>IFERROR(__xludf.DUMMYFUNCTION("""COMPUTED_VALUE"""),44366.57662037037)</f>
        <v>44366.57662</v>
      </c>
      <c r="I12" s="5" t="str">
        <f>IFERROR(__xludf.DUMMYFUNCTION("""COMPUTED_VALUE"""),"Lol kante dribbling 😂🤦🏾‍♂️. Why Kante try to dribble every time he got the ball????? Kante Trying To Dribble His Way Outta Pressure. Dude If You Don’t Go Tackle. Kante not having a good game. Forcing dribbles and it is not quite working for him. Kante "&amp;"trying to dribble 😭.")</f>
        <v>Lol kante dribbling 😂🤦🏾‍♂️. Why Kante try to dribble every time he got the ball????? Kante Trying To Dribble His Way Outta Pressure. Dude If You Don’t Go Tackle. Kante not having a good game. Forcing dribbles and it is not quite working for him. Kante trying to dribble 😭.</v>
      </c>
      <c r="J12" s="39" t="s">
        <v>18</v>
      </c>
      <c r="K12" s="40">
        <f>IFERROR(__xludf.DUMMYFUNCTION("""COMPUTED_VALUE"""),44366.55365740741)</f>
        <v>44366.55366</v>
      </c>
      <c r="L12" s="5" t="str">
        <f>IFERROR(__xludf.DUMMYFUNCTION("""COMPUTED_VALUE"""),"Mbappe that is a goal na wtf. 🇫🇷 Vs 🇭🇺 starts in about 40 minutes from now!. ⚽️do you think the goal scorers will be?. 🏆Who wins the match, vote below! #FRAHUN #mbappe. Mbappe just wasted a Digne assist. Mbappe should have scored there. Ufff, I thoug"&amp;"ht Mbappe had scored that.")</f>
        <v>Mbappe that is a goal na wtf. 🇫🇷 Vs 🇭🇺 starts in about 40 minutes from now!. ⚽️do you think the goal scorers will be?. 🏆Who wins the match, vote below! #FRAHUN #mbappe. Mbappe just wasted a Digne assist. Mbappe should have scored there. Ufff, I thought Mbappe had scored that.</v>
      </c>
      <c r="M12" s="39" t="s">
        <v>18</v>
      </c>
      <c r="N12" s="40">
        <f>IFERROR(__xludf.DUMMYFUNCTION("""COMPUTED_VALUE"""),44366.55299768518)</f>
        <v>44366.553</v>
      </c>
      <c r="O12" s="5" t="str">
        <f>IFERROR(__xludf.DUMMYFUNCTION("""COMPUTED_VALUE"""),"Kante and Pogba is the best pivot in world football. Kante is the second best player in the world ((after Neymar)) Ngolo Kante, best player in the World 💙. Kante is the best player in the world at the moment. No cap. Kante is the best midfielder in the w"&amp;"orld btw.")</f>
        <v>Kante and Pogba is the best pivot in world football. Kante is the second best player in the world ((after Neymar)) Ngolo Kante, best player in the World 💙. Kante is the best player in the world at the moment. No cap. Kante is the best midfielder in the world btw.</v>
      </c>
      <c r="P12" s="39" t="s">
        <v>16</v>
      </c>
      <c r="Q12" s="40">
        <f>IFERROR(__xludf.DUMMYFUNCTION("""COMPUTED_VALUE"""),44366.560266203705)</f>
        <v>44366.56027</v>
      </c>
      <c r="R12" s="5" t="str">
        <f>IFERROR(__xludf.DUMMYFUNCTION("""COMPUTED_VALUE"""),"Why did Mbappe take that freekick ??? Ffs why does mbappe take it? Digne is goated with free kicks. Arguably the best free kick taker in that French squad. Mbappe tryna take freekicks loool😭. Can these Hungary players stop getting shot in the head I wann"&amp;"a watch Mbappe.")</f>
        <v>Why did Mbappe take that freekick ??? Ffs why does mbappe take it? Digne is goated with free kicks. Arguably the best free kick taker in that French squad. Mbappe tryna take freekicks loool😭. Can these Hungary players stop getting shot in the head I wanna watch Mbappe.</v>
      </c>
      <c r="S12" s="39" t="s">
        <v>18</v>
      </c>
      <c r="T12" s="40">
        <f>IFERROR(__xludf.DUMMYFUNCTION("""COMPUTED_VALUE"""),44366.56327546296)</f>
        <v>44366.56328</v>
      </c>
      <c r="U12" s="5" t="str">
        <f>IFERROR(__xludf.DUMMYFUNCTION("""COMPUTED_VALUE"""),"Mbappe don use ball blow person head. What's France doing. Beautiful pass from Mbappe and yet another chance missed. That touch and lay off by Mbappe 🔥. Look at that ball from grizzou and the flick by mbappe 😍😍. Mbappe what pass but what did Benzema do"&amp;" 😭😭.")</f>
        <v>Mbappe don use ball blow person head. What's France doing. Beautiful pass from Mbappe and yet another chance missed. That touch and lay off by Mbappe 🔥. Look at that ball from grizzou and the flick by mbappe 😍😍. Mbappe what pass but what did Benzema do 😭😭.</v>
      </c>
      <c r="V12" s="39" t="s">
        <v>18</v>
      </c>
      <c r="W12" s="40">
        <f>IFERROR(__xludf.DUMMYFUNCTION("""COMPUTED_VALUE"""),44366.56054398148)</f>
        <v>44366.56054</v>
      </c>
      <c r="X12" s="5" t="str">
        <f>IFERROR(__xludf.DUMMYFUNCTION("""COMPUTED_VALUE"""),"Surely Digne takes the free kick ? Why is mbappe taking free kicks? 😭. Should’ve put Digne on the free kick. Ffs why does mbappe take it? Digne is goated with free kicks. Arguably the best free kick taker in that French squad. Why’s Benzema not on free k"&amp;"icks.")</f>
        <v>Surely Digne takes the free kick ? Why is mbappe taking free kicks? 😭. Should’ve put Digne on the free kick. Ffs why does mbappe take it? Digne is goated with free kicks. Arguably the best free kick taker in that French squad. Why’s Benzema not on free kicks.</v>
      </c>
      <c r="Y12" s="39" t="s">
        <v>18</v>
      </c>
      <c r="Z12" s="40">
        <f>IFERROR(__xludf.DUMMYFUNCTION("""COMPUTED_VALUE"""),44366.57405092593)</f>
        <v>44366.57405</v>
      </c>
      <c r="AA12" s="5" t="str">
        <f>IFERROR(__xludf.DUMMYFUNCTION("""COMPUTED_VALUE"""),"Hungary have taken the lead against France! 1-0 #HUNFRA. Kante error leading to goal? Give him the ballon dor 🥶🥶🥶. Wow #HUN take the lead, what a clinical finish. They lead 1-0 just before half-time. #HUNFRA. Hungary take the lead at the stroke of HT !"&amp;" #HUNFRA.")</f>
        <v>Hungary have taken the lead against France! 1-0 #HUNFRA. Kante error leading to goal? Give him the ballon dor 🥶🥶🥶. Wow #HUN take the lead, what a clinical finish. They lead 1-0 just before half-time. #HUNFRA. Hungary take the lead at the stroke of HT ! #HUNFRA.</v>
      </c>
      <c r="AB12" s="39" t="s">
        <v>17</v>
      </c>
      <c r="AC12" s="40">
        <f>IFERROR(__xludf.DUMMYFUNCTION("""COMPUTED_VALUE"""),44366.567245370374)</f>
        <v>44366.56725</v>
      </c>
      <c r="AD12" s="5" t="str">
        <f>IFERROR(__xludf.DUMMYFUNCTION("""COMPUTED_VALUE"""),"Still in awe of that touch and pass from Mbappe, would have been a class assist. Peep the touch and creativity from Mbappe, class..")</f>
        <v>Still in awe of that touch and pass from Mbappe, would have been a class assist. Peep the touch and creativity from Mbappe, class..</v>
      </c>
      <c r="AE12" s="39" t="s">
        <v>18</v>
      </c>
      <c r="AF12" s="40">
        <f>IFERROR(__xludf.DUMMYFUNCTION("""COMPUTED_VALUE"""),44366.566608796296)</f>
        <v>44366.56661</v>
      </c>
      <c r="AG12" s="5" t="str">
        <f>IFERROR(__xludf.DUMMYFUNCTION("""COMPUTED_VALUE"""),"Benzema should stick to videoing valbuena imo bring giroud on and France win 8-0. France are winning rn if Giroud is on the pitch. If they really want to win they should bring on CL Winner Olivier Giroud. Bring Lemar or Tolisso on for Rabiot, he's not a f"&amp;"ootballer.")</f>
        <v>Benzema should stick to videoing valbuena imo bring giroud on and France win 8-0. France are winning rn if Giroud is on the pitch. If they really want to win they should bring on CL Winner Olivier Giroud. Bring Lemar or Tolisso on for Rabiot, he's not a footballer.</v>
      </c>
      <c r="AH12" s="39" t="s">
        <v>16</v>
      </c>
      <c r="AK12" s="5"/>
      <c r="AN12" s="5"/>
      <c r="AO12" s="40"/>
      <c r="AP12" s="5"/>
      <c r="AQ12" s="5"/>
      <c r="AR12" s="40"/>
      <c r="AS12" s="5"/>
      <c r="AT12" s="5"/>
      <c r="AU12" s="40"/>
      <c r="AV12" s="5"/>
      <c r="AW12" s="5"/>
      <c r="AX12" s="40"/>
      <c r="AY12" s="5"/>
      <c r="AZ12" s="5"/>
      <c r="BA12" s="40"/>
      <c r="BB12" s="5"/>
      <c r="BC12" s="5"/>
      <c r="BD12" s="40"/>
      <c r="BE12" s="5"/>
      <c r="BF12" s="5"/>
      <c r="BG12" s="40"/>
      <c r="BH12" s="5"/>
      <c r="BI12" s="5"/>
      <c r="BJ12" s="40"/>
      <c r="BK12" s="5"/>
      <c r="BL12" s="5"/>
      <c r="BM12" s="40"/>
      <c r="BN12" s="5"/>
      <c r="BO12" s="5"/>
      <c r="BP12" s="40"/>
      <c r="BQ12" s="5"/>
      <c r="BR12" s="5"/>
      <c r="BS12" s="40"/>
      <c r="BT12" s="5"/>
      <c r="BU12" s="5"/>
      <c r="BV12" s="40"/>
      <c r="BW12" s="5"/>
      <c r="BX12" s="5"/>
      <c r="BY12" s="40"/>
      <c r="BZ12" s="5"/>
      <c r="CA12" s="5"/>
      <c r="CB12" s="40"/>
      <c r="CC12" s="5"/>
      <c r="CD12" s="5"/>
      <c r="CE12" s="40"/>
      <c r="CF12" s="5"/>
      <c r="CG12" s="5"/>
      <c r="CH12" s="40"/>
      <c r="CI12" s="5"/>
      <c r="CJ12" s="5"/>
      <c r="CK12" s="40"/>
      <c r="CL12" s="5"/>
      <c r="CM12" s="5"/>
      <c r="CN12" s="40"/>
      <c r="CO12" s="5"/>
      <c r="CP12" s="5"/>
      <c r="CQ12" s="40"/>
      <c r="CR12" s="5"/>
      <c r="CS12" s="5"/>
      <c r="CT12" s="5"/>
      <c r="CU12" s="5"/>
      <c r="CV12" s="5"/>
      <c r="CW12" s="5"/>
      <c r="CX12" s="5"/>
      <c r="CY12" s="5"/>
      <c r="CZ12" s="5"/>
      <c r="DA12" s="5"/>
      <c r="DB12" s="5"/>
      <c r="DC12" s="5"/>
      <c r="DD12" s="5"/>
      <c r="DE12" s="5"/>
      <c r="DF12" s="5"/>
    </row>
    <row r="13">
      <c r="A13" s="19" t="s">
        <v>17</v>
      </c>
      <c r="B13" s="19" t="s">
        <v>39</v>
      </c>
      <c r="C13" s="30">
        <f>IFERROR(__xludf.DUMMYFUNCTION("SUM(FILTER($E6:DF6, (COLUMN($E6:DF6)) / 3 = ROUND((COLUMN($E6:DF6)) / 3), NOT(ISERROR($E6:DF6))))"),29.0)</f>
        <v>29</v>
      </c>
      <c r="D13" s="26">
        <f t="shared" si="63"/>
        <v>0.3020833333</v>
      </c>
      <c r="E13" s="40">
        <f>IFERROR(__xludf.DUMMYFUNCTION("""COMPUTED_VALUE"""),44366.56418981482)</f>
        <v>44366.56419</v>
      </c>
      <c r="F13" s="5" t="str">
        <f>IFERROR(__xludf.DUMMYFUNCTION("""COMPUTED_VALUE"""),"LOL that’s the kinda shots Giroud slaps in. If only this Benzema shot had the accuracy of the previous attempt. The reason why Harry Kane hasn’t even had a shot on target in EURO 2020. Such a poor shot by Benzema. France could be leading now if it was on "&amp;"target!! #FRA EURO 2020.")</f>
        <v>LOL that’s the kinda shots Giroud slaps in. If only this Benzema shot had the accuracy of the previous attempt. The reason why Harry Kane hasn’t even had a shot on target in EURO 2020. Such a poor shot by Benzema. France could be leading now if it was on target!! #FRA EURO 2020.</v>
      </c>
      <c r="G13" s="39" t="s">
        <v>18</v>
      </c>
      <c r="H13" s="40">
        <f>IFERROR(__xludf.DUMMYFUNCTION("""COMPUTED_VALUE"""),44366.601273148146)</f>
        <v>44366.60127</v>
      </c>
      <c r="I13" s="5" t="str">
        <f>IFERROR(__xludf.DUMMYFUNCTION("""COMPUTED_VALUE"""),"Mbappe's dribbling is worse than Ronaldo dfkm. Pavard needs to get a second yellow there…. Pavard might see red this game he needs to come off. Pavard fit collect red o. If pavard gets a red I know they're gonna be sick. Pavard on the yellow/red card knof"&amp;"e’a edge #HUNFRA.")</f>
        <v>Mbappe's dribbling is worse than Ronaldo dfkm. Pavard needs to get a second yellow there…. Pavard might see red this game he needs to come off. Pavard fit collect red o. If pavard gets a red I know they're gonna be sick. Pavard on the yellow/red card knofe’a edge #HUNFRA.</v>
      </c>
      <c r="J13" s="39" t="s">
        <v>16</v>
      </c>
      <c r="K13" s="40">
        <f>IFERROR(__xludf.DUMMYFUNCTION("""COMPUTED_VALUE"""),44366.56297453704)</f>
        <v>44366.56297</v>
      </c>
      <c r="L13" s="5" t="str">
        <f>IFERROR(__xludf.DUMMYFUNCTION("""COMPUTED_VALUE"""),"Giroud is scoring that just saying 🙃. Get this benzema out of my sight. Giroud scores there! That would have been an easy goal for Giroud. Nahh, if Giroud plays, France will be leading by 2 or 3 goals ady 😂. #HUNFRA. Giroud will score this goal falaaaaa"&amp;".")</f>
        <v>Giroud is scoring that just saying 🙃. Get this benzema out of my sight. Giroud scores there! That would have been an easy goal for Giroud. Nahh, if Giroud plays, France will be leading by 2 or 3 goals ady 😂. #HUNFRA. Giroud will score this goal falaaaaa.</v>
      </c>
      <c r="M13" s="39" t="s">
        <v>16</v>
      </c>
      <c r="N13" s="40">
        <f>IFERROR(__xludf.DUMMYFUNCTION("""COMPUTED_VALUE"""),44366.575104166666)</f>
        <v>44366.5751</v>
      </c>
      <c r="O13" s="5" t="str">
        <f>IFERROR(__xludf.DUMMYFUNCTION("""COMPUTED_VALUE"""),"Lloris is not a very good keeper is he #HUNFRA. Lloris should've saved that man. How is this guy still their #1 let alone captain. Lloris should save that. Also, Lloris is a very very average goalkeeper. That’s not on Lloris. Defenders left him one on one"&amp;".")</f>
        <v>Lloris is not a very good keeper is he #HUNFRA. Lloris should've saved that man. How is this guy still their #1 let alone captain. Lloris should save that. Also, Lloris is a very very average goalkeeper. That’s not on Lloris. Defenders left him one on one.</v>
      </c>
      <c r="P13" s="39" t="s">
        <v>16</v>
      </c>
      <c r="Q13" s="40">
        <f>IFERROR(__xludf.DUMMYFUNCTION("""COMPUTED_VALUE"""),44366.56384259259)</f>
        <v>44366.56384</v>
      </c>
      <c r="R13" s="5" t="str">
        <f>IFERROR(__xludf.DUMMYFUNCTION("""COMPUTED_VALUE"""),"Benzema isn’t even half the player giroud is for France. Benzema is really taking the piss now. Benzema is just running and playing passes into the Hungary players man😂😂😂. #Benzema is one of the most overrated players out there. #HUNFRA.")</f>
        <v>Benzema isn’t even half the player giroud is for France. Benzema is really taking the piss now. Benzema is just running and playing passes into the Hungary players man😂😂😂. #Benzema is one of the most overrated players out there. #HUNFRA.</v>
      </c>
      <c r="S13" s="39" t="s">
        <v>16</v>
      </c>
      <c r="T13" s="40">
        <f>IFERROR(__xludf.DUMMYFUNCTION("""COMPUTED_VALUE"""),44366.567245370374)</f>
        <v>44366.56725</v>
      </c>
      <c r="U13" s="5" t="str">
        <f>IFERROR(__xludf.DUMMYFUNCTION("""COMPUTED_VALUE"""),"📸 - Another good chance for France to score but Benzema with a poor pass.. Peep the touch and creativity from Mbappe, class..")</f>
        <v>📸 - Another good chance for France to score but Benzema with a poor pass.. Peep the touch and creativity from Mbappe, class..</v>
      </c>
      <c r="V13" s="39" t="s">
        <v>18</v>
      </c>
      <c r="W13" s="40">
        <f>IFERROR(__xludf.DUMMYFUNCTION("""COMPUTED_VALUE"""),44366.56321759259)</f>
        <v>44366.56322</v>
      </c>
      <c r="X13" s="5" t="str">
        <f>IFERROR(__xludf.DUMMYFUNCTION("""COMPUTED_VALUE"""),"Get Giroud back ffs. NOOO BENZEMA THAT PASS FFSSS. See Benzema too ffs. How’s Benzema missed that ffs. Remove this dead striker and put Giroud ffs. Benzema just robbed Mbappe of a filthy assist ffs. Bring Giroud in, these guys are incapable of finishing f"&amp;"fs. Ffs bring giroud on!")</f>
        <v>Get Giroud back ffs. NOOO BENZEMA THAT PASS FFSSS. See Benzema too ffs. How’s Benzema missed that ffs. Remove this dead striker and put Giroud ffs. Benzema just robbed Mbappe of a filthy assist ffs. Bring Giroud in, these guys are incapable of finishing ffs. Ffs bring giroud on!</v>
      </c>
      <c r="Y13" s="39" t="s">
        <v>16</v>
      </c>
      <c r="Z13" s="40">
        <f>IFERROR(__xludf.DUMMYFUNCTION("""COMPUTED_VALUE"""),44366.588368055556)</f>
        <v>44366.58837</v>
      </c>
      <c r="AA13" s="5" t="str">
        <f>IFERROR(__xludf.DUMMYFUNCTION("""COMPUTED_VALUE"""),"Hungary lead at half-time. 🇭🇺1-0 🇫🇷 #HUNFRA Fiersdetre Bleus. #HUN strike first and lead #FRA 1-0 at halftime💥. (🎥: TUDN USA). A shocker in the making? #HUN leads #FRA!. (via ESPN FC). #HUN mood after taking the lead against the World Champs 😤.")</f>
        <v>Hungary lead at half-time. 🇭🇺1-0 🇫🇷 #HUNFRA Fiersdetre Bleus. #HUN strike first and lead #FRA 1-0 at halftime💥. (🎥: TUDN USA). A shocker in the making? #HUN leads #FRA!. (via ESPN FC). #HUN mood after taking the lead against the World Champs 😤.</v>
      </c>
      <c r="AB13" s="39" t="s">
        <v>14</v>
      </c>
      <c r="AC13" s="40">
        <f>IFERROR(__xludf.DUMMYFUNCTION("""COMPUTED_VALUE"""),44366.574687500004)</f>
        <v>44366.57469</v>
      </c>
      <c r="AD13" s="5" t="str">
        <f>IFERROR(__xludf.DUMMYFUNCTION("""COMPUTED_VALUE"""),"Tokono World Champions #Fra. Puskas Arena erupts. 1-0 against world champions. What a goal against world champions 😍😍😍. #HUN. Can you believe it. Hungary 1 - world Champions 0 #FRAHUN. OH MY WORD! HUNGARY HAVE TAKEN THE LEAD AGAINST THE WORLD CHAMPIONS"&amp;"! 🤩. EURO 2020 Euro Fantasy.")</f>
        <v>Tokono World Champions #Fra. Puskas Arena erupts. 1-0 against world champions. What a goal against world champions 😍😍😍. #HUN. Can you believe it. Hungary 1 - world Champions 0 #FRAHUN. OH MY WORD! HUNGARY HAVE TAKEN THE LEAD AGAINST THE WORLD CHAMPIONS! 🤩. EURO 2020 Euro Fantasy.</v>
      </c>
      <c r="AE13" s="39" t="s">
        <v>17</v>
      </c>
      <c r="AF13" s="40">
        <f>IFERROR(__xludf.DUMMYFUNCTION("""COMPUTED_VALUE"""),44366.5718287037)</f>
        <v>44366.57183</v>
      </c>
      <c r="AG13" s="5" t="str">
        <f>IFERROR(__xludf.DUMMYFUNCTION("""COMPUTED_VALUE"""),"Griezmann wants an Major League Soccer move in the future 👀.")</f>
        <v>Griezmann wants an Major League Soccer move in the future 👀.</v>
      </c>
      <c r="AH13" s="39" t="s">
        <v>15</v>
      </c>
      <c r="AK13" s="5"/>
      <c r="AN13" s="5"/>
      <c r="AO13" s="40"/>
      <c r="AP13" s="5"/>
      <c r="AQ13" s="5"/>
      <c r="AR13" s="40"/>
      <c r="AS13" s="5"/>
      <c r="AT13" s="5"/>
      <c r="AU13" s="40"/>
      <c r="AV13" s="5"/>
      <c r="AW13" s="5"/>
      <c r="AX13" s="40"/>
      <c r="AY13" s="5"/>
      <c r="AZ13" s="5"/>
      <c r="BA13" s="40"/>
      <c r="BB13" s="5"/>
      <c r="BC13" s="5"/>
      <c r="BD13" s="40"/>
      <c r="BE13" s="5"/>
      <c r="BF13" s="5"/>
      <c r="BG13" s="40"/>
      <c r="BH13" s="5"/>
      <c r="BI13" s="5"/>
      <c r="BJ13" s="40"/>
      <c r="BK13" s="5"/>
      <c r="BL13" s="5"/>
      <c r="BM13" s="40"/>
      <c r="BN13" s="5"/>
      <c r="BO13" s="5"/>
      <c r="BP13" s="40"/>
      <c r="BQ13" s="5"/>
      <c r="BR13" s="5"/>
      <c r="BS13" s="40"/>
      <c r="BT13" s="5"/>
      <c r="BU13" s="5"/>
      <c r="BV13" s="40"/>
      <c r="BW13" s="5"/>
      <c r="BX13" s="5"/>
      <c r="BY13" s="40"/>
      <c r="BZ13" s="5"/>
      <c r="CA13" s="5"/>
      <c r="CB13" s="40"/>
      <c r="CC13" s="5"/>
      <c r="CD13" s="5"/>
      <c r="CE13" s="40"/>
      <c r="CF13" s="5"/>
      <c r="CG13" s="5"/>
      <c r="CH13" s="40"/>
      <c r="CI13" s="5"/>
      <c r="CJ13" s="5"/>
      <c r="CK13" s="40"/>
      <c r="CL13" s="5"/>
      <c r="CM13" s="5"/>
      <c r="CN13" s="40"/>
      <c r="CO13" s="5"/>
      <c r="CP13" s="5"/>
      <c r="CQ13" s="40"/>
      <c r="CR13" s="5"/>
      <c r="CS13" s="5"/>
      <c r="CT13" s="5"/>
      <c r="CU13" s="5"/>
      <c r="CV13" s="5"/>
      <c r="CW13" s="5"/>
      <c r="CX13" s="5"/>
      <c r="CY13" s="5"/>
      <c r="CZ13" s="5"/>
      <c r="DA13" s="5"/>
      <c r="DB13" s="5"/>
      <c r="DC13" s="5"/>
      <c r="DD13" s="5"/>
      <c r="DE13" s="5"/>
      <c r="DF13" s="5"/>
    </row>
    <row r="14">
      <c r="A14" s="19" t="s">
        <v>18</v>
      </c>
      <c r="B14" s="19" t="s">
        <v>40</v>
      </c>
      <c r="C14" s="30">
        <f>IFERROR(__xludf.DUMMYFUNCTION("SUM(FILTER($E7:DF7, (COLUMN($E7:DF7)) / 3 = ROUND((COLUMN($E7:DF7)) / 3), NOT(ISERROR($E7:DF7))))"),29.0)</f>
        <v>29</v>
      </c>
      <c r="D14" s="26">
        <f t="shared" si="63"/>
        <v>0.3020833333</v>
      </c>
      <c r="E14" s="40">
        <f>IFERROR(__xludf.DUMMYFUNCTION("""COMPUTED_VALUE"""),44366.60229166667)</f>
        <v>44366.60229</v>
      </c>
      <c r="F14" s="5" t="str">
        <f>IFERROR(__xludf.DUMMYFUNCTION("""COMPUTED_VALUE"""),"Route one pays off for the French. Great kick out from Lloris #FRA. I mean Hugo Lloris kicking has been brilliant this euros. Can’t seem to do it for Spurs! What a kick from LLoris. Best Goal kick #Lloris has ever taken! #Fra goooooal. Best kick I’ve seen"&amp;" Lloris do 😂.")</f>
        <v>Route one pays off for the French. Great kick out from Lloris #FRA. I mean Hugo Lloris kicking has been brilliant this euros. Can’t seem to do it for Spurs! What a kick from LLoris. Best Goal kick #Lloris has ever taken! #Fra goooooal. Best kick I’ve seen Lloris do 😂.</v>
      </c>
      <c r="G14" s="39" t="s">
        <v>17</v>
      </c>
      <c r="J14" s="5"/>
      <c r="K14" s="40">
        <f>IFERROR(__xludf.DUMMYFUNCTION("""COMPUTED_VALUE"""),44366.58011574074)</f>
        <v>44366.58012</v>
      </c>
      <c r="L14" s="5" t="str">
        <f>IFERROR(__xludf.DUMMYFUNCTION("""COMPUTED_VALUE"""),"Hungary score. Absolute scenes. Those celebrations is why I ❤️football. EURO 2020 #HUNFRA.. 🇭🇺 When you score against the world champions... 🥳 Scenes in Budapest!. EURO 2020.")</f>
        <v>Hungary score. Absolute scenes. Those celebrations is why I ❤️football. EURO 2020 #HUNFRA.. 🇭🇺 When you score against the world champions... 🥳 Scenes in Budapest!. EURO 2020.</v>
      </c>
      <c r="M14" s="39" t="s">
        <v>17</v>
      </c>
      <c r="N14" s="40">
        <f>IFERROR(__xludf.DUMMYFUNCTION("""COMPUTED_VALUE"""),44366.57690972222)</f>
        <v>44366.57691</v>
      </c>
      <c r="O14" s="5" t="str">
        <f>IFERROR(__xludf.DUMMYFUNCTION("""COMPUTED_VALUE"""),"Giroud is Frances best player 👍. Giroud is France’s best striker. Now if you want to win this match you have not choice than to bring in Giroud. France best striker 👌. Come save them Giroud 😅. Giroud unlucky not to feature. Benzema not having his best "&amp;"half of football. #HUNFRA.")</f>
        <v>Giroud is Frances best player 👍. Giroud is France’s best striker. Now if you want to win this match you have not choice than to bring in Giroud. France best striker 👌. Come save them Giroud 😅. Giroud unlucky not to feature. Benzema not having his best half of football. #HUNFRA.</v>
      </c>
      <c r="P14" s="39" t="s">
        <v>16</v>
      </c>
      <c r="Q14" s="40">
        <f>IFERROR(__xludf.DUMMYFUNCTION("""COMPUTED_VALUE"""),44366.57435185185)</f>
        <v>44366.57435</v>
      </c>
      <c r="R14" s="5" t="str">
        <f>IFERROR(__xludf.DUMMYFUNCTION("""COMPUTED_VALUE"""),"HUNGARY TAKE THE LEAD!!!! EURO 2020. Wooohoo, #hun take the lead. #hun takes the early lead! 🙀. EURO 2020. #HUN take the lead. sksksksk. The Mighty Magyars take the lead! 🇭🇺. EURO 2020. Wow #HUN take the lead, what a clinical finish. They lead 1-0 just"&amp;" before half-time. #HUNFRA.")</f>
        <v>HUNGARY TAKE THE LEAD!!!! EURO 2020. Wooohoo, #hun take the lead. #hun takes the early lead! 🙀. EURO 2020. #HUN take the lead. sksksksk. The Mighty Magyars take the lead! 🇭🇺. EURO 2020. Wow #HUN take the lead, what a clinical finish. They lead 1-0 just before half-time. #HUNFRA.</v>
      </c>
      <c r="S14" s="39" t="s">
        <v>17</v>
      </c>
      <c r="T14" s="40">
        <f>IFERROR(__xludf.DUMMYFUNCTION("""COMPUTED_VALUE"""),44366.56841435185)</f>
        <v>44366.56841</v>
      </c>
      <c r="U14" s="5" t="str">
        <f>IFERROR(__xludf.DUMMYFUNCTION("""COMPUTED_VALUE"""),"Pogba is balling again. Get Pogba into this game.... Griezmann and Rabiot holding the ball too long. Pogba doesn't know when to pass. Nothing concern Kante for this game, just stand behind Pogba and Greizman, collect loose ball, give them back and rest. K"&amp;"ante Nwa Jesus.")</f>
        <v>Pogba is balling again. Get Pogba into this game.... Griezmann and Rabiot holding the ball too long. Pogba doesn't know when to pass. Nothing concern Kante for this game, just stand behind Pogba and Greizman, collect loose ball, give them back and rest. Kante Nwa Jesus.</v>
      </c>
      <c r="V14" s="39" t="s">
        <v>18</v>
      </c>
      <c r="W14" s="40">
        <f>IFERROR(__xludf.DUMMYFUNCTION("""COMPUTED_VALUE"""),44366.57451388889)</f>
        <v>44366.57451</v>
      </c>
      <c r="X14" s="5" t="str">
        <f>IFERROR(__xludf.DUMMYFUNCTION("""COMPUTED_VALUE"""),"Gol de #HUN 😳. If Southgate subbed kane off yesterday, deschamps should send benzema home at half-time. Even giroud would have scored those chances ffs. I captained mbappe ffs. Deschamps gonna cost Kante a Ballon d’Or ffsss. Varane Tax ffs. Should've sta"&amp;"rted my man Clement.")</f>
        <v>Gol de #HUN 😳. If Southgate subbed kane off yesterday, deschamps should send benzema home at half-time. Even giroud would have scored those chances ffs. I captained mbappe ffs. Deschamps gonna cost Kante a Ballon d’Or ffsss. Varane Tax ffs. Should've started my man Clement.</v>
      </c>
      <c r="Y14" s="39" t="s">
        <v>17</v>
      </c>
      <c r="Z14" s="40">
        <f>IFERROR(__xludf.DUMMYFUNCTION("""COMPUTED_VALUE"""),44366.60878472222)</f>
        <v>44366.60878</v>
      </c>
      <c r="AA14" s="5" t="str">
        <f>IFERROR(__xludf.DUMMYFUNCTION("""COMPUTED_VALUE"""),"What is this sub now? could only be for Benzema but that makes no sense. Did he just sub pogba off!?? Sub this benzema guy jur!!! Benzema getting subbed off for Giroud. Justice. Wait it was rabiot they subbed ahahahahah. Told u bout that bum. Nazoke good "&amp;"subs now let's go #FRA.")</f>
        <v>What is this sub now? could only be for Benzema but that makes no sense. Did he just sub pogba off!?? Sub this benzema guy jur!!! Benzema getting subbed off for Giroud. Justice. Wait it was rabiot they subbed ahahahahah. Told u bout that bum. Nazoke good subs now let's go #FRA.</v>
      </c>
      <c r="AB14" s="39" t="s">
        <v>17</v>
      </c>
      <c r="AC14" s="40">
        <f>IFERROR(__xludf.DUMMYFUNCTION("""COMPUTED_VALUE"""),44366.57608796297)</f>
        <v>44366.57609</v>
      </c>
      <c r="AD14" s="5" t="str">
        <f>IFERROR(__xludf.DUMMYFUNCTION("""COMPUTED_VALUE"""),"France are losing to Hungary, this is not a drill. The world champions are losing to Hungary.😳#FRAHUN. The World Champions are behind! This is not a drill. 😬. EURO 2020 #HUN.")</f>
        <v>France are losing to Hungary, this is not a drill. The world champions are losing to Hungary.😳#FRAHUN. The World Champions are behind! This is not a drill. 😬. EURO 2020 #HUN.</v>
      </c>
      <c r="AE14" s="39" t="s">
        <v>14</v>
      </c>
      <c r="AF14" s="40">
        <f>IFERROR(__xludf.DUMMYFUNCTION("""COMPUTED_VALUE"""),44366.57440972222)</f>
        <v>44366.57441</v>
      </c>
      <c r="AG14" s="5" t="str">
        <f>IFERROR(__xludf.DUMMYFUNCTION("""COMPUTED_VALUE"""),"Who will win today's match between Germany 🇩🇪 vs Portugal 🇵🇹? EURO 2020. Portugalvs Germany. Hungary have taken the lead against France! 1-0 #HUNFRA. Quality goal against the world champions! EURO 2020. Made in Chelsea.. Who's winning the midfield bat"&amp;"tle? 🤔. EURO 2020.")</f>
        <v>Who will win today's match between Germany 🇩🇪 vs Portugal 🇵🇹? EURO 2020. Portugalvs Germany. Hungary have taken the lead against France! 1-0 #HUNFRA. Quality goal against the world champions! EURO 2020. Made in Chelsea.. Who's winning the midfield battle? 🤔. EURO 2020.</v>
      </c>
      <c r="AH14" s="39" t="s">
        <v>17</v>
      </c>
      <c r="AK14" s="5"/>
      <c r="AN14" s="5"/>
      <c r="AO14" s="40"/>
      <c r="AP14" s="5"/>
      <c r="AQ14" s="5"/>
      <c r="AR14" s="40"/>
      <c r="AS14" s="5"/>
      <c r="AT14" s="5"/>
      <c r="AU14" s="40"/>
      <c r="AV14" s="5"/>
      <c r="AW14" s="5"/>
      <c r="AX14" s="40"/>
      <c r="AY14" s="5"/>
      <c r="AZ14" s="5"/>
      <c r="BA14" s="40"/>
      <c r="BB14" s="5"/>
      <c r="BC14" s="5"/>
      <c r="BD14" s="40"/>
      <c r="BE14" s="5"/>
      <c r="BF14" s="5"/>
      <c r="BG14" s="40"/>
      <c r="BH14" s="5"/>
      <c r="BI14" s="5"/>
      <c r="BJ14" s="40"/>
      <c r="BK14" s="5"/>
      <c r="BL14" s="5"/>
      <c r="BM14" s="40"/>
      <c r="BN14" s="5"/>
      <c r="BO14" s="5"/>
      <c r="BP14" s="40"/>
      <c r="BQ14" s="5"/>
      <c r="BR14" s="5"/>
      <c r="BS14" s="40"/>
      <c r="BT14" s="5"/>
      <c r="BU14" s="5"/>
      <c r="BV14" s="40"/>
      <c r="BW14" s="5"/>
      <c r="BX14" s="5"/>
      <c r="BY14" s="40"/>
      <c r="BZ14" s="5"/>
      <c r="CA14" s="5"/>
      <c r="CB14" s="40"/>
      <c r="CC14" s="5"/>
      <c r="CD14" s="5"/>
      <c r="CE14" s="40"/>
      <c r="CF14" s="5"/>
      <c r="CG14" s="5"/>
      <c r="CH14" s="40"/>
      <c r="CI14" s="5"/>
      <c r="CJ14" s="5"/>
      <c r="CK14" s="40"/>
      <c r="CL14" s="5"/>
      <c r="CM14" s="5"/>
      <c r="CN14" s="40"/>
      <c r="CO14" s="5"/>
      <c r="CP14" s="5"/>
      <c r="CQ14" s="40"/>
      <c r="CR14" s="5"/>
      <c r="CS14" s="5"/>
      <c r="CT14" s="5"/>
      <c r="CU14" s="5"/>
      <c r="CV14" s="5"/>
      <c r="CW14" s="5"/>
      <c r="CX14" s="5"/>
      <c r="CY14" s="5"/>
      <c r="CZ14" s="5"/>
      <c r="DA14" s="5"/>
      <c r="DB14" s="5"/>
      <c r="DC14" s="5"/>
      <c r="DD14" s="5"/>
      <c r="DE14" s="5"/>
      <c r="DF14" s="5"/>
    </row>
    <row r="15">
      <c r="A15" s="19"/>
      <c r="B15" s="14" t="s">
        <v>41</v>
      </c>
      <c r="C15" s="31">
        <f t="shared" ref="C15:D15" si="64">SUM(C10:C14)</f>
        <v>96</v>
      </c>
      <c r="D15" s="26">
        <f t="shared" si="64"/>
        <v>1</v>
      </c>
      <c r="E15" s="40">
        <f>IFERROR(__xludf.DUMMYFUNCTION("""COMPUTED_VALUE"""),44366.61369212963)</f>
        <v>44366.61369</v>
      </c>
      <c r="F15" s="5" t="str">
        <f>IFERROR(__xludf.DUMMYFUNCTION("""COMPUTED_VALUE"""),"Shit shot from mbappe. Raw finish from Mbappe, has to find the corner there. Mbappe fi pick a corner.. a wah dat. Mbappe you shot it right at him!!!! Come on mbappe back of the net. Mbappe really needs to hit the bottom corner there, come on man that was "&amp;"great from Giroooo.")</f>
        <v>Shit shot from mbappe. Raw finish from Mbappe, has to find the corner there. Mbappe fi pick a corner.. a wah dat. Mbappe you shot it right at him!!!! Come on mbappe back of the net. Mbappe really needs to hit the bottom corner there, come on man that was great from Giroooo.</v>
      </c>
      <c r="G15" s="39" t="s">
        <v>18</v>
      </c>
      <c r="J15" s="5"/>
      <c r="K15" s="40">
        <f>IFERROR(__xludf.DUMMYFUNCTION("""COMPUTED_VALUE"""),44366.60181712963)</f>
        <v>44366.60182</v>
      </c>
      <c r="L15" s="5" t="str">
        <f>IFERROR(__xludf.DUMMYFUNCTION("""COMPUTED_VALUE"""),"First Half. ⚽️ | GOAL - Attila Fiola. 🅰 | ASSIST - Roland Sallai. 🇭🇺 Hungary 1-0 France 🇫🇷. Griezmann how you celebrating like that 😂😂😂😂 it’s a equaliser. Does Mbappe get the assist for that? Pls tell me thats a mbappe assist 😭. Give the assist "&amp;"to Lloris, what a wonder ball.")</f>
        <v>First Half. ⚽️ | GOAL - Attila Fiola. 🅰 | ASSIST - Roland Sallai. 🇭🇺 Hungary 1-0 France 🇫🇷. Griezmann how you celebrating like that 😂😂😂😂 it’s a equaliser. Does Mbappe get the assist for that? Pls tell me thats a mbappe assist 😭. Give the assist to Lloris, what a wonder ball.</v>
      </c>
      <c r="M15" s="39" t="s">
        <v>17</v>
      </c>
      <c r="N15" s="40">
        <f>IFERROR(__xludf.DUMMYFUNCTION("""COMPUTED_VALUE"""),44366.57833333334)</f>
        <v>44366.57833</v>
      </c>
      <c r="O15" s="5" t="str">
        <f>IFERROR(__xludf.DUMMYFUNCTION("""COMPUTED_VALUE"""),"Hungary now change their tactics and put three defender at the back 😂😂 it seems like they trying to park bus there #HUN EURO 2020. “Pogba and Kante is the best midfield pivot” 😹. Today wey them no dey park the bus them don place spoil 😭.")</f>
        <v>Hungary now change their tactics and put three defender at the back 😂😂 it seems like they trying to park bus there #HUN EURO 2020. “Pogba and Kante is the best midfield pivot” 😹. Today wey them no dey park the bus them don place spoil 😭.</v>
      </c>
      <c r="P15" s="39" t="s">
        <v>18</v>
      </c>
      <c r="Q15" s="40">
        <f>IFERROR(__xludf.DUMMYFUNCTION("""COMPUTED_VALUE"""),44366.58020833333)</f>
        <v>44366.58021</v>
      </c>
      <c r="R15" s="5" t="str">
        <f>IFERROR(__xludf.DUMMYFUNCTION("""COMPUTED_VALUE"""),"This coach has not been starting Giroud because of what he said about some players not passing to him. You can't tell me otherwise. Chelsea fans are saying Giroud over Benzema forgetting Giroud played 2018 World Cup and got 0 shots on target. Kwasia playe"&amp;"r sei.")</f>
        <v>This coach has not been starting Giroud because of what he said about some players not passing to him. You can't tell me otherwise. Chelsea fans are saying Giroud over Benzema forgetting Giroud played 2018 World Cup and got 0 shots on target. Kwasia player sei.</v>
      </c>
      <c r="S15" s="39" t="s">
        <v>16</v>
      </c>
      <c r="T15" s="40">
        <f>IFERROR(__xludf.DUMMYFUNCTION("""COMPUTED_VALUE"""),44366.57508101852)</f>
        <v>44366.57508</v>
      </c>
      <c r="U15" s="5" t="str">
        <f>IFERROR(__xludf.DUMMYFUNCTION("""COMPUTED_VALUE"""),"Varane couldn’t touch him. Fiola's first touch there was a beauty. EURO 2020. I love this,soak it up and surprise them !. He had just one job and he passed ! #HUN. Lloris gets beat at his near post, Pavard ball watching, Varane sleeping at his job. Very u"&amp;"nserious stuff all around.")</f>
        <v>Varane couldn’t touch him. Fiola's first touch there was a beauty. EURO 2020. I love this,soak it up and surprise them !. He had just one job and he passed ! #HUN. Lloris gets beat at his near post, Pavard ball watching, Varane sleeping at his job. Very unserious stuff all around.</v>
      </c>
      <c r="V15" s="39" t="s">
        <v>17</v>
      </c>
      <c r="W15" s="40">
        <f>IFERROR(__xludf.DUMMYFUNCTION("""COMPUTED_VALUE"""),44366.601875)</f>
        <v>44366.60188</v>
      </c>
      <c r="X15" s="5" t="str">
        <f>IFERROR(__xludf.DUMMYFUNCTION("""COMPUTED_VALUE"""),"Gooooooooooooooooooooooooooooooooooooooooooooooooooooooooooollllllll de #FRA. Gol de #FRA 🥳 EURO 2020. 80% do gol foi do Mbappe. Gol frances !!!! #Griezmann 1-1. 💥‼️ GOOOOOOOOOOOOOOL DE GRIZI 💃🏻💃🏻💃🏻💃🏻 #FRA EURO 2020. Empate a 1️⃣. Goooool de Ant"&amp;"oine 😍 EURO 2020. ¡Gooooool de #FRA!")</f>
        <v>Gooooooooooooooooooooooooooooooooooooooooooooooooooooooooooollllllll de #FRA. Gol de #FRA 🥳 EURO 2020. 80% do gol foi do Mbappe. Gol frances !!!! #Griezmann 1-1. 💥‼️ GOOOOOOOOOOOOOOL DE GRIZI 💃🏻💃🏻💃🏻💃🏻 #FRA EURO 2020. Empate a 1️⃣. Goooool de Antoine 😍 EURO 2020. ¡Gooooool de #FRA!</v>
      </c>
      <c r="Y15" s="39" t="s">
        <v>17</v>
      </c>
      <c r="Z15" s="40">
        <f>IFERROR(__xludf.DUMMYFUNCTION("""COMPUTED_VALUE"""),44366.616643518515)</f>
        <v>44366.61664</v>
      </c>
      <c r="AA15" s="5" t="str">
        <f>IFERROR(__xludf.DUMMYFUNCTION("""COMPUTED_VALUE"""),"Man said lemar when you need a goal 💀. France need a goal and they sub on lemar😭😭. It took 86mins for brainless Deschamps to realise Lemar needs to come in 🤦‍♂️. France need a goal and they bring on Dembele and Lemar😭😭. Deschamps is crazy for subbin"&amp;"g off Dembele for fucking Lemar.")</f>
        <v>Man said lemar when you need a goal 💀. France need a goal and they sub on lemar😭😭. It took 86mins for brainless Deschamps to realise Lemar needs to come in 🤦‍♂️. France need a goal and they bring on Dembele and Lemar😭😭. Deschamps is crazy for subbing off Dembele for fucking Lemar.</v>
      </c>
      <c r="AB15" s="39" t="s">
        <v>17</v>
      </c>
      <c r="AC15" s="40">
        <f>IFERROR(__xludf.DUMMYFUNCTION("""COMPUTED_VALUE"""),44366.58008101852)</f>
        <v>44366.58008</v>
      </c>
      <c r="AD15" s="5" t="str">
        <f>IFERROR(__xludf.DUMMYFUNCTION("""COMPUTED_VALUE"""),"🇭🇺 When you score against the world champions... 🥳 Scenes in Budapest!. EURO 2020.")</f>
        <v>🇭🇺 When you score against the world champions... 🥳 Scenes in Budapest!. EURO 2020.</v>
      </c>
      <c r="AE15" s="39" t="s">
        <v>15</v>
      </c>
      <c r="AF15" s="40">
        <f>IFERROR(__xludf.DUMMYFUNCTION("""COMPUTED_VALUE"""),44366.576006944444)</f>
        <v>44366.57601</v>
      </c>
      <c r="AG15" s="5" t="str">
        <f>IFERROR(__xludf.DUMMYFUNCTION("""COMPUTED_VALUE"""),"France are losing to Hungary, this is not a drill. The world champions are losing to Hungary.😳#FRAHUN. The World Champions are behind! This is not a drill. 😬. EURO 2020 #HUN.")</f>
        <v>France are losing to Hungary, this is not a drill. The world champions are losing to Hungary.😳#FRAHUN. The World Champions are behind! This is not a drill. 😬. EURO 2020 #HUN.</v>
      </c>
      <c r="AH15" s="39" t="s">
        <v>14</v>
      </c>
      <c r="AK15" s="5"/>
      <c r="AN15" s="5"/>
      <c r="AO15" s="40"/>
      <c r="AP15" s="5"/>
      <c r="AQ15" s="5"/>
      <c r="AR15" s="40"/>
      <c r="AS15" s="5"/>
      <c r="AT15" s="5"/>
      <c r="AU15" s="40"/>
      <c r="AV15" s="5"/>
      <c r="AW15" s="5"/>
      <c r="AX15" s="40"/>
      <c r="AY15" s="5"/>
      <c r="AZ15" s="5"/>
      <c r="BA15" s="40"/>
      <c r="BB15" s="5"/>
      <c r="BC15" s="5"/>
      <c r="BD15" s="40"/>
      <c r="BE15" s="5"/>
      <c r="BF15" s="5"/>
      <c r="BG15" s="40"/>
      <c r="BH15" s="5"/>
      <c r="BI15" s="5"/>
      <c r="BJ15" s="40"/>
      <c r="BK15" s="5"/>
      <c r="BL15" s="5"/>
      <c r="BM15" s="40"/>
      <c r="BN15" s="5"/>
      <c r="BO15" s="5"/>
      <c r="BP15" s="40"/>
      <c r="BQ15" s="5"/>
      <c r="BR15" s="5"/>
      <c r="BS15" s="40"/>
      <c r="BT15" s="5"/>
      <c r="BU15" s="5"/>
      <c r="BV15" s="40"/>
      <c r="BW15" s="5"/>
      <c r="BX15" s="5"/>
      <c r="BY15" s="40"/>
      <c r="BZ15" s="5"/>
      <c r="CA15" s="5"/>
      <c r="CB15" s="40"/>
      <c r="CC15" s="5"/>
      <c r="CD15" s="5"/>
      <c r="CE15" s="40"/>
      <c r="CF15" s="5"/>
      <c r="CG15" s="5"/>
      <c r="CH15" s="40"/>
      <c r="CI15" s="5"/>
      <c r="CJ15" s="5"/>
      <c r="CK15" s="40"/>
      <c r="CL15" s="5"/>
      <c r="CM15" s="5"/>
      <c r="CN15" s="40"/>
      <c r="CO15" s="5"/>
      <c r="CP15" s="5"/>
      <c r="CQ15" s="40"/>
      <c r="CR15" s="5"/>
      <c r="CS15" s="5"/>
      <c r="CT15" s="5"/>
      <c r="CU15" s="5"/>
      <c r="CV15" s="5"/>
      <c r="CW15" s="5"/>
      <c r="CX15" s="5"/>
      <c r="CY15" s="5"/>
      <c r="CZ15" s="5"/>
      <c r="DA15" s="5"/>
      <c r="DB15" s="5"/>
      <c r="DC15" s="5"/>
      <c r="DD15" s="5"/>
      <c r="DE15" s="5"/>
      <c r="DF15" s="5"/>
    </row>
    <row r="16">
      <c r="A16" s="19"/>
      <c r="B16" s="32" t="s">
        <v>42</v>
      </c>
      <c r="D16" s="26">
        <f>IFERROR(__xludf.DUMMYFUNCTION("AVERAGE(FILTER($E8:DF8, (COLUMN($E8:DF8) - 1) / 3 = ROUND((COLUMN($E8:DF8) - 1) / 3), NOT(ISERROR($E8:DF8))))"),0.7064367413632119)</f>
        <v>0.7064367414</v>
      </c>
      <c r="E16" s="40">
        <f>IFERROR(__xludf.DUMMYFUNCTION("""COMPUTED_VALUE"""),44366.62362268519)</f>
        <v>44366.62362</v>
      </c>
      <c r="F16" s="5" t="str">
        <f>IFERROR(__xludf.DUMMYFUNCTION("""COMPUTED_VALUE"""),"⏰ RESULT ⏰. 🇭🇺 Fiola strikes just before break. 🇫🇷 Griezmann nets second-half equaliser. 🤔 Who impressed you?. EURO 2020.")</f>
        <v>⏰ RESULT ⏰. 🇭🇺 Fiola strikes just before break. 🇫🇷 Griezmann nets second-half equaliser. 🤔 Who impressed you?. EURO 2020.</v>
      </c>
      <c r="G16" s="39" t="s">
        <v>17</v>
      </c>
      <c r="J16" s="5"/>
      <c r="K16" s="40">
        <f>IFERROR(__xludf.DUMMYFUNCTION("""COMPUTED_VALUE"""),44366.60304398148)</f>
        <v>44366.60304</v>
      </c>
      <c r="L16" s="5" t="str">
        <f>IFERROR(__xludf.DUMMYFUNCTION("""COMPUTED_VALUE"""),"Griezmann getting an equaliser in a Euros game against an underdog. They should take that goal off griezmann just because of that celebration ffs. Not me checking the score to see hungary vs france 1-0 only to see a tweet go 'griezmann scored' 36 seconds "&amp;"ago.")</f>
        <v>Griezmann getting an equaliser in a Euros game against an underdog. They should take that goal off griezmann just because of that celebration ffs. Not me checking the score to see hungary vs france 1-0 only to see a tweet go 'griezmann scored' 36 seconds ago.</v>
      </c>
      <c r="M16" s="39" t="s">
        <v>14</v>
      </c>
      <c r="N16" s="40">
        <f>IFERROR(__xludf.DUMMYFUNCTION("""COMPUTED_VALUE"""),44366.58101851852)</f>
        <v>44366.58102</v>
      </c>
      <c r="O16" s="5" t="str">
        <f>IFERROR(__xludf.DUMMYFUNCTION("""COMPUTED_VALUE"""),"Hugo Lloris vs Hongria | Highlights🔥📈 | Best Goalkeeper itw?👀🌟 | The French Buffon⁉️⁉️ #HONFRA. Same people who mock Maguire rate Varane as the best ITW 😭.")</f>
        <v>Hugo Lloris vs Hongria | Highlights🔥📈 | Best Goalkeeper itw?👀🌟 | The French Buffon⁉️⁉️ #HONFRA. Same people who mock Maguire rate Varane as the best ITW 😭.</v>
      </c>
      <c r="P16" s="39" t="s">
        <v>15</v>
      </c>
      <c r="Q16" s="40">
        <f>IFERROR(__xludf.DUMMYFUNCTION("""COMPUTED_VALUE"""),44366.58844907407)</f>
        <v>44366.58845</v>
      </c>
      <c r="R16" s="5" t="str">
        <f>IFERROR(__xludf.DUMMYFUNCTION("""COMPUTED_VALUE"""),"#HUN mood after taking the lead against the World Champs 😤.")</f>
        <v>#HUN mood after taking the lead against the World Champs 😤.</v>
      </c>
      <c r="S16" s="39" t="s">
        <v>15</v>
      </c>
      <c r="T16" s="40">
        <f>IFERROR(__xludf.DUMMYFUNCTION("""COMPUTED_VALUE"""),44366.59626157407)</f>
        <v>44366.59626</v>
      </c>
      <c r="U16" s="5" t="str">
        <f>IFERROR(__xludf.DUMMYFUNCTION("""COMPUTED_VALUE"""),"Pogba used all his 4 good passes last game. 💀. Why is kante not getting passes from his teammates? Smh. The french midfield today: • passes into the box ❌. • pass to pavard and hope he crosses ✅. Just pass the ball Sterling EURO 2020..")</f>
        <v>Pogba used all his 4 good passes last game. 💀. Why is kante not getting passes from his teammates? Smh. The french midfield today: • passes into the box ❌. • pass to pavard and hope he crosses ✅. Just pass the ball Sterling EURO 2020..</v>
      </c>
      <c r="V16" s="39" t="s">
        <v>18</v>
      </c>
      <c r="Y16" s="5"/>
      <c r="Z16" s="40">
        <f>IFERROR(__xludf.DUMMYFUNCTION("""COMPUTED_VALUE"""),44366.62358796297)</f>
        <v>44366.62359</v>
      </c>
      <c r="AA16" s="5" t="str">
        <f>IFERROR(__xludf.DUMMYFUNCTION("""COMPUTED_VALUE"""),"⏸️ HALF-TIME ⏸️. 🇭🇺🆚🇫🇷 Fiola puts Hungary ahead before break... 😮 Did you see that coming?. EURO 2020. ⏰ RESULT ⏰. 🇭🇺 Fiola strikes just before break. 🇫🇷 Griezmann nets second-half equaliser. 🤔 Who impressed you?. EURO 2020.")</f>
        <v>⏸️ HALF-TIME ⏸️. 🇭🇺🆚🇫🇷 Fiola puts Hungary ahead before break... 😮 Did you see that coming?. EURO 2020. ⏰ RESULT ⏰. 🇭🇺 Fiola strikes just before break. 🇫🇷 Griezmann nets second-half equaliser. 🤔 Who impressed you?. EURO 2020.</v>
      </c>
      <c r="AB16" s="39" t="s">
        <v>17</v>
      </c>
      <c r="AC16" s="40">
        <f>IFERROR(__xludf.DUMMYFUNCTION("""COMPUTED_VALUE"""),44366.5884375)</f>
        <v>44366.58844</v>
      </c>
      <c r="AD16" s="5" t="str">
        <f>IFERROR(__xludf.DUMMYFUNCTION("""COMPUTED_VALUE"""),"Upset alert? 👀. Hungary go up just before halftime against the reigning World Champs 🥶. EURO 2020.. #HUN mood after taking the lead against the World Champs 😤.")</f>
        <v>Upset alert? 👀. Hungary go up just before halftime against the reigning World Champs 🥶. EURO 2020.. #HUN mood after taking the lead against the World Champs 😤.</v>
      </c>
      <c r="AE16" s="39" t="s">
        <v>14</v>
      </c>
      <c r="AF16" s="40">
        <f>IFERROR(__xludf.DUMMYFUNCTION("""COMPUTED_VALUE"""),44366.580034722225)</f>
        <v>44366.58003</v>
      </c>
      <c r="AG16" s="5" t="str">
        <f>IFERROR(__xludf.DUMMYFUNCTION("""COMPUTED_VALUE"""),"Hungary score. Absolute scenes. Those celebrations is why I ❤️football. EURO 2020 #HUNFRA.. 🇭🇺 When you score against the world champions... 🥳 Scenes in Budapest!. EURO 2020.")</f>
        <v>Hungary score. Absolute scenes. Those celebrations is why I ❤️football. EURO 2020 #HUNFRA.. 🇭🇺 When you score against the world champions... 🥳 Scenes in Budapest!. EURO 2020.</v>
      </c>
      <c r="AH16" s="39" t="s">
        <v>14</v>
      </c>
      <c r="AK16" s="5"/>
      <c r="AN16" s="5"/>
      <c r="AO16" s="40"/>
      <c r="AP16" s="5"/>
      <c r="AQ16" s="5"/>
      <c r="AR16" s="40"/>
      <c r="AS16" s="5"/>
      <c r="AT16" s="5"/>
      <c r="AU16" s="40"/>
      <c r="AV16" s="5"/>
      <c r="AW16" s="5"/>
      <c r="AX16" s="40"/>
      <c r="AY16" s="5"/>
      <c r="AZ16" s="5"/>
      <c r="BA16" s="40"/>
      <c r="BB16" s="5"/>
      <c r="BC16" s="5"/>
      <c r="BD16" s="40"/>
      <c r="BE16" s="5"/>
      <c r="BF16" s="5"/>
      <c r="BG16" s="40"/>
      <c r="BH16" s="5"/>
      <c r="BI16" s="5"/>
      <c r="BJ16" s="40"/>
      <c r="BK16" s="5"/>
      <c r="BL16" s="5"/>
      <c r="BM16" s="40"/>
      <c r="BN16" s="5"/>
      <c r="BO16" s="5"/>
      <c r="BP16" s="40"/>
      <c r="BQ16" s="5"/>
      <c r="BR16" s="5"/>
      <c r="BS16" s="40"/>
      <c r="BT16" s="5"/>
      <c r="BU16" s="5"/>
      <c r="BV16" s="40"/>
      <c r="BW16" s="5"/>
      <c r="BX16" s="5"/>
      <c r="BY16" s="40"/>
      <c r="BZ16" s="5"/>
      <c r="CA16" s="5"/>
      <c r="CB16" s="40"/>
      <c r="CC16" s="5"/>
      <c r="CD16" s="5"/>
      <c r="CE16" s="40"/>
      <c r="CF16" s="5"/>
      <c r="CG16" s="5"/>
      <c r="CH16" s="40"/>
      <c r="CI16" s="5"/>
      <c r="CJ16" s="5"/>
      <c r="CK16" s="40"/>
      <c r="CL16" s="5"/>
      <c r="CM16" s="5"/>
      <c r="CN16" s="40"/>
      <c r="CO16" s="5"/>
      <c r="CP16" s="5"/>
      <c r="CQ16" s="40"/>
      <c r="CR16" s="5"/>
      <c r="CS16" s="5"/>
      <c r="CT16" s="5"/>
      <c r="CU16" s="5"/>
      <c r="CV16" s="5"/>
      <c r="CW16" s="5"/>
      <c r="CX16" s="5"/>
      <c r="CY16" s="5"/>
      <c r="CZ16" s="5"/>
      <c r="DA16" s="5"/>
      <c r="DB16" s="5"/>
      <c r="DC16" s="5"/>
      <c r="DD16" s="5"/>
      <c r="DE16" s="5"/>
      <c r="DF16" s="5"/>
    </row>
    <row r="17">
      <c r="B17" s="1" t="s">
        <v>43</v>
      </c>
      <c r="D17" s="6">
        <f>SUM(D13:D14)</f>
        <v>0.6041666667</v>
      </c>
      <c r="G17" s="5"/>
      <c r="J17" s="5"/>
      <c r="K17" s="40">
        <f>IFERROR(__xludf.DUMMYFUNCTION("""COMPUTED_VALUE"""),44366.60711805556)</f>
        <v>44366.60712</v>
      </c>
      <c r="L17" s="5" t="str">
        <f>IFERROR(__xludf.DUMMYFUNCTION("""COMPUTED_VALUE"""),"You think Antoine Griezmann wasn’t scoring on Juneteenth weekend? TUH. You know it’s black solidarity with all black people. 🇫🇷 Antoine Griezmann has now scored 38 goals for France in 93 games ⚽️. EURO 2020.")</f>
        <v>You think Antoine Griezmann wasn’t scoring on Juneteenth weekend? TUH. You know it’s black solidarity with all black people. 🇫🇷 Antoine Griezmann has now scored 38 goals for France in 93 games ⚽️. EURO 2020.</v>
      </c>
      <c r="M17" s="39" t="s">
        <v>14</v>
      </c>
      <c r="N17" s="40">
        <f>IFERROR(__xludf.DUMMYFUNCTION("""COMPUTED_VALUE"""),44366.59795138889)</f>
        <v>44366.59795</v>
      </c>
      <c r="O17" s="5" t="str">
        <f>IFERROR(__xludf.DUMMYFUNCTION("""COMPUTED_VALUE"""),"I hope Chelsea FC is watching how terrible Varane is as a defender. Don't wanna see him anywhere close to our great club. EURO 2020. Love how #HUN defend!!! Varane, Kimpembe and Pavard are useless and overrated defenders ☺.")</f>
        <v>I hope Chelsea FC is watching how terrible Varane is as a defender. Don't wanna see him anywhere close to our great club. EURO 2020. Love how #HUN defend!!! Varane, Kimpembe and Pavard are useless and overrated defenders ☺.</v>
      </c>
      <c r="P17" s="39" t="s">
        <v>16</v>
      </c>
      <c r="Q17" s="40">
        <f>IFERROR(__xludf.DUMMYFUNCTION("""COMPUTED_VALUE"""),44366.59069444444)</f>
        <v>44366.59069</v>
      </c>
      <c r="R17" s="5" t="str">
        <f>IFERROR(__xludf.DUMMYFUNCTION("""COMPUTED_VALUE"""),"BEST PLAYER IN FRANCE HISTORY POGBA. Pogba is some player. Look at Pogba man, una go dey slander this special player smh. Pogba for France is a different player ❄️ ❄️. Pogba is such a lovely player for France yc. Paul pogba is actually the worst player on"&amp;" the pitch holy shit.")</f>
        <v>BEST PLAYER IN FRANCE HISTORY POGBA. Pogba is some player. Look at Pogba man, una go dey slander this special player smh. Pogba for France is a different player ❄️ ❄️. Pogba is such a lovely player for France yc. Paul pogba is actually the worst player on the pitch holy shit.</v>
      </c>
      <c r="S17" s="39" t="s">
        <v>16</v>
      </c>
      <c r="T17" s="40">
        <f>IFERROR(__xludf.DUMMYFUNCTION("""COMPUTED_VALUE"""),44366.59946759259)</f>
        <v>44366.59947</v>
      </c>
      <c r="U17" s="5" t="str">
        <f>IFERROR(__xludf.DUMMYFUNCTION("""COMPUTED_VALUE"""),"Dembele just dashing balls away EURO 2020. Does Dembele not realise he's meant to pass to the team in white?? #FRA. Dembele’s passing has been poor #HUNFRA. It's quite difficult to mark a player like Dembele who can hit the ball real hard with both feet.."&amp;". EURO 2020.")</f>
        <v>Dembele just dashing balls away EURO 2020. Does Dembele not realise he's meant to pass to the team in white?? #FRA. Dembele’s passing has been poor #HUNFRA. It's quite difficult to mark a player like Dembele who can hit the ball real hard with both feet... EURO 2020.</v>
      </c>
      <c r="V17" s="39" t="s">
        <v>18</v>
      </c>
      <c r="Y17" s="5"/>
      <c r="AB17" s="5"/>
      <c r="AC17" s="40">
        <f>IFERROR(__xludf.DUMMYFUNCTION("""COMPUTED_VALUE"""),44366.60223379629)</f>
        <v>44366.60223</v>
      </c>
      <c r="AD17" s="5" t="str">
        <f>IFERROR(__xludf.DUMMYFUNCTION("""COMPUTED_VALUE"""),"If this Mbappe guy is the best player in the world then good lord I’m done with this sport. Mbappe is out of this world. Class from Mbappe. Dembouz should of went where mbappe passed but he doesnt have that strikers instinct. Griezmannnnnnnn, best in the "&amp;"world. Mbappe Speed Tax.")</f>
        <v>If this Mbappe guy is the best player in the world then good lord I’m done with this sport. Mbappe is out of this world. Class from Mbappe. Dembouz should of went where mbappe passed but he doesnt have that strikers instinct. Griezmannnnnnnn, best in the world. Mbappe Speed Tax.</v>
      </c>
      <c r="AE17" s="39" t="s">
        <v>18</v>
      </c>
      <c r="AF17" s="40">
        <f>IFERROR(__xludf.DUMMYFUNCTION("""COMPUTED_VALUE"""),44366.58363425926)</f>
        <v>44366.58363</v>
      </c>
      <c r="AG17" s="5" t="str">
        <f>IFERROR(__xludf.DUMMYFUNCTION("""COMPUTED_VALUE"""),"Benjamin Pavard- Crazy Football Defensive skills Tackled. Benzema now goKarting.. with Benzema leading the line france won't pass Quater finals. When the English say “Football’s coming home”…. #Fiola #HUNFRA. Hungary are hungry to win this #HUNFRA.")</f>
        <v>Benjamin Pavard- Crazy Football Defensive skills Tackled. Benzema now goKarting.. with Benzema leading the line france won't pass Quater finals. When the English say “Football’s coming home”…. #Fiola #HUNFRA. Hungary are hungry to win this #HUNFRA.</v>
      </c>
      <c r="AH17" s="39" t="s">
        <v>15</v>
      </c>
      <c r="AK17" s="5"/>
      <c r="AN17" s="5"/>
      <c r="AO17" s="40"/>
      <c r="AP17" s="5"/>
      <c r="AQ17" s="5"/>
      <c r="AR17" s="40"/>
      <c r="AS17" s="5"/>
      <c r="AT17" s="5"/>
      <c r="AU17" s="40"/>
      <c r="AV17" s="5"/>
      <c r="AW17" s="5"/>
      <c r="AX17" s="40"/>
      <c r="AY17" s="5"/>
      <c r="AZ17" s="5"/>
      <c r="BA17" s="40"/>
      <c r="BB17" s="5"/>
      <c r="BC17" s="5"/>
      <c r="BD17" s="40"/>
      <c r="BE17" s="5"/>
      <c r="BF17" s="5"/>
      <c r="BG17" s="40"/>
      <c r="BH17" s="5"/>
      <c r="BI17" s="5"/>
      <c r="BJ17" s="40"/>
      <c r="BK17" s="5"/>
      <c r="BL17" s="5"/>
      <c r="BM17" s="40"/>
      <c r="BN17" s="5"/>
      <c r="BO17" s="5"/>
      <c r="BP17" s="40"/>
      <c r="BQ17" s="5"/>
      <c r="BR17" s="5"/>
      <c r="BS17" s="40"/>
      <c r="BT17" s="5"/>
      <c r="BU17" s="5"/>
      <c r="BV17" s="40"/>
      <c r="BW17" s="5"/>
      <c r="BX17" s="5"/>
      <c r="BY17" s="40"/>
      <c r="BZ17" s="5"/>
      <c r="CA17" s="5"/>
      <c r="CB17" s="40"/>
      <c r="CC17" s="5"/>
      <c r="CD17" s="5"/>
      <c r="CE17" s="40"/>
      <c r="CF17" s="5"/>
      <c r="CG17" s="5"/>
      <c r="CH17" s="40"/>
      <c r="CI17" s="5"/>
      <c r="CJ17" s="5"/>
      <c r="CK17" s="40"/>
      <c r="CL17" s="5"/>
      <c r="CM17" s="5"/>
      <c r="CN17" s="40"/>
      <c r="CO17" s="5"/>
      <c r="CP17" s="5"/>
      <c r="CQ17" s="40"/>
      <c r="CR17" s="5"/>
      <c r="CS17" s="5"/>
      <c r="CT17" s="5"/>
      <c r="CU17" s="5"/>
      <c r="CV17" s="5"/>
      <c r="CW17" s="5"/>
      <c r="CX17" s="5"/>
      <c r="CY17" s="5"/>
      <c r="CZ17" s="5"/>
      <c r="DA17" s="5"/>
      <c r="DB17" s="5"/>
      <c r="DC17" s="5"/>
      <c r="DD17" s="5"/>
      <c r="DE17" s="5"/>
      <c r="DF17" s="5"/>
    </row>
    <row r="18">
      <c r="A18" s="14" t="s">
        <v>44</v>
      </c>
      <c r="B18" s="47" t="s">
        <v>1146</v>
      </c>
      <c r="C18" s="48"/>
      <c r="D18" s="48"/>
      <c r="G18" s="5"/>
      <c r="J18" s="5"/>
      <c r="K18" s="40">
        <f>IFERROR(__xludf.DUMMYFUNCTION("""COMPUTED_VALUE"""),44366.608668981484)</f>
        <v>44366.60867</v>
      </c>
      <c r="L18" s="5" t="str">
        <f>IFERROR(__xludf.DUMMYFUNCTION("""COMPUTED_VALUE"""),"France need a goal and they bring on Giroud 😂😂🤣🤣. I’m a Barca fan but Benzema over Giroud any day. He’s footwork, goal scoring ability and speed than Giroud. Giroud to score the winning assist or goal, let's go! If Giroud scores we’ll never hear the e"&amp;"nd of it.")</f>
        <v>France need a goal and they bring on Giroud 😂😂🤣🤣. I’m a Barca fan but Benzema over Giroud any day. He’s footwork, goal scoring ability and speed than Giroud. Giroud to score the winning assist or goal, let's go! If Giroud scores we’ll never hear the end of it.</v>
      </c>
      <c r="M18" s="39" t="s">
        <v>17</v>
      </c>
      <c r="N18" s="40">
        <f>IFERROR(__xludf.DUMMYFUNCTION("""COMPUTED_VALUE"""),44366.61284722222)</f>
        <v>44366.61285</v>
      </c>
      <c r="O18" s="5" t="str">
        <f>IFERROR(__xludf.DUMMYFUNCTION("""COMPUTED_VALUE"""),"How did he save that #HUNFRA. Hmmm good save from Mbappe but not sure why Giroud isn't trying to get a tap in there? What a save Gulacsi. That was save of the tournament by Hungary keeper EURO 2020. Another great save! Lucky #HUN. Gila-gila goalkeeper #HU"&amp;"N ni save 😱🔥.")</f>
        <v>How did he save that #HUNFRA. Hmmm good save from Mbappe but not sure why Giroud isn't trying to get a tap in there? What a save Gulacsi. That was save of the tournament by Hungary keeper EURO 2020. Another great save! Lucky #HUN. Gila-gila goalkeeper #HUN ni save 😱🔥.</v>
      </c>
      <c r="P18" s="39" t="s">
        <v>18</v>
      </c>
      <c r="Q18" s="40">
        <f>IFERROR(__xludf.DUMMYFUNCTION("""COMPUTED_VALUE"""),44366.5940162037)</f>
        <v>44366.59402</v>
      </c>
      <c r="R18" s="5" t="str">
        <f>IFERROR(__xludf.DUMMYFUNCTION("""COMPUTED_VALUE"""),"Antoine Griezmann taking a photo of a duck #FRA.")</f>
        <v>Antoine Griezmann taking a photo of a duck #FRA.</v>
      </c>
      <c r="S18" s="39" t="s">
        <v>15</v>
      </c>
      <c r="T18" s="40">
        <f>IFERROR(__xludf.DUMMYFUNCTION("""COMPUTED_VALUE"""),44366.60126157408)</f>
        <v>44366.60126</v>
      </c>
      <c r="U18" s="5" t="str">
        <f>IFERROR(__xludf.DUMMYFUNCTION("""COMPUTED_VALUE"""),"That ball by lloris and the work by mbappe class. The ball by lloris is incredible, Mbappe still great there though. Route one long ball by Lloris, Mbappe pace, Griezman with the finish.. 1-1 come on let's win this boys. When does Lloris ever kick a ball "&amp;"like that for us 🤷🏼‍♂️.")</f>
        <v>That ball by lloris and the work by mbappe class. The ball by lloris is incredible, Mbappe still great there though. Route one long ball by Lloris, Mbappe pace, Griezman with the finish.. 1-1 come on let's win this boys. When does Lloris ever kick a ball like that for us 🤷🏼‍♂️.</v>
      </c>
      <c r="V18" s="39" t="s">
        <v>17</v>
      </c>
      <c r="Y18" s="5"/>
      <c r="AB18" s="5"/>
      <c r="AC18" s="40">
        <f>IFERROR(__xludf.DUMMYFUNCTION("""COMPUTED_VALUE"""),44366.6225)</f>
        <v>44366.6225</v>
      </c>
      <c r="AD18" s="5" t="str">
        <f>IFERROR(__xludf.DUMMYFUNCTION("""COMPUTED_VALUE"""),"1-1 against the World Champions. I can live with that. :-P #Hun #Fra. 1-1 it ends, huge result for Hungary who’ve held the world champions. France didn’t have much cutting edge today #HUNFRA. 🇭🇺 When you score against the world champions... 🥳 Scenes in"&amp;" Budapest!. EURO 2020.")</f>
        <v>1-1 against the World Champions. I can live with that. :-P #Hun #Fra. 1-1 it ends, huge result for Hungary who’ve held the world champions. France didn’t have much cutting edge today #HUNFRA. 🇭🇺 When you score against the world champions... 🥳 Scenes in Budapest!. EURO 2020.</v>
      </c>
      <c r="AE18" s="39" t="s">
        <v>17</v>
      </c>
      <c r="AF18" s="40">
        <f>IFERROR(__xludf.DUMMYFUNCTION("""COMPUTED_VALUE"""),44366.59328703704)</f>
        <v>44366.59329</v>
      </c>
      <c r="AG18" s="5" t="str">
        <f>IFERROR(__xludf.DUMMYFUNCTION("""COMPUTED_VALUE"""),"Hungary will win this. #HUN. I just turned the football on for the second half. Buzzing for Hungary!!! EURO 2020. The football world to Hungary if they pull this off.. #HUNFRA EURO 2020. 🇭🇺 Hungary are unbeaten against France at EURO finals (W3 D1) 💪. "&amp;"EURO 2020.")</f>
        <v>Hungary will win this. #HUN. I just turned the football on for the second half. Buzzing for Hungary!!! EURO 2020. The football world to Hungary if they pull this off.. #HUNFRA EURO 2020. 🇭🇺 Hungary are unbeaten against France at EURO finals (W3 D1) 💪. EURO 2020.</v>
      </c>
      <c r="AH18" s="39" t="s">
        <v>16</v>
      </c>
      <c r="AK18" s="5"/>
      <c r="AN18" s="5"/>
      <c r="AO18" s="40"/>
      <c r="AP18" s="5"/>
      <c r="AQ18" s="5"/>
      <c r="AR18" s="40"/>
      <c r="AS18" s="5"/>
      <c r="AT18" s="5"/>
      <c r="AU18" s="40"/>
      <c r="AV18" s="5"/>
      <c r="AW18" s="5"/>
      <c r="AX18" s="40"/>
      <c r="AY18" s="5"/>
      <c r="AZ18" s="5"/>
      <c r="BA18" s="40"/>
      <c r="BB18" s="5"/>
      <c r="BC18" s="5"/>
      <c r="BD18" s="40"/>
      <c r="BE18" s="5"/>
      <c r="BF18" s="5"/>
      <c r="BG18" s="40"/>
      <c r="BH18" s="5"/>
      <c r="BI18" s="5"/>
      <c r="BJ18" s="40"/>
      <c r="BK18" s="5"/>
      <c r="BL18" s="5"/>
      <c r="BM18" s="40"/>
      <c r="BN18" s="5"/>
      <c r="BO18" s="5"/>
      <c r="BP18" s="40"/>
      <c r="BQ18" s="5"/>
      <c r="BR18" s="5"/>
      <c r="BS18" s="40"/>
      <c r="BT18" s="5"/>
      <c r="BU18" s="5"/>
      <c r="BV18" s="40"/>
      <c r="BW18" s="5"/>
      <c r="BX18" s="5"/>
      <c r="BY18" s="40"/>
      <c r="BZ18" s="5"/>
      <c r="CA18" s="5"/>
      <c r="CB18" s="40"/>
      <c r="CC18" s="5"/>
      <c r="CD18" s="5"/>
      <c r="CE18" s="40"/>
      <c r="CF18" s="5"/>
      <c r="CG18" s="5"/>
      <c r="CH18" s="40"/>
      <c r="CI18" s="5"/>
      <c r="CJ18" s="5"/>
      <c r="CK18" s="40"/>
      <c r="CL18" s="5"/>
      <c r="CM18" s="5"/>
      <c r="CN18" s="40"/>
      <c r="CO18" s="5"/>
      <c r="CP18" s="5"/>
      <c r="CQ18" s="40"/>
      <c r="CR18" s="5"/>
      <c r="CS18" s="5"/>
      <c r="CT18" s="5"/>
      <c r="CU18" s="5"/>
      <c r="CV18" s="5"/>
      <c r="CW18" s="5"/>
      <c r="CX18" s="5"/>
      <c r="CY18" s="5"/>
      <c r="CZ18" s="5"/>
      <c r="DA18" s="5"/>
      <c r="DB18" s="5"/>
      <c r="DC18" s="5"/>
      <c r="DD18" s="5"/>
      <c r="DE18" s="5"/>
      <c r="DF18" s="5"/>
    </row>
    <row r="19">
      <c r="A19" s="14" t="s">
        <v>46</v>
      </c>
      <c r="C19" s="14" t="s">
        <v>34</v>
      </c>
      <c r="D19" s="14" t="s">
        <v>35</v>
      </c>
      <c r="G19" s="5"/>
      <c r="J19" s="5"/>
      <c r="K19" s="40">
        <f>IFERROR(__xludf.DUMMYFUNCTION("""COMPUTED_VALUE"""),44366.61283564815)</f>
        <v>44366.61284</v>
      </c>
      <c r="L19" s="5" t="str">
        <f>IFERROR(__xludf.DUMMYFUNCTION("""COMPUTED_VALUE"""),"Mbappe to score the winning goal 🥅. 80': #FRA 1-1 #HUN. If i was mbappe i’d have simply just scored. Mbappe has an assist in this game in my book of facts 👍. That was nearly a beautiful goal from Mbappe 🤌🏽. If mbappe passed to giroud, it would have be"&amp;"en a goal 🤦‍♀️.")</f>
        <v>Mbappe to score the winning goal 🥅. 80': #FRA 1-1 #HUN. If i was mbappe i’d have simply just scored. Mbappe has an assist in this game in my book of facts 👍. That was nearly a beautiful goal from Mbappe 🤌🏽. If mbappe passed to giroud, it would have been a goal 🤦‍♀️.</v>
      </c>
      <c r="M19" s="39" t="s">
        <v>18</v>
      </c>
      <c r="N19" s="40">
        <f>IFERROR(__xludf.DUMMYFUNCTION("""COMPUTED_VALUE"""),44366.61443287037)</f>
        <v>44366.61443</v>
      </c>
      <c r="O19" s="5" t="str">
        <f>IFERROR(__xludf.DUMMYFUNCTION("""COMPUTED_VALUE"""),"The hungary keeper looks like gay evil peter cech. #HUNFRA. Gulacsi is a decent keeper tbf. Mbappe needs to finish that, go low and hit it across the keeper smh. Hungary's keeper putting in a solid shift #hun. Mbappe has to score there... not shoot straig"&amp;"ht at the keeper.")</f>
        <v>The hungary keeper looks like gay evil peter cech. #HUNFRA. Gulacsi is a decent keeper tbf. Mbappe needs to finish that, go low and hit it across the keeper smh. Hungary's keeper putting in a solid shift #hun. Mbappe has to score there... not shoot straight at the keeper.</v>
      </c>
      <c r="P19" s="39" t="s">
        <v>14</v>
      </c>
      <c r="Q19" s="40">
        <f>IFERROR(__xludf.DUMMYFUNCTION("""COMPUTED_VALUE"""),44366.59543981482)</f>
        <v>44366.59544</v>
      </c>
      <c r="R19" s="5" t="str">
        <f>IFERROR(__xludf.DUMMYFUNCTION("""COMPUTED_VALUE"""),"🇭🇺🆚🇫🇷 Which players have stood out?. EURO 2020.")</f>
        <v>🇭🇺🆚🇫🇷 Which players have stood out?. EURO 2020.</v>
      </c>
      <c r="S19" s="39" t="s">
        <v>15</v>
      </c>
      <c r="T19" s="40">
        <f>IFERROR(__xludf.DUMMYFUNCTION("""COMPUTED_VALUE"""),44366.60623842593)</f>
        <v>44366.60624</v>
      </c>
      <c r="U19" s="5" t="str">
        <f>IFERROR(__xludf.DUMMYFUNCTION("""COMPUTED_VALUE"""),"I thought the new rule says any kind of handball from the striker stops the play ,didn’t Mbappe touch it with his hand ? POGBA: Don’t touch me 😂. Peep the touch and creativity from Mbappe, class.. Benzema every time he touches the ball. 😂 Pogba said “do"&amp;"n’t touch me”.")</f>
        <v>I thought the new rule says any kind of handball from the striker stops the play ,didn’t Mbappe touch it with his hand ? POGBA: Don’t touch me 😂. Peep the touch and creativity from Mbappe, class.. Benzema every time he touches the ball. 😂 Pogba said “don’t touch me”.</v>
      </c>
      <c r="V19" s="39" t="s">
        <v>15</v>
      </c>
      <c r="Y19" s="5"/>
      <c r="AB19" s="5"/>
      <c r="AE19" s="5"/>
      <c r="AF19" s="40">
        <f>IFERROR(__xludf.DUMMYFUNCTION("""COMPUTED_VALUE"""),44366.595671296294)</f>
        <v>44366.59567</v>
      </c>
      <c r="AG19" s="5" t="str">
        <f>IFERROR(__xludf.DUMMYFUNCTION("""COMPUTED_VALUE"""),"Rabiot is not great at football. Rabiot out France win. Rabiot finally coming off he’s been meady. Rabiot off for an attacker and they’re winning this game. Rabiot finally off. Finally rabiot coming off, my eyes cannot when i see both pogba and him so cas"&amp;"ual.")</f>
        <v>Rabiot is not great at football. Rabiot out France win. Rabiot finally coming off he’s been meady. Rabiot off for an attacker and they’re winning this game. Rabiot finally off. Finally rabiot coming off, my eyes cannot when i see both pogba and him so casual.</v>
      </c>
      <c r="AH19" s="39" t="s">
        <v>17</v>
      </c>
      <c r="AK19" s="5"/>
      <c r="AN19" s="5"/>
      <c r="AO19" s="40"/>
      <c r="AP19" s="5"/>
      <c r="AQ19" s="5"/>
      <c r="AR19" s="40"/>
      <c r="AS19" s="5"/>
      <c r="AT19" s="5"/>
      <c r="AU19" s="40"/>
      <c r="AV19" s="5"/>
      <c r="AW19" s="5"/>
      <c r="AX19" s="40"/>
      <c r="AY19" s="5"/>
      <c r="AZ19" s="5"/>
      <c r="BA19" s="40"/>
      <c r="BB19" s="5"/>
      <c r="BC19" s="5"/>
      <c r="BD19" s="40"/>
      <c r="BE19" s="5"/>
      <c r="BF19" s="5"/>
      <c r="BG19" s="40"/>
      <c r="BH19" s="5"/>
      <c r="BI19" s="5"/>
      <c r="BJ19" s="40"/>
      <c r="BK19" s="5"/>
      <c r="BL19" s="5"/>
      <c r="BM19" s="40"/>
      <c r="BN19" s="5"/>
      <c r="BO19" s="5"/>
      <c r="BP19" s="40"/>
      <c r="BQ19" s="5"/>
      <c r="BR19" s="5"/>
      <c r="BS19" s="40"/>
      <c r="BT19" s="5"/>
      <c r="BU19" s="5"/>
      <c r="BV19" s="40"/>
      <c r="BW19" s="5"/>
      <c r="BX19" s="5"/>
      <c r="BY19" s="40"/>
      <c r="BZ19" s="5"/>
      <c r="CA19" s="5"/>
      <c r="CB19" s="40"/>
      <c r="CC19" s="5"/>
      <c r="CD19" s="5"/>
      <c r="CE19" s="40"/>
      <c r="CF19" s="5"/>
      <c r="CG19" s="5"/>
      <c r="CH19" s="40"/>
      <c r="CI19" s="5"/>
      <c r="CJ19" s="5"/>
      <c r="CK19" s="40"/>
      <c r="CL19" s="5"/>
      <c r="CM19" s="5"/>
      <c r="CN19" s="40"/>
      <c r="CO19" s="5"/>
      <c r="CP19" s="5"/>
      <c r="CQ19" s="40"/>
      <c r="CR19" s="5"/>
      <c r="CS19" s="5"/>
      <c r="CT19" s="5"/>
      <c r="CU19" s="5"/>
      <c r="CV19" s="5"/>
      <c r="CW19" s="5"/>
      <c r="CX19" s="5"/>
      <c r="CY19" s="5"/>
      <c r="CZ19" s="5"/>
      <c r="DA19" s="5"/>
      <c r="DB19" s="5"/>
      <c r="DC19" s="5"/>
      <c r="DD19" s="5"/>
      <c r="DE19" s="5"/>
      <c r="DF19" s="5"/>
    </row>
    <row r="20">
      <c r="A20" s="19" t="s">
        <v>47</v>
      </c>
      <c r="B20" s="19" t="s">
        <v>48</v>
      </c>
      <c r="C20" s="21">
        <f t="shared" ref="C20:C23" si="65">COUNTIF($A$26:$A1007, A20)</f>
        <v>2</v>
      </c>
      <c r="D20" s="26">
        <f>IFERROR(__xludf.DUMMYFUNCTION("IF(C20, COUNTIF(FILTER($D$26:$D1007, $A$26:$A1007=A20), TRUE)/C20, 0)"),1.0)</f>
        <v>1</v>
      </c>
      <c r="G20" s="5"/>
      <c r="J20" s="5"/>
      <c r="K20" s="40">
        <f>IFERROR(__xludf.DUMMYFUNCTION("""COMPUTED_VALUE"""),44366.62358796297)</f>
        <v>44366.62359</v>
      </c>
      <c r="L20" s="5" t="str">
        <f>IFERROR(__xludf.DUMMYFUNCTION("""COMPUTED_VALUE"""),"GOAL RUSH: HUNGARY 1 - 0 FRANCE (A. Fiola 45+2'). euro 2020 #Fiola. Griezmann. Don’t you fuckin dare equalise pal. ⏰ RESULT ⏰. 🇭🇺 Fiola strikes just before break. 🇫🇷 Griezmann nets second-half equaliser. 🤔 Who impressed you?. EURO 2020.")</f>
        <v>GOAL RUSH: HUNGARY 1 - 0 FRANCE (A. Fiola 45+2'). euro 2020 #Fiola. Griezmann. Don’t you fuckin dare equalise pal. ⏰ RESULT ⏰. 🇭🇺 Fiola strikes just before break. 🇫🇷 Griezmann nets second-half equaliser. 🤔 Who impressed you?. EURO 2020.</v>
      </c>
      <c r="M20" s="39" t="s">
        <v>17</v>
      </c>
      <c r="P20" s="5"/>
      <c r="Q20" s="40">
        <f>IFERROR(__xludf.DUMMYFUNCTION("""COMPUTED_VALUE"""),44366.59979166667)</f>
        <v>44366.59979</v>
      </c>
      <c r="R20" s="5" t="str">
        <f>IFERROR(__xludf.DUMMYFUNCTION("""COMPUTED_VALUE"""),"A go take zouma like dat na varane di3 no lie. Take Benzema off bring in Giroud. Varane’s inverted knees is kicking his ass. Very few ppl make it to pro football with inverted knees. Take Greizmann off for Giroud, let’s see big sexy and Benzema together, "&amp;"let’s get fully chaotic.")</f>
        <v>A go take zouma like dat na varane di3 no lie. Take Benzema off bring in Giroud. Varane’s inverted knees is kicking his ass. Very few ppl make it to pro football with inverted knees. Take Greizmann off for Giroud, let’s see big sexy and Benzema together, let’s get fully chaotic.</v>
      </c>
      <c r="S20" s="39" t="s">
        <v>16</v>
      </c>
      <c r="T20" s="40">
        <f>IFERROR(__xludf.DUMMYFUNCTION("""COMPUTED_VALUE"""),44366.607511574075)</f>
        <v>44366.60751</v>
      </c>
      <c r="U20" s="5" t="str">
        <f>IFERROR(__xludf.DUMMYFUNCTION("""COMPUTED_VALUE"""),"😂 Pogba said “don’t touch me”. Pogba has only passed sideways or backwards this game btw. Pogba doesn't know when to pass or dribble. Almost cost France. Pogba man just release the goddamn ball. Every time pogba wins the ball, he loses it lol.")</f>
        <v>😂 Pogba said “don’t touch me”. Pogba has only passed sideways or backwards this game btw. Pogba doesn't know when to pass or dribble. Almost cost France. Pogba man just release the goddamn ball. Every time pogba wins the ball, he loses it lol.</v>
      </c>
      <c r="V20" s="39" t="s">
        <v>18</v>
      </c>
      <c r="Y20" s="5"/>
      <c r="AB20" s="5"/>
      <c r="AE20" s="5"/>
      <c r="AF20" s="40">
        <f>IFERROR(__xludf.DUMMYFUNCTION("""COMPUTED_VALUE"""),44366.599745370375)</f>
        <v>44366.59975</v>
      </c>
      <c r="AG20" s="5" t="str">
        <f>IFERROR(__xludf.DUMMYFUNCTION("""COMPUTED_VALUE"""),"Thank god the varane is good at football myth has been busted today. Varane will be cooked in the premier league. #HUNFRA. France ain't winning nun w varane starting. Varane’s inverted knees is kicking his ass. Very few ppl make it to pro football with in"&amp;"verted knees.")</f>
        <v>Thank god the varane is good at football myth has been busted today. Varane will be cooked in the premier league. #HUNFRA. France ain't winning nun w varane starting. Varane’s inverted knees is kicking his ass. Very few ppl make it to pro football with inverted knees.</v>
      </c>
      <c r="AH20" s="39" t="s">
        <v>16</v>
      </c>
      <c r="AK20" s="5"/>
      <c r="AN20" s="5"/>
      <c r="AO20" s="40"/>
      <c r="AP20" s="5"/>
      <c r="AQ20" s="5"/>
      <c r="AR20" s="40"/>
      <c r="AS20" s="5"/>
      <c r="AT20" s="5"/>
      <c r="AU20" s="40"/>
      <c r="AV20" s="5"/>
      <c r="AW20" s="5"/>
      <c r="AX20" s="40"/>
      <c r="AY20" s="5"/>
      <c r="AZ20" s="5"/>
      <c r="BA20" s="40"/>
      <c r="BB20" s="5"/>
      <c r="BC20" s="5"/>
      <c r="BD20" s="40"/>
      <c r="BE20" s="5"/>
      <c r="BF20" s="5"/>
      <c r="BG20" s="40"/>
      <c r="BH20" s="5"/>
      <c r="BI20" s="5"/>
      <c r="BJ20" s="40"/>
      <c r="BK20" s="5"/>
      <c r="BL20" s="5"/>
      <c r="BM20" s="40"/>
      <c r="BN20" s="5"/>
      <c r="BO20" s="5"/>
      <c r="BP20" s="40"/>
      <c r="BQ20" s="5"/>
      <c r="BR20" s="5"/>
      <c r="BS20" s="40"/>
      <c r="BT20" s="5"/>
      <c r="BU20" s="5"/>
      <c r="BV20" s="40"/>
      <c r="BW20" s="5"/>
      <c r="BX20" s="5"/>
      <c r="BY20" s="40"/>
      <c r="BZ20" s="5"/>
      <c r="CA20" s="5"/>
      <c r="CB20" s="40"/>
      <c r="CC20" s="5"/>
      <c r="CD20" s="5"/>
      <c r="CE20" s="40"/>
      <c r="CF20" s="5"/>
      <c r="CG20" s="5"/>
      <c r="CH20" s="40"/>
      <c r="CI20" s="5"/>
      <c r="CJ20" s="5"/>
      <c r="CK20" s="40"/>
      <c r="CL20" s="5"/>
      <c r="CM20" s="5"/>
      <c r="CN20" s="40"/>
      <c r="CO20" s="5"/>
      <c r="CP20" s="5"/>
      <c r="CQ20" s="40"/>
      <c r="CR20" s="5"/>
      <c r="CS20" s="5"/>
      <c r="CT20" s="5"/>
      <c r="CU20" s="5"/>
      <c r="CV20" s="5"/>
      <c r="CW20" s="5"/>
      <c r="CX20" s="5"/>
      <c r="CY20" s="5"/>
      <c r="CZ20" s="5"/>
      <c r="DA20" s="5"/>
      <c r="DB20" s="5"/>
      <c r="DC20" s="5"/>
      <c r="DD20" s="5"/>
      <c r="DE20" s="5"/>
      <c r="DF20" s="5"/>
    </row>
    <row r="21">
      <c r="A21" s="19" t="s">
        <v>49</v>
      </c>
      <c r="B21" s="19" t="s">
        <v>50</v>
      </c>
      <c r="C21" s="21">
        <f t="shared" si="65"/>
        <v>2</v>
      </c>
      <c r="D21" s="26">
        <f>IFERROR(__xludf.DUMMYFUNCTION("IF(C21, COUNTIF(FILTER($D$26:$D1007, $A$26:$A1007=A21), TRUE)/C21, 0)"),0.5)</f>
        <v>0.5</v>
      </c>
      <c r="G21" s="5"/>
      <c r="J21" s="5"/>
      <c r="M21" s="5"/>
      <c r="P21" s="5"/>
      <c r="Q21" s="40">
        <f>IFERROR(__xludf.DUMMYFUNCTION("""COMPUTED_VALUE"""),44366.602361111116)</f>
        <v>44366.60236</v>
      </c>
      <c r="R21" s="5" t="str">
        <f>IFERROR(__xludf.DUMMYFUNCTION("""COMPUTED_VALUE"""),"Mbappe is easily the best player itw. MBAPPE WHAT A PLAYER. It's so easy to take ball off Mbappe and dembele. Mbappe c'mon 🙄🙄🙄. Wetin these France players smoke today, even Griezouuuu 😒😒😒. That goal was all Mbappe. White trash taking credit smh. Tak"&amp;"e mbappe off for Coman!")</f>
        <v>Mbappe is easily the best player itw. MBAPPE WHAT A PLAYER. It's so easy to take ball off Mbappe and dembele. Mbappe c'mon 🙄🙄🙄. Wetin these France players smoke today, even Griezouuuu 😒😒😒. That goal was all Mbappe. White trash taking credit smh. Take mbappe off for Coman!</v>
      </c>
      <c r="S21" s="39" t="s">
        <v>16</v>
      </c>
      <c r="T21" s="40">
        <f>IFERROR(__xludf.DUMMYFUNCTION("""COMPUTED_VALUE"""),44366.60915509259)</f>
        <v>44366.60916</v>
      </c>
      <c r="U21" s="5" t="str">
        <f>IFERROR(__xludf.DUMMYFUNCTION("""COMPUTED_VALUE"""),"Giroud ball let’s get it. YES GIROUD INNNN!! OLIVER BALL TO THE WORLD 🥺🥺🥺🔥🔥🔥🔥🔥. Giroud from a Dembouz cross my meat is breaking. Will Mbappe pass it to Giroud? OHHH MY GODDDD OLIVIER GIROUD IS ON HE WILL SCORE THE WINNER I FEEL IT IN MY BALLS HENR"&amp;"Y WAKE UP WAKE UP.")</f>
        <v>Giroud ball let’s get it. YES GIROUD INNNN!! OLIVER BALL TO THE WORLD 🥺🥺🥺🔥🔥🔥🔥🔥. Giroud from a Dembouz cross my meat is breaking. Will Mbappe pass it to Giroud? OHHH MY GODDDD OLIVIER GIROUD IS ON HE WILL SCORE THE WINNER I FEEL IT IN MY BALLS HENRY WAKE UP WAKE UP.</v>
      </c>
      <c r="V21" s="39" t="s">
        <v>17</v>
      </c>
      <c r="Y21" s="5"/>
      <c r="AB21" s="5"/>
      <c r="AE21" s="5"/>
      <c r="AF21" s="40">
        <f>IFERROR(__xludf.DUMMYFUNCTION("""COMPUTED_VALUE"""),44366.60144675926)</f>
        <v>44366.60145</v>
      </c>
      <c r="AG21" s="5" t="str">
        <f>IFERROR(__xludf.DUMMYFUNCTION("""COMPUTED_VALUE"""),"Has the commentator just said pogba was outstanding in the champions league final 🤣 get paid real money these. Bring on Giroud if you want to win the game. Pavard is really trying to get himself sent off 😭 his Bayern form is finally showing up in the Fr"&amp;"ance team. Finally!! #FRA🙌.")</f>
        <v>Has the commentator just said pogba was outstanding in the champions league final 🤣 get paid real money these. Bring on Giroud if you want to win the game. Pavard is really trying to get himself sent off 😭 his Bayern form is finally showing up in the France team. Finally!! #FRA🙌.</v>
      </c>
      <c r="AH21" s="39" t="s">
        <v>16</v>
      </c>
      <c r="AK21" s="5"/>
      <c r="AN21" s="5"/>
      <c r="AO21" s="40"/>
      <c r="AP21" s="5"/>
      <c r="AQ21" s="5"/>
      <c r="AR21" s="40"/>
      <c r="AS21" s="5"/>
      <c r="AT21" s="5"/>
      <c r="AU21" s="40"/>
      <c r="AV21" s="5"/>
      <c r="AW21" s="5"/>
      <c r="AX21" s="40"/>
      <c r="AY21" s="5"/>
      <c r="AZ21" s="5"/>
      <c r="BA21" s="40"/>
      <c r="BB21" s="5"/>
      <c r="BC21" s="5"/>
      <c r="BD21" s="40"/>
      <c r="BE21" s="5"/>
      <c r="BF21" s="5"/>
      <c r="BG21" s="40"/>
      <c r="BH21" s="5"/>
      <c r="BI21" s="5"/>
      <c r="BJ21" s="40"/>
      <c r="BK21" s="5"/>
      <c r="BL21" s="5"/>
      <c r="BM21" s="40"/>
      <c r="BN21" s="5"/>
      <c r="BO21" s="5"/>
      <c r="BP21" s="40"/>
      <c r="BQ21" s="5"/>
      <c r="BR21" s="5"/>
      <c r="BS21" s="40"/>
      <c r="BT21" s="5"/>
      <c r="BU21" s="5"/>
      <c r="BV21" s="40"/>
      <c r="BW21" s="5"/>
      <c r="BX21" s="5"/>
      <c r="BY21" s="40"/>
      <c r="BZ21" s="5"/>
      <c r="CA21" s="5"/>
      <c r="CB21" s="40"/>
      <c r="CC21" s="5"/>
      <c r="CD21" s="5"/>
      <c r="CE21" s="40"/>
      <c r="CF21" s="5"/>
      <c r="CG21" s="5"/>
      <c r="CH21" s="40"/>
      <c r="CI21" s="5"/>
      <c r="CJ21" s="5"/>
      <c r="CK21" s="40"/>
      <c r="CL21" s="5"/>
      <c r="CM21" s="5"/>
      <c r="CN21" s="40"/>
      <c r="CO21" s="5"/>
      <c r="CP21" s="5"/>
      <c r="CQ21" s="40"/>
      <c r="CR21" s="5"/>
      <c r="CS21" s="5"/>
      <c r="CT21" s="5"/>
      <c r="CU21" s="5"/>
      <c r="CV21" s="5"/>
      <c r="CW21" s="5"/>
      <c r="CX21" s="5"/>
      <c r="CY21" s="5"/>
      <c r="CZ21" s="5"/>
      <c r="DA21" s="5"/>
      <c r="DB21" s="5"/>
      <c r="DC21" s="5"/>
      <c r="DD21" s="5"/>
      <c r="DE21" s="5"/>
      <c r="DF21" s="5"/>
    </row>
    <row r="22">
      <c r="A22" s="19" t="s">
        <v>51</v>
      </c>
      <c r="B22" s="19" t="s">
        <v>52</v>
      </c>
      <c r="C22" s="21">
        <f t="shared" si="65"/>
        <v>4</v>
      </c>
      <c r="D22" s="26">
        <f>IFERROR(__xludf.DUMMYFUNCTION("IF(C22, COUNTIF(FILTER($D$26:$D1007, $A$26:$A1007=A22), TRUE)/C22, 0)"),0.5)</f>
        <v>0.5</v>
      </c>
      <c r="G22" s="5"/>
      <c r="J22" s="5"/>
      <c r="M22" s="5"/>
      <c r="P22" s="5"/>
      <c r="Q22" s="40">
        <f>IFERROR(__xludf.DUMMYFUNCTION("""COMPUTED_VALUE"""),44366.60597222223)</f>
        <v>44366.60597</v>
      </c>
      <c r="R22" s="5" t="str">
        <f>IFERROR(__xludf.DUMMYFUNCTION("""COMPUTED_VALUE"""),"Antoine Griezmann is the best International player of the last 5 years and it's not up for debate..")</f>
        <v>Antoine Griezmann is the best International player of the last 5 years and it's not up for debate..</v>
      </c>
      <c r="S22" s="39" t="s">
        <v>16</v>
      </c>
      <c r="T22" s="40">
        <f>IFERROR(__xludf.DUMMYFUNCTION("""COMPUTED_VALUE"""),44366.618680555555)</f>
        <v>44366.61868</v>
      </c>
      <c r="U22" s="5" t="str">
        <f>IFERROR(__xludf.DUMMYFUNCTION("""COMPUTED_VALUE"""),"Mbappe nah werey. Giroud give you ball, return am, you wan form match winner..")</f>
        <v>Mbappe nah werey. Giroud give you ball, return am, you wan form match winner..</v>
      </c>
      <c r="V22" s="39" t="s">
        <v>15</v>
      </c>
      <c r="Y22" s="5"/>
      <c r="AB22" s="5"/>
      <c r="AE22" s="5"/>
      <c r="AF22" s="40">
        <f>IFERROR(__xludf.DUMMYFUNCTION("""COMPUTED_VALUE"""),44366.60332175926)</f>
        <v>44366.60332</v>
      </c>
      <c r="AG22" s="5" t="str">
        <f>IFERROR(__xludf.DUMMYFUNCTION("""COMPUTED_VALUE"""),"Griezmann giving me proper Dan James vibes celebrating like that whilst they're not winning😭. Finally griezmann. 🙌🏽 Still want 3 more. Goallll!!!!! Finally Griezmann we know back in the game. Antoine Griezmann is the first quintuple-winning Newcastle m"&amp;"anager to score in Euro 2020.")</f>
        <v>Griezmann giving me proper Dan James vibes celebrating like that whilst they're not winning😭. Finally griezmann. 🙌🏽 Still want 3 more. Goallll!!!!! Finally Griezmann we know back in the game. Antoine Griezmann is the first quintuple-winning Newcastle manager to score in Euro 2020.</v>
      </c>
      <c r="AH22" s="39" t="s">
        <v>17</v>
      </c>
      <c r="AK22" s="5"/>
      <c r="AN22" s="5"/>
      <c r="AO22" s="40"/>
      <c r="AP22" s="5"/>
      <c r="AQ22" s="5"/>
      <c r="AR22" s="40"/>
      <c r="AS22" s="5"/>
      <c r="AT22" s="5"/>
      <c r="AU22" s="40"/>
      <c r="AV22" s="5"/>
      <c r="AW22" s="5"/>
      <c r="AX22" s="40"/>
      <c r="AY22" s="5"/>
      <c r="AZ22" s="5"/>
      <c r="BA22" s="40"/>
      <c r="BB22" s="5"/>
      <c r="BC22" s="5"/>
      <c r="BD22" s="40"/>
      <c r="BE22" s="5"/>
      <c r="BF22" s="5"/>
      <c r="BG22" s="40"/>
      <c r="BH22" s="5"/>
      <c r="BI22" s="5"/>
      <c r="BJ22" s="40"/>
      <c r="BK22" s="5"/>
      <c r="BL22" s="5"/>
      <c r="BM22" s="40"/>
      <c r="BN22" s="5"/>
      <c r="BO22" s="5"/>
      <c r="BP22" s="40"/>
      <c r="BQ22" s="5"/>
      <c r="BR22" s="5"/>
      <c r="BS22" s="40"/>
      <c r="BT22" s="5"/>
      <c r="BU22" s="5"/>
      <c r="BV22" s="40"/>
      <c r="BW22" s="5"/>
      <c r="BX22" s="5"/>
      <c r="BY22" s="40"/>
      <c r="BZ22" s="5"/>
      <c r="CA22" s="5"/>
      <c r="CB22" s="40"/>
      <c r="CC22" s="5"/>
      <c r="CD22" s="5"/>
      <c r="CE22" s="40"/>
      <c r="CF22" s="5"/>
      <c r="CG22" s="5"/>
      <c r="CH22" s="40"/>
      <c r="CI22" s="5"/>
      <c r="CJ22" s="5"/>
      <c r="CK22" s="40"/>
      <c r="CL22" s="5"/>
      <c r="CM22" s="5"/>
      <c r="CN22" s="40"/>
      <c r="CO22" s="5"/>
      <c r="CP22" s="5"/>
      <c r="CQ22" s="40"/>
      <c r="CR22" s="5"/>
      <c r="CS22" s="5"/>
      <c r="CT22" s="5"/>
      <c r="CU22" s="5"/>
      <c r="CV22" s="5"/>
      <c r="CW22" s="5"/>
      <c r="CX22" s="5"/>
      <c r="CY22" s="5"/>
      <c r="CZ22" s="5"/>
      <c r="DA22" s="5"/>
      <c r="DB22" s="5"/>
      <c r="DC22" s="5"/>
      <c r="DD22" s="5"/>
      <c r="DE22" s="5"/>
      <c r="DF22" s="5"/>
    </row>
    <row r="23">
      <c r="A23" s="19" t="s">
        <v>53</v>
      </c>
      <c r="B23" s="19" t="s">
        <v>54</v>
      </c>
      <c r="C23" s="21">
        <f t="shared" si="65"/>
        <v>7</v>
      </c>
      <c r="D23" s="26">
        <f>IFERROR(__xludf.DUMMYFUNCTION("IF(C23, COUNTIF(FILTER($D$26:$D1007, $A$26:$A1007=A23), TRUE)/C23, 0)"),0.5714285714285714)</f>
        <v>0.5714285714</v>
      </c>
      <c r="G23" s="5"/>
      <c r="J23" s="5"/>
      <c r="M23" s="5"/>
      <c r="P23" s="5"/>
      <c r="Q23" s="40">
        <f>IFERROR(__xludf.DUMMYFUNCTION("""COMPUTED_VALUE"""),44366.60853009259)</f>
        <v>44366.60853</v>
      </c>
      <c r="R23" s="5" t="str">
        <f>IFERROR(__xludf.DUMMYFUNCTION("""COMPUTED_VALUE"""),"Roland Sallai is the most fouled player in the match (6 times). #HUN. Sallai good player. Roland Sallai is a good player mayn.")</f>
        <v>Roland Sallai is the most fouled player in the match (6 times). #HUN. Sallai good player. Roland Sallai is a good player mayn.</v>
      </c>
      <c r="S23" s="39" t="s">
        <v>18</v>
      </c>
      <c r="T23" s="40">
        <f>IFERROR(__xludf.DUMMYFUNCTION("""COMPUTED_VALUE"""),44366.62103009259)</f>
        <v>44366.62103</v>
      </c>
      <c r="U23" s="5" t="str">
        <f>IFERROR(__xludf.DUMMYFUNCTION("""COMPUTED_VALUE"""),"Giroud just stands in the box and waits for a loose ball to pounce on. ""Don't pass it to Benzema.."" Oh wait that's me..")</f>
        <v>Giroud just stands in the box and waits for a loose ball to pounce on. "Don't pass it to Benzema.." Oh wait that's me..</v>
      </c>
      <c r="V23" s="39" t="s">
        <v>18</v>
      </c>
      <c r="Y23" s="5"/>
      <c r="AB23" s="5"/>
      <c r="AE23" s="5"/>
      <c r="AF23" s="40">
        <f>IFERROR(__xludf.DUMMYFUNCTION("""COMPUTED_VALUE"""),44366.605104166665)</f>
        <v>44366.6051</v>
      </c>
      <c r="AG23" s="5" t="str">
        <f>IFERROR(__xludf.DUMMYFUNCTION("""COMPUTED_VALUE"""),"Mbappe really doing well. France might win this game.")</f>
        <v>Mbappe really doing well. France might win this game.</v>
      </c>
      <c r="AH23" s="39" t="s">
        <v>15</v>
      </c>
      <c r="AK23" s="5"/>
      <c r="AN23" s="5"/>
      <c r="AO23" s="40"/>
      <c r="AP23" s="5"/>
      <c r="AQ23" s="5"/>
      <c r="AR23" s="40"/>
      <c r="AS23" s="5"/>
      <c r="AT23" s="5"/>
      <c r="AU23" s="40"/>
      <c r="AV23" s="5"/>
      <c r="AW23" s="5"/>
      <c r="AX23" s="40"/>
      <c r="AY23" s="5"/>
      <c r="AZ23" s="5"/>
      <c r="BA23" s="40"/>
      <c r="BB23" s="5"/>
      <c r="BC23" s="5"/>
      <c r="BD23" s="40"/>
      <c r="BE23" s="5"/>
      <c r="BF23" s="5"/>
      <c r="BG23" s="40"/>
      <c r="BH23" s="5"/>
      <c r="BI23" s="5"/>
      <c r="BJ23" s="40"/>
      <c r="BK23" s="5"/>
      <c r="BL23" s="5"/>
      <c r="BM23" s="40"/>
      <c r="BN23" s="5"/>
      <c r="BO23" s="5"/>
      <c r="BP23" s="40"/>
      <c r="BQ23" s="5"/>
      <c r="BR23" s="5"/>
      <c r="BS23" s="40"/>
      <c r="BT23" s="5"/>
      <c r="BU23" s="5"/>
      <c r="BV23" s="40"/>
      <c r="BW23" s="5"/>
      <c r="BX23" s="5"/>
      <c r="BY23" s="40"/>
      <c r="BZ23" s="5"/>
      <c r="CA23" s="5"/>
      <c r="CB23" s="40"/>
      <c r="CC23" s="5"/>
      <c r="CD23" s="5"/>
      <c r="CE23" s="40"/>
      <c r="CF23" s="5"/>
      <c r="CG23" s="5"/>
      <c r="CH23" s="40"/>
      <c r="CI23" s="5"/>
      <c r="CJ23" s="5"/>
      <c r="CK23" s="40"/>
      <c r="CL23" s="5"/>
      <c r="CM23" s="5"/>
      <c r="CN23" s="40"/>
      <c r="CO23" s="5"/>
      <c r="CP23" s="5"/>
      <c r="CQ23" s="40"/>
      <c r="CR23" s="5"/>
      <c r="CS23" s="5"/>
      <c r="CT23" s="5"/>
      <c r="CU23" s="5"/>
      <c r="CV23" s="5"/>
      <c r="CW23" s="5"/>
      <c r="CX23" s="5"/>
      <c r="CY23" s="5"/>
      <c r="CZ23" s="5"/>
      <c r="DA23" s="5"/>
      <c r="DB23" s="5"/>
      <c r="DC23" s="5"/>
      <c r="DD23" s="5"/>
      <c r="DE23" s="5"/>
      <c r="DF23" s="5"/>
    </row>
    <row r="24">
      <c r="A24" s="19"/>
      <c r="B24" s="14" t="s">
        <v>55</v>
      </c>
      <c r="C24" s="34">
        <f>SUM(C20:C23)</f>
        <v>15</v>
      </c>
      <c r="D24" s="26">
        <f>COUNTIF($D$26:$D1007, TRUE)/C24</f>
        <v>0.6</v>
      </c>
      <c r="G24" s="5"/>
      <c r="J24" s="5"/>
      <c r="M24" s="5"/>
      <c r="P24" s="5"/>
      <c r="Q24" s="40">
        <f>IFERROR(__xludf.DUMMYFUNCTION("""COMPUTED_VALUE"""),44366.61040509259)</f>
        <v>44366.61041</v>
      </c>
      <c r="R24" s="5" t="str">
        <f>IFERROR(__xludf.DUMMYFUNCTION("""COMPUTED_VALUE"""),"On my knees for a Giroud goal 🤞. How are you bringing on Giroud but taking off Pogba ?¿ 😞. Chelsea fans are saying Giroud over Benzema forgetting Giroud played 2018 World Cup and got 0 shots on target. Kwasia player sei.")</f>
        <v>On my knees for a Giroud goal 🤞. How are you bringing on Giroud but taking off Pogba ?¿ 😞. Chelsea fans are saying Giroud over Benzema forgetting Giroud played 2018 World Cup and got 0 shots on target. Kwasia player sei.</v>
      </c>
      <c r="S24" s="39" t="s">
        <v>17</v>
      </c>
      <c r="T24" s="40">
        <f>IFERROR(__xludf.DUMMYFUNCTION("""COMPUTED_VALUE"""),44366.62230324074)</f>
        <v>44366.6223</v>
      </c>
      <c r="U24" s="5" t="str">
        <f>IFERROR(__xludf.DUMMYFUNCTION("""COMPUTED_VALUE"""),"Deschamps ball. Deschamps ball 😳. Varane always gets in the end of crosses and set pieces and barely scores. Mbappe disasterclass. This guy aint touching Rashford. Giroud barely got a pass. #HUNFRA. Lemar really passed there at the end instead of crossin"&amp;"g it in 🤣🤣.")</f>
        <v>Deschamps ball. Deschamps ball 😳. Varane always gets in the end of crosses and set pieces and barely scores. Mbappe disasterclass. This guy aint touching Rashford. Giroud barely got a pass. #HUNFRA. Lemar really passed there at the end instead of crossing it in 🤣🤣.</v>
      </c>
      <c r="V24" s="39" t="s">
        <v>18</v>
      </c>
      <c r="Y24" s="5"/>
      <c r="AB24" s="5"/>
      <c r="AE24" s="5"/>
      <c r="AF24" s="40">
        <f>IFERROR(__xludf.DUMMYFUNCTION("""COMPUTED_VALUE"""),44366.607928240745)</f>
        <v>44366.60793</v>
      </c>
      <c r="AG24" s="5" t="str">
        <f>IFERROR(__xludf.DUMMYFUNCTION("""COMPUTED_VALUE"""),"Giroud finally coming on about 75 minutes to late EURO 2020. Finally Giroud. Get in the fucking bin Benzema. Pogba off Giroud on. France winning 1:4 now. 😢. Giroud has to be one of the top 5 hottest football players currently playing #FRA.")</f>
        <v>Giroud finally coming on about 75 minutes to late EURO 2020. Finally Giroud. Get in the fucking bin Benzema. Pogba off Giroud on. France winning 1:4 now. 😢. Giroud has to be one of the top 5 hottest football players currently playing #FRA.</v>
      </c>
      <c r="AH24" s="39" t="s">
        <v>17</v>
      </c>
      <c r="AK24" s="5"/>
      <c r="AN24" s="5"/>
      <c r="AO24" s="40"/>
      <c r="AP24" s="5"/>
      <c r="AQ24" s="5"/>
      <c r="AR24" s="40"/>
      <c r="AS24" s="5"/>
      <c r="AT24" s="5"/>
      <c r="AU24" s="40"/>
      <c r="AV24" s="5"/>
      <c r="AW24" s="5"/>
      <c r="AX24" s="40"/>
      <c r="AY24" s="5"/>
      <c r="AZ24" s="5"/>
      <c r="BA24" s="40"/>
      <c r="BB24" s="5"/>
      <c r="BC24" s="5"/>
      <c r="BD24" s="40"/>
      <c r="BE24" s="5"/>
      <c r="BF24" s="5"/>
      <c r="BG24" s="40"/>
      <c r="BH24" s="5"/>
      <c r="BI24" s="5"/>
      <c r="BJ24" s="40"/>
      <c r="BK24" s="5"/>
      <c r="BL24" s="5"/>
      <c r="BM24" s="40"/>
      <c r="BN24" s="5"/>
      <c r="BO24" s="5"/>
      <c r="BP24" s="40"/>
      <c r="BQ24" s="5"/>
      <c r="BR24" s="5"/>
      <c r="BS24" s="40"/>
      <c r="BT24" s="5"/>
      <c r="BU24" s="5"/>
      <c r="BV24" s="40"/>
      <c r="BW24" s="5"/>
      <c r="BX24" s="5"/>
      <c r="BY24" s="40"/>
      <c r="BZ24" s="5"/>
      <c r="CA24" s="5"/>
      <c r="CB24" s="40"/>
      <c r="CC24" s="5"/>
      <c r="CD24" s="5"/>
      <c r="CE24" s="40"/>
      <c r="CF24" s="5"/>
      <c r="CG24" s="5"/>
      <c r="CH24" s="40"/>
      <c r="CI24" s="5"/>
      <c r="CJ24" s="5"/>
      <c r="CK24" s="40"/>
      <c r="CL24" s="5"/>
      <c r="CM24" s="5"/>
      <c r="CN24" s="40"/>
      <c r="CO24" s="5"/>
      <c r="CP24" s="5"/>
      <c r="CQ24" s="40"/>
      <c r="CR24" s="5"/>
      <c r="CS24" s="5"/>
      <c r="CT24" s="5"/>
      <c r="CU24" s="5"/>
      <c r="CV24" s="5"/>
      <c r="CW24" s="5"/>
      <c r="CX24" s="5"/>
      <c r="CY24" s="5"/>
      <c r="CZ24" s="5"/>
      <c r="DA24" s="5"/>
      <c r="DB24" s="5"/>
      <c r="DC24" s="5"/>
      <c r="DD24" s="5"/>
      <c r="DE24" s="5"/>
      <c r="DF24" s="5"/>
    </row>
    <row r="25">
      <c r="A25" s="14" t="s">
        <v>56</v>
      </c>
      <c r="B25" s="14" t="s">
        <v>57</v>
      </c>
      <c r="C25" s="14" t="s">
        <v>58</v>
      </c>
      <c r="D25" s="32" t="s">
        <v>59</v>
      </c>
      <c r="G25" s="5"/>
      <c r="J25" s="5"/>
      <c r="M25" s="5"/>
      <c r="P25" s="5"/>
      <c r="Q25" s="40">
        <f>IFERROR(__xludf.DUMMYFUNCTION("""COMPUTED_VALUE"""),44366.6184375)</f>
        <v>44366.61844</v>
      </c>
      <c r="R25" s="5" t="str">
        <f>IFERROR(__xludf.DUMMYFUNCTION("""COMPUTED_VALUE"""),"Real Madrid asking £80M for Varane is a scam. I’d rather take Pau Torres tbh. Christian Pulisic. Marco Reus. Ousmane Dembele. Talented players that struggle to stay fit... Dembele asking Deschamps why he subbed him on just to take him off.")</f>
        <v>Real Madrid asking £80M for Varane is a scam. I’d rather take Pau Torres tbh. Christian Pulisic. Marco Reus. Ousmane Dembele. Talented players that struggle to stay fit... Dembele asking Deschamps why he subbed him on just to take him off.</v>
      </c>
      <c r="S25" s="39" t="s">
        <v>17</v>
      </c>
      <c r="V25" s="5"/>
      <c r="Y25" s="5"/>
      <c r="AB25" s="5"/>
      <c r="AE25" s="5"/>
      <c r="AF25" s="40">
        <f>IFERROR(__xludf.DUMMYFUNCTION("""COMPUTED_VALUE"""),44366.61409722222)</f>
        <v>44366.6141</v>
      </c>
      <c r="AG25" s="5" t="str">
        <f>IFERROR(__xludf.DUMMYFUNCTION("""COMPUTED_VALUE"""),"Mbappe just might be a good footballer. Oooh boy how has Mbappe not scored there. Starting to think my 4-0 France win might be unlikely #FRA. France might not get the win but Greizmann n Mbappe look like they’ve arrived.")</f>
        <v>Mbappe just might be a good footballer. Oooh boy how has Mbappe not scored there. Starting to think my 4-0 France win might be unlikely #FRA. France might not get the win but Greizmann n Mbappe look like they’ve arrived.</v>
      </c>
      <c r="AH25" s="39" t="s">
        <v>18</v>
      </c>
      <c r="AK25" s="5"/>
      <c r="AN25" s="5"/>
      <c r="AO25" s="40"/>
      <c r="AP25" s="5"/>
      <c r="AQ25" s="5"/>
      <c r="AR25" s="40"/>
      <c r="AS25" s="5"/>
      <c r="AT25" s="5"/>
      <c r="AU25" s="40"/>
      <c r="AV25" s="5"/>
      <c r="AW25" s="5"/>
      <c r="AX25" s="40"/>
      <c r="AY25" s="5"/>
      <c r="AZ25" s="5"/>
      <c r="BA25" s="40"/>
      <c r="BB25" s="5"/>
      <c r="BC25" s="5"/>
      <c r="BD25" s="40"/>
      <c r="BE25" s="5"/>
      <c r="BF25" s="5"/>
      <c r="BG25" s="40"/>
      <c r="BH25" s="5"/>
      <c r="BI25" s="5"/>
      <c r="BJ25" s="40"/>
      <c r="BK25" s="5"/>
      <c r="BL25" s="5"/>
      <c r="BM25" s="40"/>
      <c r="BN25" s="5"/>
      <c r="BO25" s="5"/>
      <c r="BP25" s="40"/>
      <c r="BQ25" s="5"/>
      <c r="BR25" s="5"/>
      <c r="BS25" s="40"/>
      <c r="BT25" s="5"/>
      <c r="BU25" s="5"/>
      <c r="BV25" s="40"/>
      <c r="BW25" s="5"/>
      <c r="BX25" s="5"/>
      <c r="BY25" s="40"/>
      <c r="BZ25" s="5"/>
      <c r="CA25" s="5"/>
      <c r="CB25" s="40"/>
      <c r="CC25" s="5"/>
      <c r="CD25" s="5"/>
      <c r="CE25" s="40"/>
      <c r="CF25" s="5"/>
      <c r="CG25" s="5"/>
      <c r="CH25" s="40"/>
      <c r="CI25" s="5"/>
      <c r="CJ25" s="5"/>
      <c r="CK25" s="40"/>
      <c r="CL25" s="5"/>
      <c r="CM25" s="5"/>
      <c r="CN25" s="40"/>
      <c r="CO25" s="5"/>
      <c r="CP25" s="5"/>
      <c r="CQ25" s="40"/>
      <c r="CR25" s="5"/>
      <c r="CS25" s="5"/>
      <c r="CT25" s="5"/>
      <c r="CU25" s="5"/>
      <c r="CV25" s="5"/>
      <c r="CW25" s="5"/>
      <c r="CX25" s="5"/>
      <c r="CY25" s="5"/>
      <c r="CZ25" s="5"/>
      <c r="DA25" s="5"/>
      <c r="DB25" s="5"/>
      <c r="DC25" s="5"/>
      <c r="DD25" s="5"/>
      <c r="DE25" s="5"/>
      <c r="DF25" s="5"/>
    </row>
    <row r="26">
      <c r="A26" s="19" t="s">
        <v>51</v>
      </c>
      <c r="B26" s="19" t="s">
        <v>60</v>
      </c>
      <c r="C26" s="21">
        <v>1.0</v>
      </c>
      <c r="D26" s="35" t="b">
        <v>1</v>
      </c>
      <c r="G26" s="5"/>
      <c r="J26" s="5"/>
      <c r="M26" s="5"/>
      <c r="P26" s="5"/>
      <c r="Q26" s="40">
        <f>IFERROR(__xludf.DUMMYFUNCTION("""COMPUTED_VALUE"""),44366.62252314815)</f>
        <v>44366.62252</v>
      </c>
      <c r="R26" s="5" t="str">
        <f>IFERROR(__xludf.DUMMYFUNCTION("""COMPUTED_VALUE"""),"Pogba best player in the world? WHAT A RESULT AND A MASSIVE POINT TO TAKE AWAY FOR HUNGARY AGAINST WORLD CHAMPIONS FRANCE #HUNFRA Euro 2020. #HUN 1-1 #FRA FT: It finishes level in Budapest as Hungary take a point from the World Cup Champions..")</f>
        <v>Pogba best player in the world? WHAT A RESULT AND A MASSIVE POINT TO TAKE AWAY FOR HUNGARY AGAINST WORLD CHAMPIONS FRANCE #HUNFRA Euro 2020. #HUN 1-1 #FRA FT: It finishes level in Budapest as Hungary take a point from the World Cup Champions..</v>
      </c>
      <c r="S26" s="39" t="s">
        <v>17</v>
      </c>
      <c r="V26" s="5"/>
      <c r="Y26" s="5"/>
      <c r="AB26" s="5"/>
      <c r="AE26" s="5"/>
      <c r="AF26" s="40">
        <f>IFERROR(__xludf.DUMMYFUNCTION("""COMPUTED_VALUE"""),44366.61849537037)</f>
        <v>44366.6185</v>
      </c>
      <c r="AG26" s="5" t="str">
        <f>IFERROR(__xludf.DUMMYFUNCTION("""COMPUTED_VALUE"""),"Kante’s been smiling so well how are they not winning. Pogba and Kante pivot about to finally lose. I’m happy Toyin dropped his Kante agenda after that UCL win or? 👀. If kante wins the Ballon Dor im not watching football anymore.")</f>
        <v>Kante’s been smiling so well how are they not winning. Pogba and Kante pivot about to finally lose. I’m happy Toyin dropped his Kante agenda after that UCL win or? 👀. If kante wins the Ballon Dor im not watching football anymore.</v>
      </c>
      <c r="AH26" s="39" t="s">
        <v>1147</v>
      </c>
      <c r="AK26" s="5"/>
      <c r="AN26" s="5"/>
      <c r="AO26" s="40"/>
      <c r="AP26" s="5"/>
      <c r="AQ26" s="5"/>
      <c r="AR26" s="40"/>
      <c r="AS26" s="5"/>
      <c r="AT26" s="5"/>
      <c r="AU26" s="40"/>
      <c r="AV26" s="5"/>
      <c r="AW26" s="5"/>
      <c r="AX26" s="40"/>
      <c r="AY26" s="5"/>
      <c r="AZ26" s="5"/>
      <c r="BA26" s="40"/>
      <c r="BB26" s="5"/>
      <c r="BC26" s="5"/>
      <c r="BD26" s="40"/>
      <c r="BE26" s="5"/>
      <c r="BF26" s="5"/>
      <c r="BG26" s="40"/>
      <c r="BH26" s="5"/>
      <c r="BI26" s="5"/>
      <c r="BJ26" s="40"/>
      <c r="BK26" s="5"/>
      <c r="BL26" s="5"/>
      <c r="BM26" s="40"/>
      <c r="BN26" s="5"/>
      <c r="BO26" s="5"/>
      <c r="BP26" s="40"/>
      <c r="BQ26" s="5"/>
      <c r="BR26" s="5"/>
      <c r="BS26" s="40"/>
      <c r="BT26" s="5"/>
      <c r="BU26" s="5"/>
      <c r="BV26" s="40"/>
      <c r="BW26" s="5"/>
      <c r="BX26" s="5"/>
      <c r="BY26" s="40"/>
      <c r="BZ26" s="5"/>
      <c r="CA26" s="5"/>
      <c r="CB26" s="40"/>
      <c r="CC26" s="5"/>
      <c r="CD26" s="5"/>
      <c r="CE26" s="40"/>
      <c r="CF26" s="5"/>
      <c r="CG26" s="5"/>
      <c r="CH26" s="40"/>
      <c r="CI26" s="5"/>
      <c r="CJ26" s="5"/>
      <c r="CK26" s="40"/>
      <c r="CL26" s="5"/>
      <c r="CM26" s="5"/>
      <c r="CN26" s="40"/>
      <c r="CO26" s="5"/>
      <c r="CP26" s="5"/>
      <c r="CQ26" s="40"/>
      <c r="CR26" s="5"/>
      <c r="CS26" s="5"/>
      <c r="CT26" s="5"/>
      <c r="CU26" s="5"/>
      <c r="CV26" s="5"/>
      <c r="CW26" s="5"/>
      <c r="CX26" s="5"/>
      <c r="CY26" s="5"/>
      <c r="CZ26" s="5"/>
      <c r="DA26" s="5"/>
      <c r="DB26" s="5"/>
      <c r="DC26" s="5"/>
      <c r="DD26" s="5"/>
      <c r="DE26" s="5"/>
      <c r="DF26" s="5"/>
    </row>
    <row r="27">
      <c r="A27" s="19" t="s">
        <v>49</v>
      </c>
      <c r="B27" s="19" t="s">
        <v>61</v>
      </c>
      <c r="C27" s="21">
        <v>10.0</v>
      </c>
      <c r="D27" s="35" t="b">
        <v>1</v>
      </c>
      <c r="G27" s="5"/>
      <c r="J27" s="5"/>
      <c r="M27" s="5"/>
      <c r="P27" s="5"/>
      <c r="Q27" s="40">
        <f>IFERROR(__xludf.DUMMYFUNCTION("""COMPUTED_VALUE"""),44366.62396990741)</f>
        <v>44366.62397</v>
      </c>
      <c r="R27" s="5" t="str">
        <f>IFERROR(__xludf.DUMMYFUNCTION("""COMPUTED_VALUE"""),"Hungry players celebrating as if they are in the next round already #HUNFRA. And Hungry were hungry enough to take the draw. This french team can't covert but good job to the Hungarians. #HUNFRA. Euro 2021.")</f>
        <v>Hungry players celebrating as if they are in the next round already #HUNFRA. And Hungry were hungry enough to take the draw. This french team can't covert but good job to the Hungarians. #HUNFRA. Euro 2021.</v>
      </c>
      <c r="S27" s="5"/>
      <c r="V27" s="5"/>
      <c r="Y27" s="5"/>
      <c r="AB27" s="5"/>
      <c r="AE27" s="5"/>
      <c r="AF27" s="40">
        <f>IFERROR(__xludf.DUMMYFUNCTION("""COMPUTED_VALUE"""),44366.62217592592)</f>
        <v>44366.62218</v>
      </c>
      <c r="AG27" s="5" t="str">
        <f>IFERROR(__xludf.DUMMYFUNCTION("""COMPUTED_VALUE"""),"Start Giroud ➡️ win the World Cup. Start Benzema ➡️ can’t beat Hungary. 🤷‍♂️. Football fans when they see France and England have the same points Euro 2020. 1-1 against the World Champions. I can live with that. :-P #Hun #Fra.")</f>
        <v>Start Giroud ➡️ win the World Cup. Start Benzema ➡️ can’t beat Hungary. 🤷‍♂️. Football fans when they see France and England have the same points Euro 2020. 1-1 against the World Champions. I can live with that. :-P #Hun #Fra.</v>
      </c>
      <c r="AH27" s="39" t="s">
        <v>17</v>
      </c>
      <c r="AK27" s="5"/>
      <c r="AN27" s="5"/>
      <c r="AO27" s="40"/>
      <c r="AP27" s="5"/>
      <c r="AQ27" s="5"/>
      <c r="AR27" s="40"/>
      <c r="AS27" s="5"/>
      <c r="AT27" s="5"/>
      <c r="AU27" s="40"/>
      <c r="AV27" s="5"/>
      <c r="AW27" s="5"/>
      <c r="AX27" s="40"/>
      <c r="AY27" s="5"/>
      <c r="AZ27" s="5"/>
      <c r="BA27" s="40"/>
      <c r="BB27" s="5"/>
      <c r="BC27" s="5"/>
      <c r="BD27" s="40"/>
      <c r="BE27" s="5"/>
      <c r="BF27" s="5"/>
      <c r="BG27" s="40"/>
      <c r="BH27" s="5"/>
      <c r="BI27" s="5"/>
      <c r="BJ27" s="40"/>
      <c r="BK27" s="5"/>
      <c r="BL27" s="5"/>
      <c r="BM27" s="40"/>
      <c r="BN27" s="5"/>
      <c r="BO27" s="5"/>
      <c r="BP27" s="40"/>
      <c r="BQ27" s="5"/>
      <c r="BR27" s="5"/>
      <c r="BS27" s="40"/>
      <c r="BT27" s="5"/>
      <c r="BU27" s="5"/>
      <c r="BV27" s="40"/>
      <c r="BW27" s="5"/>
      <c r="BX27" s="5"/>
      <c r="BY27" s="40"/>
      <c r="BZ27" s="5"/>
      <c r="CA27" s="5"/>
      <c r="CB27" s="40"/>
      <c r="CC27" s="5"/>
      <c r="CD27" s="5"/>
      <c r="CE27" s="40"/>
      <c r="CF27" s="5"/>
      <c r="CG27" s="5"/>
      <c r="CH27" s="40"/>
      <c r="CI27" s="5"/>
      <c r="CJ27" s="5"/>
      <c r="CK27" s="40"/>
      <c r="CL27" s="5"/>
      <c r="CM27" s="5"/>
      <c r="CN27" s="40"/>
      <c r="CO27" s="5"/>
      <c r="CP27" s="5"/>
      <c r="CQ27" s="40"/>
      <c r="CR27" s="5"/>
      <c r="CS27" s="5"/>
      <c r="CT27" s="5"/>
      <c r="CU27" s="5"/>
      <c r="CV27" s="5"/>
      <c r="CW27" s="5"/>
      <c r="CX27" s="5"/>
      <c r="CY27" s="5"/>
      <c r="CZ27" s="5"/>
      <c r="DA27" s="5"/>
      <c r="DB27" s="5"/>
      <c r="DC27" s="5"/>
      <c r="DD27" s="5"/>
      <c r="DE27" s="5"/>
      <c r="DF27" s="5"/>
    </row>
    <row r="28">
      <c r="A28" s="19" t="s">
        <v>53</v>
      </c>
      <c r="B28" s="19" t="s">
        <v>62</v>
      </c>
      <c r="C28" s="21">
        <v>26.0</v>
      </c>
      <c r="D28" s="35" t="b">
        <v>0</v>
      </c>
      <c r="G28" s="5"/>
      <c r="J28" s="5"/>
      <c r="M28" s="5"/>
      <c r="P28" s="5"/>
      <c r="S28" s="5"/>
      <c r="V28" s="5"/>
      <c r="Y28" s="5"/>
      <c r="AB28" s="5"/>
      <c r="AE28" s="5"/>
      <c r="AH28" s="5"/>
      <c r="AK28" s="5"/>
      <c r="AN28" s="5"/>
      <c r="AO28" s="40"/>
      <c r="AP28" s="5"/>
      <c r="AQ28" s="5"/>
      <c r="AR28" s="40"/>
      <c r="AS28" s="5"/>
      <c r="AT28" s="5"/>
      <c r="AU28" s="40"/>
      <c r="AV28" s="5"/>
      <c r="AW28" s="5"/>
      <c r="AX28" s="40"/>
      <c r="AY28" s="5"/>
      <c r="AZ28" s="5"/>
      <c r="BA28" s="40"/>
      <c r="BB28" s="5"/>
      <c r="BC28" s="5"/>
      <c r="BD28" s="40"/>
      <c r="BE28" s="5"/>
      <c r="BF28" s="5"/>
      <c r="BG28" s="40"/>
      <c r="BH28" s="5"/>
      <c r="BI28" s="5"/>
      <c r="BJ28" s="40"/>
      <c r="BK28" s="5"/>
      <c r="BL28" s="5"/>
      <c r="BM28" s="40"/>
      <c r="BN28" s="5"/>
      <c r="BO28" s="5"/>
      <c r="BP28" s="40"/>
      <c r="BQ28" s="5"/>
      <c r="BR28" s="5"/>
      <c r="BS28" s="40"/>
      <c r="BT28" s="5"/>
      <c r="BU28" s="5"/>
      <c r="BV28" s="40"/>
      <c r="BW28" s="5"/>
      <c r="BX28" s="5"/>
      <c r="BY28" s="40"/>
      <c r="BZ28" s="5"/>
      <c r="CA28" s="5"/>
      <c r="CB28" s="40"/>
      <c r="CC28" s="5"/>
      <c r="CD28" s="5"/>
      <c r="CE28" s="40"/>
      <c r="CF28" s="5"/>
      <c r="CG28" s="5"/>
      <c r="CH28" s="40"/>
      <c r="CI28" s="5"/>
      <c r="CJ28" s="5"/>
      <c r="CK28" s="40"/>
      <c r="CL28" s="5"/>
      <c r="CM28" s="5"/>
      <c r="CN28" s="40"/>
      <c r="CO28" s="5"/>
      <c r="CP28" s="5"/>
      <c r="CQ28" s="40"/>
      <c r="CR28" s="5"/>
      <c r="CS28" s="5"/>
      <c r="CT28" s="5"/>
      <c r="CU28" s="5"/>
      <c r="CV28" s="5"/>
      <c r="CW28" s="5"/>
      <c r="CX28" s="5"/>
      <c r="CY28" s="5"/>
      <c r="CZ28" s="5"/>
      <c r="DA28" s="5"/>
      <c r="DB28" s="5"/>
      <c r="DC28" s="5"/>
      <c r="DD28" s="5"/>
      <c r="DE28" s="5"/>
      <c r="DF28" s="5"/>
    </row>
    <row r="29">
      <c r="A29" s="19" t="s">
        <v>47</v>
      </c>
      <c r="B29" s="19" t="s">
        <v>63</v>
      </c>
      <c r="C29" s="21">
        <v>45.0</v>
      </c>
      <c r="D29" s="35" t="b">
        <v>1</v>
      </c>
      <c r="G29" s="5"/>
      <c r="J29" s="5"/>
      <c r="M29" s="5"/>
      <c r="P29" s="5"/>
      <c r="S29" s="5"/>
      <c r="V29" s="5"/>
      <c r="Y29" s="5"/>
      <c r="AB29" s="5"/>
      <c r="AE29" s="5"/>
      <c r="AH29" s="5"/>
      <c r="AK29" s="5"/>
      <c r="AN29" s="5"/>
      <c r="AO29" s="40"/>
      <c r="AP29" s="5"/>
      <c r="AQ29" s="5"/>
      <c r="AR29" s="40"/>
      <c r="AS29" s="5"/>
      <c r="AT29" s="5"/>
      <c r="AU29" s="40"/>
      <c r="AV29" s="5"/>
      <c r="AW29" s="5"/>
      <c r="AX29" s="40"/>
      <c r="AY29" s="5"/>
      <c r="AZ29" s="5"/>
      <c r="BA29" s="40"/>
      <c r="BB29" s="5"/>
      <c r="BC29" s="5"/>
      <c r="BD29" s="40"/>
      <c r="BE29" s="5"/>
      <c r="BF29" s="5"/>
      <c r="BG29" s="40"/>
      <c r="BH29" s="5"/>
      <c r="BI29" s="5"/>
      <c r="BJ29" s="40"/>
      <c r="BK29" s="5"/>
      <c r="BL29" s="5"/>
      <c r="BM29" s="40"/>
      <c r="BN29" s="5"/>
      <c r="BO29" s="5"/>
      <c r="BP29" s="40"/>
      <c r="BQ29" s="5"/>
      <c r="BR29" s="5"/>
      <c r="BS29" s="40"/>
      <c r="BT29" s="5"/>
      <c r="BU29" s="5"/>
      <c r="BV29" s="40"/>
      <c r="BW29" s="5"/>
      <c r="BX29" s="5"/>
      <c r="BY29" s="40"/>
      <c r="BZ29" s="5"/>
      <c r="CA29" s="5"/>
      <c r="CB29" s="40"/>
      <c r="CC29" s="5"/>
      <c r="CD29" s="5"/>
      <c r="CE29" s="40"/>
      <c r="CF29" s="5"/>
      <c r="CG29" s="5"/>
      <c r="CH29" s="40"/>
      <c r="CI29" s="5"/>
      <c r="CJ29" s="5"/>
      <c r="CK29" s="40"/>
      <c r="CL29" s="5"/>
      <c r="CM29" s="5"/>
      <c r="CN29" s="40"/>
      <c r="CO29" s="5"/>
      <c r="CP29" s="5"/>
      <c r="CQ29" s="40"/>
      <c r="CR29" s="5"/>
      <c r="CS29" s="5"/>
      <c r="CT29" s="5"/>
      <c r="CU29" s="5"/>
      <c r="CV29" s="5"/>
      <c r="CW29" s="5"/>
      <c r="CX29" s="5"/>
      <c r="CY29" s="5"/>
      <c r="CZ29" s="5"/>
      <c r="DA29" s="5"/>
      <c r="DB29" s="5"/>
      <c r="DC29" s="5"/>
      <c r="DD29" s="5"/>
      <c r="DE29" s="5"/>
      <c r="DF29" s="5"/>
    </row>
    <row r="30">
      <c r="A30" s="19" t="s">
        <v>51</v>
      </c>
      <c r="B30" s="19" t="s">
        <v>64</v>
      </c>
      <c r="C30" s="21">
        <v>45.0</v>
      </c>
      <c r="D30" s="35" t="b">
        <v>0</v>
      </c>
      <c r="G30" s="5"/>
      <c r="J30" s="5"/>
      <c r="M30" s="5"/>
      <c r="P30" s="5"/>
      <c r="S30" s="5"/>
      <c r="V30" s="5"/>
      <c r="Y30" s="5"/>
      <c r="AB30" s="5"/>
      <c r="AE30" s="5"/>
      <c r="AH30" s="5"/>
      <c r="AK30" s="5"/>
      <c r="AN30" s="5"/>
      <c r="AO30" s="40"/>
      <c r="AP30" s="5"/>
      <c r="AQ30" s="5"/>
      <c r="AR30" s="40"/>
      <c r="AS30" s="5"/>
      <c r="AT30" s="5"/>
      <c r="AU30" s="40"/>
      <c r="AV30" s="5"/>
      <c r="AW30" s="5"/>
      <c r="AX30" s="40"/>
      <c r="AY30" s="5"/>
      <c r="AZ30" s="5"/>
      <c r="BA30" s="40"/>
      <c r="BB30" s="5"/>
      <c r="BC30" s="5"/>
      <c r="BD30" s="40"/>
      <c r="BE30" s="5"/>
      <c r="BF30" s="5"/>
      <c r="BG30" s="40"/>
      <c r="BH30" s="5"/>
      <c r="BI30" s="5"/>
      <c r="BJ30" s="40"/>
      <c r="BK30" s="5"/>
      <c r="BL30" s="5"/>
      <c r="BM30" s="40"/>
      <c r="BN30" s="5"/>
      <c r="BO30" s="5"/>
      <c r="BP30" s="40"/>
      <c r="BQ30" s="5"/>
      <c r="BR30" s="5"/>
      <c r="BS30" s="40"/>
      <c r="BT30" s="5"/>
      <c r="BU30" s="5"/>
      <c r="BV30" s="40"/>
      <c r="BW30" s="5"/>
      <c r="BX30" s="5"/>
      <c r="BY30" s="40"/>
      <c r="BZ30" s="5"/>
      <c r="CA30" s="5"/>
      <c r="CB30" s="40"/>
      <c r="CC30" s="5"/>
      <c r="CD30" s="5"/>
      <c r="CE30" s="40"/>
      <c r="CF30" s="5"/>
      <c r="CG30" s="5"/>
      <c r="CH30" s="40"/>
      <c r="CI30" s="5"/>
      <c r="CJ30" s="5"/>
      <c r="CK30" s="40"/>
      <c r="CL30" s="5"/>
      <c r="CM30" s="5"/>
      <c r="CN30" s="40"/>
      <c r="CO30" s="5"/>
      <c r="CP30" s="5"/>
      <c r="CQ30" s="40"/>
      <c r="CR30" s="5"/>
      <c r="CS30" s="5"/>
      <c r="CT30" s="5"/>
      <c r="CU30" s="5"/>
      <c r="CV30" s="5"/>
      <c r="CW30" s="5"/>
      <c r="CX30" s="5"/>
      <c r="CY30" s="5"/>
      <c r="CZ30" s="5"/>
      <c r="DA30" s="5"/>
      <c r="DB30" s="5"/>
      <c r="DC30" s="5"/>
      <c r="DD30" s="5"/>
      <c r="DE30" s="5"/>
      <c r="DF30" s="5"/>
    </row>
    <row r="31">
      <c r="A31" s="19" t="s">
        <v>51</v>
      </c>
      <c r="B31" s="19" t="s">
        <v>65</v>
      </c>
      <c r="C31" s="21">
        <v>46.0</v>
      </c>
      <c r="D31" s="35" t="b">
        <v>0</v>
      </c>
      <c r="G31" s="5"/>
      <c r="J31" s="5"/>
      <c r="M31" s="5"/>
      <c r="P31" s="5"/>
      <c r="S31" s="5"/>
      <c r="V31" s="5"/>
      <c r="Y31" s="5"/>
      <c r="AB31" s="5"/>
      <c r="AE31" s="5"/>
      <c r="AH31" s="5"/>
      <c r="AK31" s="5"/>
      <c r="AN31" s="5"/>
      <c r="AO31" s="40"/>
      <c r="AP31" s="5"/>
      <c r="AQ31" s="5"/>
      <c r="AR31" s="40"/>
      <c r="AS31" s="5"/>
      <c r="AT31" s="5"/>
      <c r="AU31" s="40"/>
      <c r="AV31" s="5"/>
      <c r="AW31" s="5"/>
      <c r="AX31" s="40"/>
      <c r="AY31" s="5"/>
      <c r="AZ31" s="5"/>
      <c r="BA31" s="40"/>
      <c r="BB31" s="5"/>
      <c r="BC31" s="5"/>
      <c r="BD31" s="40"/>
      <c r="BE31" s="5"/>
      <c r="BF31" s="5"/>
      <c r="BG31" s="40"/>
      <c r="BH31" s="5"/>
      <c r="BI31" s="5"/>
      <c r="BJ31" s="40"/>
      <c r="BK31" s="5"/>
      <c r="BL31" s="5"/>
      <c r="BM31" s="40"/>
      <c r="BN31" s="5"/>
      <c r="BO31" s="5"/>
      <c r="BP31" s="40"/>
      <c r="BQ31" s="5"/>
      <c r="BR31" s="5"/>
      <c r="BS31" s="40"/>
      <c r="BT31" s="5"/>
      <c r="BU31" s="5"/>
      <c r="BV31" s="40"/>
      <c r="BW31" s="5"/>
      <c r="BX31" s="5"/>
      <c r="BY31" s="40"/>
      <c r="BZ31" s="5"/>
      <c r="CA31" s="5"/>
      <c r="CB31" s="40"/>
      <c r="CC31" s="5"/>
      <c r="CD31" s="5"/>
      <c r="CE31" s="40"/>
      <c r="CF31" s="5"/>
      <c r="CG31" s="5"/>
      <c r="CH31" s="40"/>
      <c r="CI31" s="5"/>
      <c r="CJ31" s="5"/>
      <c r="CK31" s="40"/>
      <c r="CL31" s="5"/>
      <c r="CM31" s="5"/>
      <c r="CN31" s="40"/>
      <c r="CO31" s="5"/>
      <c r="CP31" s="5"/>
      <c r="CQ31" s="40"/>
      <c r="CR31" s="5"/>
      <c r="CS31" s="5"/>
      <c r="CT31" s="5"/>
      <c r="CU31" s="5"/>
      <c r="CV31" s="5"/>
      <c r="CW31" s="5"/>
      <c r="CX31" s="5"/>
      <c r="CY31" s="5"/>
      <c r="CZ31" s="5"/>
      <c r="DA31" s="5"/>
      <c r="DB31" s="5"/>
      <c r="DC31" s="5"/>
      <c r="DD31" s="5"/>
      <c r="DE31" s="5"/>
      <c r="DF31" s="5"/>
    </row>
    <row r="32">
      <c r="A32" s="19" t="s">
        <v>49</v>
      </c>
      <c r="B32" s="19" t="s">
        <v>66</v>
      </c>
      <c r="C32" s="21">
        <v>52.0</v>
      </c>
      <c r="D32" s="35" t="b">
        <v>0</v>
      </c>
      <c r="G32" s="5"/>
      <c r="J32" s="5"/>
      <c r="M32" s="5"/>
      <c r="P32" s="5"/>
      <c r="S32" s="5"/>
      <c r="V32" s="5"/>
      <c r="Y32" s="5"/>
      <c r="AB32" s="5"/>
      <c r="AE32" s="5"/>
      <c r="AH32" s="5"/>
      <c r="AK32" s="5"/>
      <c r="AN32" s="5"/>
      <c r="AO32" s="40"/>
      <c r="AP32" s="5"/>
      <c r="AQ32" s="5"/>
      <c r="AR32" s="40"/>
      <c r="AS32" s="5"/>
      <c r="AT32" s="5"/>
      <c r="AU32" s="40"/>
      <c r="AV32" s="5"/>
      <c r="AW32" s="5"/>
      <c r="AX32" s="40"/>
      <c r="AY32" s="5"/>
      <c r="AZ32" s="5"/>
      <c r="BA32" s="40"/>
      <c r="BB32" s="5"/>
      <c r="BC32" s="5"/>
      <c r="BD32" s="40"/>
      <c r="BE32" s="5"/>
      <c r="BF32" s="5"/>
      <c r="BG32" s="40"/>
      <c r="BH32" s="5"/>
      <c r="BI32" s="5"/>
      <c r="BJ32" s="40"/>
      <c r="BK32" s="5"/>
      <c r="BL32" s="5"/>
      <c r="BM32" s="40"/>
      <c r="BN32" s="5"/>
      <c r="BO32" s="5"/>
      <c r="BP32" s="40"/>
      <c r="BQ32" s="5"/>
      <c r="BR32" s="5"/>
      <c r="BS32" s="40"/>
      <c r="BT32" s="5"/>
      <c r="BU32" s="5"/>
      <c r="BV32" s="40"/>
      <c r="BW32" s="5"/>
      <c r="BX32" s="5"/>
      <c r="BY32" s="40"/>
      <c r="BZ32" s="5"/>
      <c r="CA32" s="5"/>
      <c r="CB32" s="40"/>
      <c r="CC32" s="5"/>
      <c r="CD32" s="5"/>
      <c r="CE32" s="40"/>
      <c r="CF32" s="5"/>
      <c r="CG32" s="5"/>
      <c r="CH32" s="40"/>
      <c r="CI32" s="5"/>
      <c r="CJ32" s="5"/>
      <c r="CK32" s="40"/>
      <c r="CL32" s="5"/>
      <c r="CM32" s="5"/>
      <c r="CN32" s="40"/>
      <c r="CO32" s="5"/>
      <c r="CP32" s="5"/>
      <c r="CQ32" s="40"/>
      <c r="CR32" s="5"/>
      <c r="CS32" s="5"/>
      <c r="CT32" s="5"/>
      <c r="CU32" s="5"/>
      <c r="CV32" s="5"/>
      <c r="CW32" s="5"/>
      <c r="CX32" s="5"/>
      <c r="CY32" s="5"/>
      <c r="CZ32" s="5"/>
      <c r="DA32" s="5"/>
      <c r="DB32" s="5"/>
      <c r="DC32" s="5"/>
      <c r="DD32" s="5"/>
      <c r="DE32" s="5"/>
      <c r="DF32" s="5"/>
    </row>
    <row r="33">
      <c r="A33" s="19" t="s">
        <v>53</v>
      </c>
      <c r="B33" s="19" t="s">
        <v>67</v>
      </c>
      <c r="C33" s="21">
        <v>57.0</v>
      </c>
      <c r="D33" s="35" t="b">
        <v>1</v>
      </c>
      <c r="G33" s="5"/>
      <c r="J33" s="5"/>
      <c r="M33" s="5"/>
      <c r="P33" s="5"/>
      <c r="S33" s="5"/>
      <c r="V33" s="5"/>
      <c r="Y33" s="5"/>
      <c r="AB33" s="5"/>
      <c r="AE33" s="5"/>
      <c r="AH33" s="5"/>
      <c r="AK33" s="5"/>
      <c r="AN33" s="5"/>
      <c r="AO33" s="40"/>
      <c r="AP33" s="5"/>
      <c r="AQ33" s="5"/>
      <c r="AR33" s="40"/>
      <c r="AS33" s="5"/>
      <c r="AT33" s="5"/>
      <c r="AU33" s="40"/>
      <c r="AV33" s="5"/>
      <c r="AW33" s="5"/>
      <c r="AX33" s="40"/>
      <c r="AY33" s="5"/>
      <c r="AZ33" s="5"/>
      <c r="BA33" s="40"/>
      <c r="BB33" s="5"/>
      <c r="BC33" s="5"/>
      <c r="BD33" s="40"/>
      <c r="BE33" s="5"/>
      <c r="BF33" s="5"/>
      <c r="BG33" s="40"/>
      <c r="BH33" s="5"/>
      <c r="BI33" s="5"/>
      <c r="BJ33" s="40"/>
      <c r="BK33" s="5"/>
      <c r="BL33" s="5"/>
      <c r="BM33" s="40"/>
      <c r="BN33" s="5"/>
      <c r="BO33" s="5"/>
      <c r="BP33" s="40"/>
      <c r="BQ33" s="5"/>
      <c r="BR33" s="5"/>
      <c r="BS33" s="40"/>
      <c r="BT33" s="5"/>
      <c r="BU33" s="5"/>
      <c r="BV33" s="40"/>
      <c r="BW33" s="5"/>
      <c r="BX33" s="5"/>
      <c r="BY33" s="40"/>
      <c r="BZ33" s="5"/>
      <c r="CA33" s="5"/>
      <c r="CB33" s="40"/>
      <c r="CC33" s="5"/>
      <c r="CD33" s="5"/>
      <c r="CE33" s="40"/>
      <c r="CF33" s="5"/>
      <c r="CG33" s="5"/>
      <c r="CH33" s="40"/>
      <c r="CI33" s="5"/>
      <c r="CJ33" s="5"/>
      <c r="CK33" s="40"/>
      <c r="CL33" s="5"/>
      <c r="CM33" s="5"/>
      <c r="CN33" s="40"/>
      <c r="CO33" s="5"/>
      <c r="CP33" s="5"/>
      <c r="CQ33" s="40"/>
      <c r="CR33" s="5"/>
      <c r="CS33" s="5"/>
      <c r="CT33" s="5"/>
      <c r="CU33" s="5"/>
      <c r="CV33" s="5"/>
      <c r="CW33" s="5"/>
      <c r="CX33" s="5"/>
      <c r="CY33" s="5"/>
      <c r="CZ33" s="5"/>
      <c r="DA33" s="5"/>
      <c r="DB33" s="5"/>
      <c r="DC33" s="5"/>
      <c r="DD33" s="5"/>
      <c r="DE33" s="5"/>
      <c r="DF33" s="5"/>
    </row>
    <row r="34">
      <c r="A34" s="19" t="s">
        <v>47</v>
      </c>
      <c r="B34" s="19" t="s">
        <v>68</v>
      </c>
      <c r="C34" s="21">
        <v>66.0</v>
      </c>
      <c r="D34" s="35" t="b">
        <v>1</v>
      </c>
      <c r="G34" s="5"/>
      <c r="J34" s="5"/>
      <c r="M34" s="5"/>
      <c r="P34" s="5"/>
      <c r="S34" s="5"/>
      <c r="V34" s="5"/>
      <c r="Y34" s="5"/>
      <c r="AB34" s="5"/>
      <c r="AE34" s="5"/>
      <c r="AH34" s="5"/>
      <c r="AK34" s="5"/>
      <c r="AN34" s="5"/>
      <c r="AO34" s="40"/>
      <c r="AP34" s="5"/>
      <c r="AQ34" s="5"/>
      <c r="AR34" s="40"/>
      <c r="AS34" s="5"/>
      <c r="AT34" s="5"/>
      <c r="AU34" s="40"/>
      <c r="AV34" s="5"/>
      <c r="AW34" s="5"/>
      <c r="AX34" s="40"/>
      <c r="AY34" s="5"/>
      <c r="AZ34" s="5"/>
      <c r="BA34" s="40"/>
      <c r="BB34" s="5"/>
      <c r="BC34" s="5"/>
      <c r="BD34" s="40"/>
      <c r="BE34" s="5"/>
      <c r="BF34" s="5"/>
      <c r="BG34" s="40"/>
      <c r="BH34" s="5"/>
      <c r="BI34" s="5"/>
      <c r="BJ34" s="40"/>
      <c r="BK34" s="5"/>
      <c r="BL34" s="5"/>
      <c r="BM34" s="40"/>
      <c r="BN34" s="5"/>
      <c r="BO34" s="5"/>
      <c r="BP34" s="40"/>
      <c r="BQ34" s="5"/>
      <c r="BR34" s="5"/>
      <c r="BS34" s="40"/>
      <c r="BT34" s="5"/>
      <c r="BU34" s="5"/>
      <c r="BV34" s="40"/>
      <c r="BW34" s="5"/>
      <c r="BX34" s="5"/>
      <c r="BY34" s="40"/>
      <c r="BZ34" s="5"/>
      <c r="CA34" s="5"/>
      <c r="CB34" s="40"/>
      <c r="CC34" s="5"/>
      <c r="CD34" s="5"/>
      <c r="CE34" s="40"/>
      <c r="CF34" s="5"/>
      <c r="CG34" s="5"/>
      <c r="CH34" s="40"/>
      <c r="CI34" s="5"/>
      <c r="CJ34" s="5"/>
      <c r="CK34" s="40"/>
      <c r="CL34" s="5"/>
      <c r="CM34" s="5"/>
      <c r="CN34" s="40"/>
      <c r="CO34" s="5"/>
      <c r="CP34" s="5"/>
      <c r="CQ34" s="40"/>
      <c r="CR34" s="5"/>
      <c r="CS34" s="5"/>
      <c r="CT34" s="5"/>
      <c r="CU34" s="5"/>
      <c r="CV34" s="5"/>
      <c r="CW34" s="5"/>
      <c r="CX34" s="5"/>
      <c r="CY34" s="5"/>
      <c r="CZ34" s="5"/>
      <c r="DA34" s="5"/>
      <c r="DB34" s="5"/>
      <c r="DC34" s="5"/>
      <c r="DD34" s="5"/>
      <c r="DE34" s="5"/>
      <c r="DF34" s="5"/>
    </row>
    <row r="35">
      <c r="A35" s="19" t="s">
        <v>53</v>
      </c>
      <c r="B35" s="19" t="s">
        <v>69</v>
      </c>
      <c r="C35" s="21">
        <v>75.0</v>
      </c>
      <c r="D35" s="35" t="b">
        <v>0</v>
      </c>
      <c r="G35" s="5"/>
      <c r="J35" s="5"/>
      <c r="M35" s="5"/>
      <c r="P35" s="5"/>
      <c r="S35" s="5"/>
      <c r="V35" s="5"/>
      <c r="Y35" s="5"/>
      <c r="AB35" s="5"/>
      <c r="AE35" s="5"/>
      <c r="AH35" s="5"/>
      <c r="AK35" s="5"/>
      <c r="AN35" s="5"/>
      <c r="AO35" s="40"/>
      <c r="AP35" s="5"/>
      <c r="AQ35" s="5"/>
      <c r="AR35" s="40"/>
      <c r="AS35" s="5"/>
      <c r="AT35" s="5"/>
      <c r="AU35" s="40"/>
      <c r="AV35" s="5"/>
      <c r="AW35" s="5"/>
      <c r="AX35" s="40"/>
      <c r="AY35" s="5"/>
      <c r="AZ35" s="5"/>
      <c r="BA35" s="40"/>
      <c r="BB35" s="5"/>
      <c r="BC35" s="5"/>
      <c r="BD35" s="40"/>
      <c r="BE35" s="5"/>
      <c r="BF35" s="5"/>
      <c r="BG35" s="40"/>
      <c r="BH35" s="5"/>
      <c r="BI35" s="5"/>
      <c r="BJ35" s="40"/>
      <c r="BK35" s="5"/>
      <c r="BL35" s="5"/>
      <c r="BM35" s="40"/>
      <c r="BN35" s="5"/>
      <c r="BO35" s="5"/>
      <c r="BP35" s="40"/>
      <c r="BQ35" s="5"/>
      <c r="BR35" s="5"/>
      <c r="BS35" s="40"/>
      <c r="BT35" s="5"/>
      <c r="BU35" s="5"/>
      <c r="BV35" s="40"/>
      <c r="BW35" s="5"/>
      <c r="BX35" s="5"/>
      <c r="BY35" s="40"/>
      <c r="BZ35" s="5"/>
      <c r="CA35" s="5"/>
      <c r="CB35" s="40"/>
      <c r="CC35" s="5"/>
      <c r="CD35" s="5"/>
      <c r="CE35" s="40"/>
      <c r="CF35" s="5"/>
      <c r="CG35" s="5"/>
      <c r="CH35" s="40"/>
      <c r="CI35" s="5"/>
      <c r="CJ35" s="5"/>
      <c r="CK35" s="40"/>
      <c r="CL35" s="5"/>
      <c r="CM35" s="5"/>
      <c r="CN35" s="40"/>
      <c r="CO35" s="5"/>
      <c r="CP35" s="5"/>
      <c r="CQ35" s="40"/>
      <c r="CR35" s="5"/>
      <c r="CS35" s="5"/>
      <c r="CT35" s="5"/>
      <c r="CU35" s="5"/>
      <c r="CV35" s="5"/>
      <c r="CW35" s="5"/>
      <c r="CX35" s="5"/>
      <c r="CY35" s="5"/>
      <c r="CZ35" s="5"/>
      <c r="DA35" s="5"/>
      <c r="DB35" s="5"/>
      <c r="DC35" s="5"/>
      <c r="DD35" s="5"/>
      <c r="DE35" s="5"/>
      <c r="DF35" s="5"/>
    </row>
    <row r="36">
      <c r="A36" s="19" t="s">
        <v>53</v>
      </c>
      <c r="B36" s="19" t="s">
        <v>70</v>
      </c>
      <c r="C36" s="21">
        <v>76.0</v>
      </c>
      <c r="D36" s="35" t="b">
        <v>1</v>
      </c>
      <c r="G36" s="5"/>
      <c r="J36" s="5"/>
      <c r="M36" s="5"/>
      <c r="P36" s="5"/>
      <c r="S36" s="5"/>
      <c r="V36" s="5"/>
      <c r="Y36" s="5"/>
      <c r="AB36" s="5"/>
      <c r="AE36" s="5"/>
      <c r="AH36" s="5"/>
      <c r="AK36" s="5"/>
      <c r="AN36" s="5"/>
      <c r="AO36" s="40"/>
      <c r="AP36" s="5"/>
      <c r="AQ36" s="5"/>
      <c r="AR36" s="40"/>
      <c r="AS36" s="5"/>
      <c r="AT36" s="5"/>
      <c r="AU36" s="40"/>
      <c r="AV36" s="5"/>
      <c r="AW36" s="5"/>
      <c r="AX36" s="40"/>
      <c r="AY36" s="5"/>
      <c r="AZ36" s="5"/>
      <c r="BA36" s="40"/>
      <c r="BB36" s="5"/>
      <c r="BC36" s="5"/>
      <c r="BD36" s="40"/>
      <c r="BE36" s="5"/>
      <c r="BF36" s="5"/>
      <c r="BG36" s="40"/>
      <c r="BH36" s="5"/>
      <c r="BI36" s="5"/>
      <c r="BJ36" s="40"/>
      <c r="BK36" s="5"/>
      <c r="BL36" s="5"/>
      <c r="BM36" s="40"/>
      <c r="BN36" s="5"/>
      <c r="BO36" s="5"/>
      <c r="BP36" s="40"/>
      <c r="BQ36" s="5"/>
      <c r="BR36" s="5"/>
      <c r="BS36" s="40"/>
      <c r="BT36" s="5"/>
      <c r="BU36" s="5"/>
      <c r="BV36" s="40"/>
      <c r="BW36" s="5"/>
      <c r="BX36" s="5"/>
      <c r="BY36" s="40"/>
      <c r="BZ36" s="5"/>
      <c r="CA36" s="5"/>
      <c r="CB36" s="40"/>
      <c r="CC36" s="5"/>
      <c r="CD36" s="5"/>
      <c r="CE36" s="40"/>
      <c r="CF36" s="5"/>
      <c r="CG36" s="5"/>
      <c r="CH36" s="40"/>
      <c r="CI36" s="5"/>
      <c r="CJ36" s="5"/>
      <c r="CK36" s="40"/>
      <c r="CL36" s="5"/>
      <c r="CM36" s="5"/>
      <c r="CN36" s="40"/>
      <c r="CO36" s="5"/>
      <c r="CP36" s="5"/>
      <c r="CQ36" s="40"/>
      <c r="CR36" s="5"/>
      <c r="CS36" s="5"/>
      <c r="CT36" s="5"/>
      <c r="CU36" s="5"/>
      <c r="CV36" s="5"/>
      <c r="CW36" s="5"/>
      <c r="CX36" s="5"/>
      <c r="CY36" s="5"/>
      <c r="CZ36" s="5"/>
      <c r="DA36" s="5"/>
      <c r="DB36" s="5"/>
      <c r="DC36" s="5"/>
      <c r="DD36" s="5"/>
      <c r="DE36" s="5"/>
      <c r="DF36" s="5"/>
    </row>
    <row r="37">
      <c r="A37" s="19" t="s">
        <v>53</v>
      </c>
      <c r="B37" s="19" t="s">
        <v>71</v>
      </c>
      <c r="C37" s="21">
        <v>76.0</v>
      </c>
      <c r="D37" s="35" t="b">
        <v>1</v>
      </c>
      <c r="G37" s="5"/>
      <c r="J37" s="5"/>
      <c r="M37" s="5"/>
      <c r="P37" s="5"/>
      <c r="S37" s="5"/>
      <c r="V37" s="5"/>
      <c r="Y37" s="5"/>
      <c r="AB37" s="5"/>
      <c r="AE37" s="5"/>
      <c r="AH37" s="5"/>
      <c r="AK37" s="5"/>
      <c r="AN37" s="5"/>
      <c r="AO37" s="40"/>
      <c r="AP37" s="5"/>
      <c r="AQ37" s="5"/>
      <c r="AR37" s="40"/>
      <c r="AS37" s="5"/>
      <c r="AT37" s="5"/>
      <c r="AU37" s="40"/>
      <c r="AV37" s="5"/>
      <c r="AW37" s="5"/>
      <c r="AX37" s="40"/>
      <c r="AY37" s="5"/>
      <c r="AZ37" s="5"/>
      <c r="BA37" s="40"/>
      <c r="BB37" s="5"/>
      <c r="BC37" s="5"/>
      <c r="BD37" s="40"/>
      <c r="BE37" s="5"/>
      <c r="BF37" s="5"/>
      <c r="BG37" s="40"/>
      <c r="BH37" s="5"/>
      <c r="BI37" s="5"/>
      <c r="BJ37" s="40"/>
      <c r="BK37" s="5"/>
      <c r="BL37" s="5"/>
      <c r="BM37" s="40"/>
      <c r="BN37" s="5"/>
      <c r="BO37" s="5"/>
      <c r="BP37" s="40"/>
      <c r="BQ37" s="5"/>
      <c r="BR37" s="5"/>
      <c r="BS37" s="40"/>
      <c r="BT37" s="5"/>
      <c r="BU37" s="5"/>
      <c r="BV37" s="40"/>
      <c r="BW37" s="5"/>
      <c r="BX37" s="5"/>
      <c r="BY37" s="40"/>
      <c r="BZ37" s="5"/>
      <c r="CA37" s="5"/>
      <c r="CB37" s="40"/>
      <c r="CC37" s="5"/>
      <c r="CD37" s="5"/>
      <c r="CE37" s="40"/>
      <c r="CF37" s="5"/>
      <c r="CG37" s="5"/>
      <c r="CH37" s="40"/>
      <c r="CI37" s="5"/>
      <c r="CJ37" s="5"/>
      <c r="CK37" s="40"/>
      <c r="CL37" s="5"/>
      <c r="CM37" s="5"/>
      <c r="CN37" s="40"/>
      <c r="CO37" s="5"/>
      <c r="CP37" s="5"/>
      <c r="CQ37" s="40"/>
      <c r="CR37" s="5"/>
      <c r="CS37" s="5"/>
      <c r="CT37" s="5"/>
      <c r="CU37" s="5"/>
      <c r="CV37" s="5"/>
      <c r="CW37" s="5"/>
      <c r="CX37" s="5"/>
      <c r="CY37" s="5"/>
      <c r="CZ37" s="5"/>
      <c r="DA37" s="5"/>
      <c r="DB37" s="5"/>
      <c r="DC37" s="5"/>
      <c r="DD37" s="5"/>
      <c r="DE37" s="5"/>
      <c r="DF37" s="5"/>
    </row>
    <row r="38">
      <c r="A38" s="19" t="s">
        <v>53</v>
      </c>
      <c r="B38" s="19" t="s">
        <v>72</v>
      </c>
      <c r="C38" s="21">
        <v>84.0</v>
      </c>
      <c r="D38" s="35" t="b">
        <v>0</v>
      </c>
      <c r="G38" s="5"/>
      <c r="J38" s="5"/>
      <c r="M38" s="5"/>
      <c r="P38" s="5"/>
      <c r="S38" s="5"/>
      <c r="V38" s="5"/>
      <c r="Y38" s="5"/>
      <c r="AB38" s="5"/>
      <c r="AE38" s="5"/>
      <c r="AH38" s="5"/>
      <c r="AK38" s="5"/>
      <c r="AN38" s="5"/>
      <c r="AO38" s="40"/>
      <c r="AP38" s="5"/>
      <c r="AQ38" s="5"/>
      <c r="AR38" s="40"/>
      <c r="AS38" s="5"/>
      <c r="AT38" s="5"/>
      <c r="AU38" s="40"/>
      <c r="AV38" s="5"/>
      <c r="AW38" s="5"/>
      <c r="AX38" s="40"/>
      <c r="AY38" s="5"/>
      <c r="AZ38" s="5"/>
      <c r="BA38" s="40"/>
      <c r="BB38" s="5"/>
      <c r="BC38" s="5"/>
      <c r="BD38" s="40"/>
      <c r="BE38" s="5"/>
      <c r="BF38" s="5"/>
      <c r="BG38" s="40"/>
      <c r="BH38" s="5"/>
      <c r="BI38" s="5"/>
      <c r="BJ38" s="40"/>
      <c r="BK38" s="5"/>
      <c r="BL38" s="5"/>
      <c r="BM38" s="40"/>
      <c r="BN38" s="5"/>
      <c r="BO38" s="5"/>
      <c r="BP38" s="40"/>
      <c r="BQ38" s="5"/>
      <c r="BR38" s="5"/>
      <c r="BS38" s="40"/>
      <c r="BT38" s="5"/>
      <c r="BU38" s="5"/>
      <c r="BV38" s="40"/>
      <c r="BW38" s="5"/>
      <c r="BX38" s="5"/>
      <c r="BY38" s="40"/>
      <c r="BZ38" s="5"/>
      <c r="CA38" s="5"/>
      <c r="CB38" s="40"/>
      <c r="CC38" s="5"/>
      <c r="CD38" s="5"/>
      <c r="CE38" s="40"/>
      <c r="CF38" s="5"/>
      <c r="CG38" s="5"/>
      <c r="CH38" s="40"/>
      <c r="CI38" s="5"/>
      <c r="CJ38" s="5"/>
      <c r="CK38" s="40"/>
      <c r="CL38" s="5"/>
      <c r="CM38" s="5"/>
      <c r="CN38" s="40"/>
      <c r="CO38" s="5"/>
      <c r="CP38" s="5"/>
      <c r="CQ38" s="40"/>
      <c r="CR38" s="5"/>
      <c r="CS38" s="5"/>
      <c r="CT38" s="5"/>
      <c r="CU38" s="5"/>
      <c r="CV38" s="5"/>
      <c r="CW38" s="5"/>
      <c r="CX38" s="5"/>
      <c r="CY38" s="5"/>
      <c r="CZ38" s="5"/>
      <c r="DA38" s="5"/>
      <c r="DB38" s="5"/>
      <c r="DC38" s="5"/>
      <c r="DD38" s="5"/>
      <c r="DE38" s="5"/>
      <c r="DF38" s="5"/>
    </row>
    <row r="39">
      <c r="A39" s="19" t="s">
        <v>53</v>
      </c>
      <c r="B39" s="19" t="s">
        <v>73</v>
      </c>
      <c r="C39" s="21">
        <v>87.0</v>
      </c>
      <c r="D39" s="35" t="b">
        <v>1</v>
      </c>
      <c r="G39" s="5"/>
      <c r="J39" s="5"/>
      <c r="M39" s="5"/>
      <c r="P39" s="5"/>
      <c r="S39" s="5"/>
      <c r="V39" s="5"/>
      <c r="Y39" s="5"/>
      <c r="AB39" s="5"/>
      <c r="AE39" s="5"/>
      <c r="AH39" s="5"/>
      <c r="AK39" s="5"/>
      <c r="AN39" s="5"/>
      <c r="AO39" s="40"/>
      <c r="AP39" s="5"/>
      <c r="AQ39" s="5"/>
      <c r="AR39" s="40"/>
      <c r="AS39" s="5"/>
      <c r="AT39" s="5"/>
      <c r="AU39" s="40"/>
      <c r="AV39" s="5"/>
      <c r="AW39" s="5"/>
      <c r="AX39" s="40"/>
      <c r="AY39" s="5"/>
      <c r="AZ39" s="5"/>
      <c r="BA39" s="40"/>
      <c r="BB39" s="5"/>
      <c r="BC39" s="5"/>
      <c r="BD39" s="40"/>
      <c r="BE39" s="5"/>
      <c r="BF39" s="5"/>
      <c r="BG39" s="40"/>
      <c r="BH39" s="5"/>
      <c r="BI39" s="5"/>
      <c r="BJ39" s="40"/>
      <c r="BK39" s="5"/>
      <c r="BL39" s="5"/>
      <c r="BM39" s="40"/>
      <c r="BN39" s="5"/>
      <c r="BO39" s="5"/>
      <c r="BP39" s="40"/>
      <c r="BQ39" s="5"/>
      <c r="BR39" s="5"/>
      <c r="BS39" s="40"/>
      <c r="BT39" s="5"/>
      <c r="BU39" s="5"/>
      <c r="BV39" s="40"/>
      <c r="BW39" s="5"/>
      <c r="BX39" s="5"/>
      <c r="BY39" s="40"/>
      <c r="BZ39" s="5"/>
      <c r="CA39" s="5"/>
      <c r="CB39" s="40"/>
      <c r="CC39" s="5"/>
      <c r="CD39" s="5"/>
      <c r="CE39" s="40"/>
      <c r="CF39" s="5"/>
      <c r="CG39" s="5"/>
      <c r="CH39" s="40"/>
      <c r="CI39" s="5"/>
      <c r="CJ39" s="5"/>
      <c r="CK39" s="40"/>
      <c r="CL39" s="5"/>
      <c r="CM39" s="5"/>
      <c r="CN39" s="40"/>
      <c r="CO39" s="5"/>
      <c r="CP39" s="5"/>
      <c r="CQ39" s="40"/>
      <c r="CR39" s="5"/>
      <c r="CS39" s="5"/>
      <c r="CT39" s="5"/>
      <c r="CU39" s="5"/>
      <c r="CV39" s="5"/>
      <c r="CW39" s="5"/>
      <c r="CX39" s="5"/>
      <c r="CY39" s="5"/>
      <c r="CZ39" s="5"/>
      <c r="DA39" s="5"/>
      <c r="DB39" s="5"/>
      <c r="DC39" s="5"/>
      <c r="DD39" s="5"/>
      <c r="DE39" s="5"/>
      <c r="DF39" s="5"/>
    </row>
    <row r="40">
      <c r="A40" s="19" t="s">
        <v>51</v>
      </c>
      <c r="B40" s="19" t="s">
        <v>74</v>
      </c>
      <c r="C40" s="21">
        <v>90.0</v>
      </c>
      <c r="D40" s="35" t="b">
        <v>1</v>
      </c>
      <c r="G40" s="5"/>
      <c r="J40" s="5"/>
      <c r="M40" s="5"/>
      <c r="P40" s="5"/>
      <c r="S40" s="5"/>
      <c r="V40" s="5"/>
      <c r="Y40" s="5"/>
      <c r="AB40" s="5"/>
      <c r="AE40" s="5"/>
      <c r="AH40" s="5"/>
      <c r="AK40" s="5"/>
      <c r="AN40" s="5"/>
      <c r="AO40" s="40"/>
      <c r="AP40" s="5"/>
      <c r="AQ40" s="5"/>
      <c r="AR40" s="40"/>
      <c r="AS40" s="5"/>
      <c r="AT40" s="5"/>
      <c r="AU40" s="40"/>
      <c r="AV40" s="5"/>
      <c r="AW40" s="5"/>
      <c r="AX40" s="40"/>
      <c r="AY40" s="5"/>
      <c r="AZ40" s="5"/>
      <c r="BA40" s="40"/>
      <c r="BB40" s="5"/>
      <c r="BC40" s="5"/>
      <c r="BD40" s="40"/>
      <c r="BE40" s="5"/>
      <c r="BF40" s="5"/>
      <c r="BG40" s="40"/>
      <c r="BH40" s="5"/>
      <c r="BI40" s="5"/>
      <c r="BJ40" s="40"/>
      <c r="BK40" s="5"/>
      <c r="BL40" s="5"/>
      <c r="BM40" s="40"/>
      <c r="BN40" s="5"/>
      <c r="BO40" s="5"/>
      <c r="BP40" s="40"/>
      <c r="BQ40" s="5"/>
      <c r="BR40" s="5"/>
      <c r="BS40" s="40"/>
      <c r="BT40" s="5"/>
      <c r="BU40" s="5"/>
      <c r="BV40" s="40"/>
      <c r="BW40" s="5"/>
      <c r="BX40" s="5"/>
      <c r="BY40" s="40"/>
      <c r="BZ40" s="5"/>
      <c r="CA40" s="5"/>
      <c r="CB40" s="40"/>
      <c r="CC40" s="5"/>
      <c r="CD40" s="5"/>
      <c r="CE40" s="40"/>
      <c r="CF40" s="5"/>
      <c r="CG40" s="5"/>
      <c r="CH40" s="40"/>
      <c r="CI40" s="5"/>
      <c r="CJ40" s="5"/>
      <c r="CK40" s="40"/>
      <c r="CL40" s="5"/>
      <c r="CM40" s="5"/>
      <c r="CN40" s="40"/>
      <c r="CO40" s="5"/>
      <c r="CP40" s="5"/>
      <c r="CQ40" s="40"/>
      <c r="CR40" s="5"/>
      <c r="CS40" s="5"/>
      <c r="CT40" s="5"/>
      <c r="CU40" s="5"/>
      <c r="CV40" s="5"/>
      <c r="CW40" s="5"/>
      <c r="CX40" s="5"/>
      <c r="CY40" s="5"/>
      <c r="CZ40" s="5"/>
      <c r="DA40" s="5"/>
      <c r="DB40" s="5"/>
      <c r="DC40" s="5"/>
      <c r="DD40" s="5"/>
      <c r="DE40" s="5"/>
      <c r="DF40" s="5"/>
    </row>
    <row r="41">
      <c r="G41" s="5"/>
      <c r="J41" s="5"/>
      <c r="M41" s="5"/>
      <c r="P41" s="5"/>
      <c r="S41" s="5"/>
      <c r="V41" s="5"/>
      <c r="Y41" s="5"/>
      <c r="AB41" s="5"/>
      <c r="AE41" s="5"/>
      <c r="AH41" s="5"/>
      <c r="AK41" s="5"/>
      <c r="AN41" s="5"/>
      <c r="AO41" s="40"/>
      <c r="AP41" s="5"/>
      <c r="AQ41" s="5"/>
      <c r="AR41" s="40"/>
      <c r="AS41" s="5"/>
      <c r="AT41" s="5"/>
      <c r="AU41" s="40"/>
      <c r="AV41" s="5"/>
      <c r="AW41" s="5"/>
      <c r="AX41" s="40"/>
      <c r="AY41" s="5"/>
      <c r="AZ41" s="5"/>
      <c r="BA41" s="40"/>
      <c r="BB41" s="5"/>
      <c r="BC41" s="5"/>
      <c r="BD41" s="40"/>
      <c r="BE41" s="5"/>
      <c r="BF41" s="5"/>
      <c r="BG41" s="40"/>
      <c r="BH41" s="5"/>
      <c r="BI41" s="5"/>
      <c r="BJ41" s="40"/>
      <c r="BK41" s="5"/>
      <c r="BL41" s="5"/>
      <c r="BM41" s="40"/>
      <c r="BN41" s="5"/>
      <c r="BO41" s="5"/>
      <c r="BP41" s="40"/>
      <c r="BQ41" s="5"/>
      <c r="BR41" s="5"/>
      <c r="BS41" s="40"/>
      <c r="BT41" s="5"/>
      <c r="BU41" s="5"/>
      <c r="BV41" s="40"/>
      <c r="BW41" s="5"/>
      <c r="BX41" s="5"/>
      <c r="BY41" s="40"/>
      <c r="BZ41" s="5"/>
      <c r="CA41" s="5"/>
      <c r="CB41" s="40"/>
      <c r="CC41" s="5"/>
      <c r="CD41" s="5"/>
      <c r="CE41" s="40"/>
      <c r="CF41" s="5"/>
      <c r="CG41" s="5"/>
      <c r="CH41" s="40"/>
      <c r="CI41" s="5"/>
      <c r="CJ41" s="5"/>
      <c r="CK41" s="40"/>
      <c r="CL41" s="5"/>
      <c r="CM41" s="5"/>
      <c r="CN41" s="40"/>
      <c r="CO41" s="5"/>
      <c r="CP41" s="5"/>
      <c r="CQ41" s="40"/>
      <c r="CR41" s="5"/>
      <c r="CS41" s="5"/>
      <c r="CT41" s="5"/>
      <c r="CU41" s="5"/>
      <c r="CV41" s="5"/>
      <c r="CW41" s="5"/>
      <c r="CX41" s="5"/>
      <c r="CY41" s="5"/>
      <c r="CZ41" s="5"/>
      <c r="DA41" s="5"/>
      <c r="DB41" s="5"/>
      <c r="DC41" s="5"/>
      <c r="DD41" s="5"/>
      <c r="DE41" s="5"/>
      <c r="DF41" s="5"/>
    </row>
    <row r="42">
      <c r="G42" s="5"/>
      <c r="J42" s="5"/>
      <c r="M42" s="5"/>
      <c r="P42" s="5"/>
      <c r="S42" s="5"/>
      <c r="V42" s="5"/>
      <c r="Y42" s="5"/>
      <c r="AB42" s="5"/>
      <c r="AE42" s="5"/>
      <c r="AH42" s="5"/>
      <c r="AK42" s="5"/>
      <c r="AN42" s="5"/>
      <c r="AO42" s="40"/>
      <c r="AP42" s="5"/>
      <c r="AQ42" s="5"/>
      <c r="AR42" s="40"/>
      <c r="AS42" s="5"/>
      <c r="AT42" s="5"/>
      <c r="AU42" s="40"/>
      <c r="AV42" s="5"/>
      <c r="AW42" s="5"/>
      <c r="AX42" s="40"/>
      <c r="AY42" s="5"/>
      <c r="AZ42" s="5"/>
      <c r="BA42" s="40"/>
      <c r="BB42" s="5"/>
      <c r="BC42" s="5"/>
      <c r="BD42" s="40"/>
      <c r="BE42" s="5"/>
      <c r="BF42" s="5"/>
      <c r="BG42" s="40"/>
      <c r="BH42" s="5"/>
      <c r="BI42" s="5"/>
      <c r="BJ42" s="40"/>
      <c r="BK42" s="5"/>
      <c r="BL42" s="5"/>
      <c r="BM42" s="40"/>
      <c r="BN42" s="5"/>
      <c r="BO42" s="5"/>
      <c r="BP42" s="40"/>
      <c r="BQ42" s="5"/>
      <c r="BR42" s="5"/>
      <c r="BS42" s="40"/>
      <c r="BT42" s="5"/>
      <c r="BU42" s="5"/>
      <c r="BV42" s="40"/>
      <c r="BW42" s="5"/>
      <c r="BX42" s="5"/>
      <c r="BY42" s="40"/>
      <c r="BZ42" s="5"/>
      <c r="CA42" s="5"/>
      <c r="CB42" s="40"/>
      <c r="CC42" s="5"/>
      <c r="CD42" s="5"/>
      <c r="CE42" s="40"/>
      <c r="CF42" s="5"/>
      <c r="CG42" s="5"/>
      <c r="CH42" s="40"/>
      <c r="CI42" s="5"/>
      <c r="CJ42" s="5"/>
      <c r="CK42" s="40"/>
      <c r="CL42" s="5"/>
      <c r="CM42" s="5"/>
      <c r="CN42" s="40"/>
      <c r="CO42" s="5"/>
      <c r="CP42" s="5"/>
      <c r="CQ42" s="40"/>
      <c r="CR42" s="5"/>
      <c r="CS42" s="5"/>
      <c r="CT42" s="5"/>
      <c r="CU42" s="5"/>
      <c r="CV42" s="5"/>
      <c r="CW42" s="5"/>
      <c r="CX42" s="5"/>
      <c r="CY42" s="5"/>
      <c r="CZ42" s="5"/>
      <c r="DA42" s="5"/>
      <c r="DB42" s="5"/>
      <c r="DC42" s="5"/>
      <c r="DD42" s="5"/>
      <c r="DE42" s="5"/>
      <c r="DF42" s="5"/>
    </row>
    <row r="43">
      <c r="G43" s="5"/>
      <c r="J43" s="5"/>
      <c r="M43" s="5"/>
      <c r="P43" s="5"/>
      <c r="S43" s="5"/>
      <c r="V43" s="5"/>
      <c r="Y43" s="5"/>
      <c r="AB43" s="5"/>
      <c r="AE43" s="5"/>
      <c r="AH43" s="5"/>
      <c r="AK43" s="5"/>
      <c r="AN43" s="5"/>
      <c r="AO43" s="40"/>
      <c r="AP43" s="5"/>
      <c r="AQ43" s="5"/>
      <c r="AR43" s="40"/>
      <c r="AS43" s="5"/>
      <c r="AT43" s="5"/>
      <c r="AU43" s="40"/>
      <c r="AV43" s="5"/>
      <c r="AW43" s="5"/>
      <c r="AX43" s="40"/>
      <c r="AY43" s="5"/>
      <c r="AZ43" s="5"/>
      <c r="BA43" s="40"/>
      <c r="BB43" s="5"/>
      <c r="BC43" s="5"/>
      <c r="BD43" s="40"/>
      <c r="BE43" s="5"/>
      <c r="BF43" s="5"/>
      <c r="BG43" s="40"/>
      <c r="BH43" s="5"/>
      <c r="BI43" s="5"/>
      <c r="BJ43" s="40"/>
      <c r="BK43" s="5"/>
      <c r="BL43" s="5"/>
      <c r="BM43" s="40"/>
      <c r="BN43" s="5"/>
      <c r="BO43" s="5"/>
      <c r="BP43" s="40"/>
      <c r="BQ43" s="5"/>
      <c r="BR43" s="5"/>
      <c r="BS43" s="40"/>
      <c r="BT43" s="5"/>
      <c r="BU43" s="5"/>
      <c r="BV43" s="40"/>
      <c r="BW43" s="5"/>
      <c r="BX43" s="5"/>
      <c r="BY43" s="40"/>
      <c r="BZ43" s="5"/>
      <c r="CA43" s="5"/>
      <c r="CB43" s="40"/>
      <c r="CC43" s="5"/>
      <c r="CD43" s="5"/>
      <c r="CE43" s="40"/>
      <c r="CF43" s="5"/>
      <c r="CG43" s="5"/>
      <c r="CH43" s="40"/>
      <c r="CI43" s="5"/>
      <c r="CJ43" s="5"/>
      <c r="CK43" s="40"/>
      <c r="CL43" s="5"/>
      <c r="CM43" s="5"/>
      <c r="CN43" s="40"/>
      <c r="CO43" s="5"/>
      <c r="CP43" s="5"/>
      <c r="CQ43" s="40"/>
      <c r="CR43" s="5"/>
      <c r="CS43" s="5"/>
      <c r="CT43" s="5"/>
      <c r="CU43" s="5"/>
      <c r="CV43" s="5"/>
      <c r="CW43" s="5"/>
      <c r="CX43" s="5"/>
      <c r="CY43" s="5"/>
      <c r="CZ43" s="5"/>
      <c r="DA43" s="5"/>
      <c r="DB43" s="5"/>
      <c r="DC43" s="5"/>
      <c r="DD43" s="5"/>
      <c r="DE43" s="5"/>
      <c r="DF43" s="5"/>
    </row>
    <row r="44">
      <c r="G44" s="5"/>
      <c r="J44" s="5"/>
      <c r="M44" s="5"/>
      <c r="P44" s="5"/>
      <c r="S44" s="5"/>
      <c r="V44" s="5"/>
      <c r="Y44" s="5"/>
      <c r="AB44" s="5"/>
      <c r="AE44" s="5"/>
      <c r="AH44" s="5"/>
      <c r="AK44" s="5"/>
      <c r="AN44" s="5"/>
      <c r="AO44" s="40"/>
      <c r="AP44" s="5"/>
      <c r="AQ44" s="5"/>
      <c r="AR44" s="40"/>
      <c r="AS44" s="5"/>
      <c r="AT44" s="5"/>
      <c r="AU44" s="40"/>
      <c r="AV44" s="5"/>
      <c r="AW44" s="5"/>
      <c r="AX44" s="40"/>
      <c r="AY44" s="5"/>
      <c r="AZ44" s="5"/>
      <c r="BA44" s="40"/>
      <c r="BB44" s="5"/>
      <c r="BC44" s="5"/>
      <c r="BD44" s="40"/>
      <c r="BE44" s="5"/>
      <c r="BF44" s="5"/>
      <c r="BG44" s="40"/>
      <c r="BH44" s="5"/>
      <c r="BI44" s="5"/>
      <c r="BJ44" s="40"/>
      <c r="BK44" s="5"/>
      <c r="BL44" s="5"/>
      <c r="BM44" s="40"/>
      <c r="BN44" s="5"/>
      <c r="BO44" s="5"/>
      <c r="BP44" s="40"/>
      <c r="BQ44" s="5"/>
      <c r="BR44" s="5"/>
      <c r="BS44" s="40"/>
      <c r="BT44" s="5"/>
      <c r="BU44" s="5"/>
      <c r="BV44" s="40"/>
      <c r="BW44" s="5"/>
      <c r="BX44" s="5"/>
      <c r="BY44" s="40"/>
      <c r="BZ44" s="5"/>
      <c r="CA44" s="5"/>
      <c r="CB44" s="40"/>
      <c r="CC44" s="5"/>
      <c r="CD44" s="5"/>
      <c r="CE44" s="40"/>
      <c r="CF44" s="5"/>
      <c r="CG44" s="5"/>
      <c r="CH44" s="40"/>
      <c r="CI44" s="5"/>
      <c r="CJ44" s="5"/>
      <c r="CK44" s="40"/>
      <c r="CL44" s="5"/>
      <c r="CM44" s="5"/>
      <c r="CN44" s="40"/>
      <c r="CO44" s="5"/>
      <c r="CP44" s="5"/>
      <c r="CQ44" s="40"/>
      <c r="CR44" s="5"/>
      <c r="CS44" s="5"/>
      <c r="CT44" s="5"/>
      <c r="CU44" s="5"/>
      <c r="CV44" s="5"/>
      <c r="CW44" s="5"/>
      <c r="CX44" s="5"/>
      <c r="CY44" s="5"/>
      <c r="CZ44" s="5"/>
      <c r="DA44" s="5"/>
      <c r="DB44" s="5"/>
      <c r="DC44" s="5"/>
      <c r="DD44" s="5"/>
      <c r="DE44" s="5"/>
      <c r="DF44" s="5"/>
    </row>
    <row r="45">
      <c r="A45" s="36"/>
      <c r="D45" s="19"/>
      <c r="G45" s="5"/>
      <c r="J45" s="5"/>
      <c r="M45" s="5"/>
      <c r="P45" s="5"/>
      <c r="S45" s="5"/>
      <c r="V45" s="5"/>
      <c r="Y45" s="5"/>
      <c r="AB45" s="5"/>
      <c r="AE45" s="5"/>
      <c r="AH45" s="5"/>
      <c r="AK45" s="5"/>
      <c r="AN45" s="5"/>
      <c r="AO45" s="40"/>
      <c r="AP45" s="5"/>
      <c r="AQ45" s="5"/>
      <c r="AR45" s="40"/>
      <c r="AS45" s="5"/>
      <c r="AT45" s="5"/>
      <c r="AU45" s="40"/>
      <c r="AV45" s="5"/>
      <c r="AW45" s="5"/>
      <c r="AX45" s="40"/>
      <c r="AY45" s="5"/>
      <c r="AZ45" s="5"/>
      <c r="BA45" s="40"/>
      <c r="BB45" s="5"/>
      <c r="BC45" s="5"/>
      <c r="BD45" s="40"/>
      <c r="BE45" s="5"/>
      <c r="BF45" s="5"/>
      <c r="BG45" s="40"/>
      <c r="BH45" s="5"/>
      <c r="BI45" s="5"/>
      <c r="BJ45" s="40"/>
      <c r="BK45" s="5"/>
      <c r="BL45" s="5"/>
      <c r="BM45" s="40"/>
      <c r="BN45" s="5"/>
      <c r="BO45" s="5"/>
      <c r="BP45" s="40"/>
      <c r="BQ45" s="5"/>
      <c r="BR45" s="5"/>
      <c r="BS45" s="40"/>
      <c r="BT45" s="5"/>
      <c r="BU45" s="5"/>
      <c r="BV45" s="40"/>
      <c r="BW45" s="5"/>
      <c r="BX45" s="5"/>
      <c r="BY45" s="40"/>
      <c r="BZ45" s="5"/>
      <c r="CA45" s="5"/>
      <c r="CB45" s="40"/>
      <c r="CC45" s="5"/>
      <c r="CD45" s="5"/>
      <c r="CE45" s="40"/>
      <c r="CF45" s="5"/>
      <c r="CG45" s="5"/>
      <c r="CH45" s="40"/>
      <c r="CI45" s="5"/>
      <c r="CJ45" s="5"/>
      <c r="CK45" s="40"/>
      <c r="CL45" s="5"/>
      <c r="CM45" s="5"/>
      <c r="CN45" s="40"/>
      <c r="CO45" s="5"/>
      <c r="CP45" s="5"/>
      <c r="CQ45" s="40"/>
      <c r="CR45" s="5"/>
      <c r="CS45" s="5"/>
      <c r="CT45" s="5"/>
      <c r="CU45" s="5"/>
      <c r="CV45" s="5"/>
      <c r="CW45" s="5"/>
      <c r="CX45" s="5"/>
      <c r="CY45" s="5"/>
      <c r="CZ45" s="5"/>
      <c r="DA45" s="5"/>
      <c r="DB45" s="5"/>
      <c r="DC45" s="5"/>
      <c r="DD45" s="5"/>
      <c r="DE45" s="5"/>
      <c r="DF45" s="5"/>
    </row>
    <row r="46">
      <c r="B46" s="37"/>
      <c r="C46" s="26"/>
      <c r="D46" s="19"/>
      <c r="G46" s="5"/>
      <c r="J46" s="5"/>
      <c r="M46" s="5"/>
      <c r="P46" s="5"/>
      <c r="S46" s="5"/>
      <c r="V46" s="5"/>
      <c r="Y46" s="5"/>
      <c r="AB46" s="5"/>
      <c r="AE46" s="5"/>
      <c r="AH46" s="5"/>
      <c r="AK46" s="5"/>
      <c r="AN46" s="5"/>
      <c r="AO46" s="40"/>
      <c r="AP46" s="5"/>
      <c r="AQ46" s="5"/>
      <c r="AR46" s="40"/>
      <c r="AS46" s="5"/>
      <c r="AT46" s="5"/>
      <c r="AU46" s="40"/>
      <c r="AV46" s="5"/>
      <c r="AW46" s="5"/>
      <c r="AX46" s="40"/>
      <c r="AY46" s="5"/>
      <c r="AZ46" s="5"/>
      <c r="BA46" s="40"/>
      <c r="BB46" s="5"/>
      <c r="BC46" s="5"/>
      <c r="BD46" s="40"/>
      <c r="BE46" s="5"/>
      <c r="BF46" s="5"/>
      <c r="BG46" s="40"/>
      <c r="BH46" s="5"/>
      <c r="BI46" s="5"/>
      <c r="BJ46" s="40"/>
      <c r="BK46" s="5"/>
      <c r="BL46" s="5"/>
      <c r="BM46" s="40"/>
      <c r="BN46" s="5"/>
      <c r="BO46" s="5"/>
      <c r="BP46" s="40"/>
      <c r="BQ46" s="5"/>
      <c r="BR46" s="5"/>
      <c r="BS46" s="40"/>
      <c r="BT46" s="5"/>
      <c r="BU46" s="5"/>
      <c r="BV46" s="40"/>
      <c r="BW46" s="5"/>
      <c r="BX46" s="5"/>
      <c r="BY46" s="40"/>
      <c r="BZ46" s="5"/>
      <c r="CA46" s="5"/>
      <c r="CB46" s="40"/>
      <c r="CC46" s="5"/>
      <c r="CD46" s="5"/>
      <c r="CE46" s="40"/>
      <c r="CF46" s="5"/>
      <c r="CG46" s="5"/>
      <c r="CH46" s="40"/>
      <c r="CI46" s="5"/>
      <c r="CJ46" s="5"/>
      <c r="CK46" s="40"/>
      <c r="CL46" s="5"/>
      <c r="CM46" s="5"/>
      <c r="CN46" s="40"/>
      <c r="CO46" s="5"/>
      <c r="CP46" s="5"/>
      <c r="CQ46" s="40"/>
      <c r="CR46" s="5"/>
      <c r="CS46" s="5"/>
      <c r="CT46" s="5"/>
      <c r="CU46" s="5"/>
      <c r="CV46" s="5"/>
      <c r="CW46" s="5"/>
      <c r="CX46" s="5"/>
      <c r="CY46" s="5"/>
      <c r="CZ46" s="5"/>
      <c r="DA46" s="5"/>
      <c r="DB46" s="5"/>
      <c r="DC46" s="5"/>
      <c r="DD46" s="5"/>
      <c r="DE46" s="5"/>
      <c r="DF46" s="5"/>
    </row>
    <row r="47">
      <c r="A47" s="37"/>
      <c r="B47" s="36"/>
      <c r="C47" s="36"/>
      <c r="D47" s="19"/>
      <c r="G47" s="5"/>
      <c r="J47" s="5"/>
      <c r="M47" s="5"/>
      <c r="P47" s="5"/>
      <c r="S47" s="5"/>
      <c r="V47" s="5"/>
      <c r="Y47" s="5"/>
      <c r="AB47" s="5"/>
      <c r="AE47" s="5"/>
      <c r="AH47" s="5"/>
      <c r="AK47" s="5"/>
      <c r="AN47" s="5"/>
      <c r="AO47" s="40"/>
      <c r="AP47" s="5"/>
      <c r="AQ47" s="5"/>
      <c r="AR47" s="40"/>
      <c r="AS47" s="5"/>
      <c r="AT47" s="5"/>
      <c r="AU47" s="40"/>
      <c r="AV47" s="5"/>
      <c r="AW47" s="5"/>
      <c r="AX47" s="40"/>
      <c r="AY47" s="5"/>
      <c r="AZ47" s="5"/>
      <c r="BA47" s="40"/>
      <c r="BB47" s="5"/>
      <c r="BC47" s="5"/>
      <c r="BD47" s="40"/>
      <c r="BE47" s="5"/>
      <c r="BF47" s="5"/>
      <c r="BG47" s="40"/>
      <c r="BH47" s="5"/>
      <c r="BI47" s="5"/>
      <c r="BJ47" s="40"/>
      <c r="BK47" s="5"/>
      <c r="BL47" s="5"/>
      <c r="BM47" s="40"/>
      <c r="BN47" s="5"/>
      <c r="BO47" s="5"/>
      <c r="BP47" s="40"/>
      <c r="BQ47" s="5"/>
      <c r="BR47" s="5"/>
      <c r="BS47" s="40"/>
      <c r="BT47" s="5"/>
      <c r="BU47" s="5"/>
      <c r="BV47" s="40"/>
      <c r="BW47" s="5"/>
      <c r="BX47" s="5"/>
      <c r="BY47" s="40"/>
      <c r="BZ47" s="5"/>
      <c r="CA47" s="5"/>
      <c r="CB47" s="40"/>
      <c r="CC47" s="5"/>
      <c r="CD47" s="5"/>
      <c r="CE47" s="40"/>
      <c r="CF47" s="5"/>
      <c r="CG47" s="5"/>
      <c r="CH47" s="40"/>
      <c r="CI47" s="5"/>
      <c r="CJ47" s="5"/>
      <c r="CK47" s="40"/>
      <c r="CL47" s="5"/>
      <c r="CM47" s="5"/>
      <c r="CN47" s="40"/>
      <c r="CO47" s="5"/>
      <c r="CP47" s="5"/>
      <c r="CQ47" s="40"/>
      <c r="CR47" s="5"/>
      <c r="CS47" s="5"/>
      <c r="CT47" s="5"/>
      <c r="CU47" s="5"/>
      <c r="CV47" s="5"/>
      <c r="CW47" s="5"/>
      <c r="CX47" s="5"/>
      <c r="CY47" s="5"/>
      <c r="CZ47" s="5"/>
      <c r="DA47" s="5"/>
      <c r="DB47" s="5"/>
      <c r="DC47" s="5"/>
      <c r="DD47" s="5"/>
      <c r="DE47" s="5"/>
      <c r="DF47" s="5"/>
    </row>
    <row r="48">
      <c r="A48" s="19"/>
      <c r="B48" s="26"/>
      <c r="C48" s="21"/>
      <c r="D48" s="19"/>
      <c r="G48" s="5"/>
      <c r="J48" s="5"/>
      <c r="M48" s="5"/>
      <c r="P48" s="5"/>
      <c r="S48" s="5"/>
      <c r="V48" s="5"/>
      <c r="Y48" s="5"/>
      <c r="AB48" s="5"/>
      <c r="AE48" s="5"/>
      <c r="AH48" s="5"/>
      <c r="AK48" s="5"/>
      <c r="AN48" s="5"/>
      <c r="AO48" s="40"/>
      <c r="AP48" s="5"/>
      <c r="AQ48" s="5"/>
      <c r="AR48" s="40"/>
      <c r="AS48" s="5"/>
      <c r="AT48" s="5"/>
      <c r="AU48" s="40"/>
      <c r="AV48" s="5"/>
      <c r="AW48" s="5"/>
      <c r="AX48" s="40"/>
      <c r="AY48" s="5"/>
      <c r="AZ48" s="5"/>
      <c r="BA48" s="40"/>
      <c r="BB48" s="5"/>
      <c r="BC48" s="5"/>
      <c r="BD48" s="40"/>
      <c r="BE48" s="5"/>
      <c r="BF48" s="5"/>
      <c r="BG48" s="40"/>
      <c r="BH48" s="5"/>
      <c r="BI48" s="5"/>
      <c r="BJ48" s="40"/>
      <c r="BK48" s="5"/>
      <c r="BL48" s="5"/>
      <c r="BM48" s="40"/>
      <c r="BN48" s="5"/>
      <c r="BO48" s="5"/>
      <c r="BP48" s="40"/>
      <c r="BQ48" s="5"/>
      <c r="BR48" s="5"/>
      <c r="BS48" s="40"/>
      <c r="BT48" s="5"/>
      <c r="BU48" s="5"/>
      <c r="BV48" s="40"/>
      <c r="BW48" s="5"/>
      <c r="BX48" s="5"/>
      <c r="BY48" s="40"/>
      <c r="BZ48" s="5"/>
      <c r="CA48" s="5"/>
      <c r="CB48" s="40"/>
      <c r="CC48" s="5"/>
      <c r="CD48" s="5"/>
      <c r="CE48" s="40"/>
      <c r="CF48" s="5"/>
      <c r="CG48" s="5"/>
      <c r="CH48" s="40"/>
      <c r="CI48" s="5"/>
      <c r="CJ48" s="5"/>
      <c r="CK48" s="40"/>
      <c r="CL48" s="5"/>
      <c r="CM48" s="5"/>
      <c r="CN48" s="40"/>
      <c r="CO48" s="5"/>
      <c r="CP48" s="5"/>
      <c r="CQ48" s="40"/>
      <c r="CR48" s="5"/>
      <c r="CS48" s="5"/>
      <c r="CT48" s="5"/>
      <c r="CU48" s="5"/>
      <c r="CV48" s="5"/>
      <c r="CW48" s="5"/>
      <c r="CX48" s="5"/>
      <c r="CY48" s="5"/>
      <c r="CZ48" s="5"/>
      <c r="DA48" s="5"/>
      <c r="DB48" s="5"/>
      <c r="DC48" s="5"/>
      <c r="DD48" s="5"/>
      <c r="DE48" s="5"/>
      <c r="DF48" s="5"/>
    </row>
    <row r="49">
      <c r="A49" s="19"/>
      <c r="B49" s="26"/>
      <c r="C49" s="21"/>
      <c r="D49" s="19"/>
      <c r="G49" s="5"/>
      <c r="J49" s="5"/>
      <c r="M49" s="5"/>
      <c r="P49" s="5"/>
      <c r="S49" s="5"/>
      <c r="V49" s="5"/>
      <c r="Y49" s="5"/>
      <c r="AB49" s="5"/>
      <c r="AE49" s="5"/>
      <c r="AH49" s="5"/>
      <c r="AK49" s="5"/>
      <c r="AN49" s="5"/>
      <c r="AO49" s="40"/>
      <c r="AP49" s="5"/>
      <c r="AQ49" s="5"/>
      <c r="AR49" s="40"/>
      <c r="AS49" s="5"/>
      <c r="AT49" s="5"/>
      <c r="AU49" s="40"/>
      <c r="AV49" s="5"/>
      <c r="AW49" s="5"/>
      <c r="AX49" s="40"/>
      <c r="AY49" s="5"/>
      <c r="AZ49" s="5"/>
      <c r="BA49" s="40"/>
      <c r="BB49" s="5"/>
      <c r="BC49" s="5"/>
      <c r="BD49" s="40"/>
      <c r="BE49" s="5"/>
      <c r="BF49" s="5"/>
      <c r="BG49" s="40"/>
      <c r="BH49" s="5"/>
      <c r="BI49" s="5"/>
      <c r="BJ49" s="40"/>
      <c r="BK49" s="5"/>
      <c r="BL49" s="5"/>
      <c r="BM49" s="40"/>
      <c r="BN49" s="5"/>
      <c r="BO49" s="5"/>
      <c r="BP49" s="40"/>
      <c r="BQ49" s="5"/>
      <c r="BR49" s="5"/>
      <c r="BS49" s="40"/>
      <c r="BT49" s="5"/>
      <c r="BU49" s="5"/>
      <c r="BV49" s="40"/>
      <c r="BW49" s="5"/>
      <c r="BX49" s="5"/>
      <c r="BY49" s="40"/>
      <c r="BZ49" s="5"/>
      <c r="CA49" s="5"/>
      <c r="CB49" s="40"/>
      <c r="CC49" s="5"/>
      <c r="CD49" s="5"/>
      <c r="CE49" s="40"/>
      <c r="CF49" s="5"/>
      <c r="CG49" s="5"/>
      <c r="CH49" s="40"/>
      <c r="CI49" s="5"/>
      <c r="CJ49" s="5"/>
      <c r="CK49" s="40"/>
      <c r="CL49" s="5"/>
      <c r="CM49" s="5"/>
      <c r="CN49" s="40"/>
      <c r="CO49" s="5"/>
      <c r="CP49" s="5"/>
      <c r="CQ49" s="40"/>
      <c r="CR49" s="5"/>
      <c r="CS49" s="5"/>
      <c r="CT49" s="5"/>
      <c r="CU49" s="5"/>
      <c r="CV49" s="5"/>
      <c r="CW49" s="5"/>
      <c r="CX49" s="5"/>
      <c r="CY49" s="5"/>
      <c r="CZ49" s="5"/>
      <c r="DA49" s="5"/>
      <c r="DB49" s="5"/>
      <c r="DC49" s="5"/>
      <c r="DD49" s="5"/>
      <c r="DE49" s="5"/>
      <c r="DF49" s="5"/>
    </row>
    <row r="50">
      <c r="A50" s="19"/>
      <c r="B50" s="26"/>
      <c r="C50" s="21"/>
      <c r="D50" s="19"/>
      <c r="G50" s="5"/>
      <c r="J50" s="5"/>
      <c r="M50" s="5"/>
      <c r="P50" s="5"/>
      <c r="S50" s="5"/>
      <c r="V50" s="5"/>
      <c r="Y50" s="5"/>
      <c r="AB50" s="5"/>
      <c r="AE50" s="5"/>
      <c r="AH50" s="5"/>
      <c r="AK50" s="5"/>
      <c r="AN50" s="5"/>
      <c r="AO50" s="40"/>
      <c r="AP50" s="5"/>
      <c r="AQ50" s="5"/>
      <c r="AR50" s="40"/>
      <c r="AS50" s="5"/>
      <c r="AT50" s="5"/>
      <c r="AU50" s="40"/>
      <c r="AV50" s="5"/>
      <c r="AW50" s="5"/>
      <c r="AX50" s="40"/>
      <c r="AY50" s="5"/>
      <c r="AZ50" s="5"/>
      <c r="BA50" s="40"/>
      <c r="BB50" s="5"/>
      <c r="BC50" s="5"/>
      <c r="BD50" s="40"/>
      <c r="BE50" s="5"/>
      <c r="BF50" s="5"/>
      <c r="BG50" s="40"/>
      <c r="BH50" s="5"/>
      <c r="BI50" s="5"/>
      <c r="BJ50" s="40"/>
      <c r="BK50" s="5"/>
      <c r="BL50" s="5"/>
      <c r="BM50" s="40"/>
      <c r="BN50" s="5"/>
      <c r="BO50" s="5"/>
      <c r="BP50" s="40"/>
      <c r="BQ50" s="5"/>
      <c r="BR50" s="5"/>
      <c r="BS50" s="40"/>
      <c r="BT50" s="5"/>
      <c r="BU50" s="5"/>
      <c r="BV50" s="40"/>
      <c r="BW50" s="5"/>
      <c r="BX50" s="5"/>
      <c r="BY50" s="40"/>
      <c r="BZ50" s="5"/>
      <c r="CA50" s="5"/>
      <c r="CB50" s="40"/>
      <c r="CC50" s="5"/>
      <c r="CD50" s="5"/>
      <c r="CE50" s="40"/>
      <c r="CF50" s="5"/>
      <c r="CG50" s="5"/>
      <c r="CH50" s="40"/>
      <c r="CI50" s="5"/>
      <c r="CJ50" s="5"/>
      <c r="CK50" s="40"/>
      <c r="CL50" s="5"/>
      <c r="CM50" s="5"/>
      <c r="CN50" s="40"/>
      <c r="CO50" s="5"/>
      <c r="CP50" s="5"/>
      <c r="CQ50" s="40"/>
      <c r="CR50" s="5"/>
      <c r="CS50" s="5"/>
      <c r="CT50" s="5"/>
      <c r="CU50" s="5"/>
      <c r="CV50" s="5"/>
      <c r="CW50" s="5"/>
      <c r="CX50" s="5"/>
      <c r="CY50" s="5"/>
      <c r="CZ50" s="5"/>
      <c r="DA50" s="5"/>
      <c r="DB50" s="5"/>
      <c r="DC50" s="5"/>
      <c r="DD50" s="5"/>
      <c r="DE50" s="5"/>
      <c r="DF50" s="5"/>
    </row>
    <row r="51">
      <c r="A51" s="19"/>
      <c r="B51" s="26"/>
      <c r="C51" s="21"/>
      <c r="D51" s="19"/>
      <c r="G51" s="5"/>
      <c r="J51" s="5"/>
      <c r="M51" s="5"/>
      <c r="P51" s="5"/>
      <c r="S51" s="5"/>
      <c r="V51" s="5"/>
      <c r="Y51" s="5"/>
      <c r="AB51" s="5"/>
      <c r="AE51" s="5"/>
      <c r="AH51" s="5"/>
      <c r="AK51" s="5"/>
      <c r="AN51" s="5"/>
      <c r="AO51" s="40"/>
      <c r="AP51" s="5"/>
      <c r="AQ51" s="5"/>
      <c r="AR51" s="40"/>
      <c r="AS51" s="5"/>
      <c r="AT51" s="5"/>
      <c r="AU51" s="40"/>
      <c r="AV51" s="5"/>
      <c r="AW51" s="5"/>
      <c r="AX51" s="40"/>
      <c r="AY51" s="5"/>
      <c r="AZ51" s="5"/>
      <c r="BA51" s="40"/>
      <c r="BB51" s="5"/>
      <c r="BC51" s="5"/>
      <c r="BD51" s="40"/>
      <c r="BE51" s="5"/>
      <c r="BF51" s="5"/>
      <c r="BG51" s="40"/>
      <c r="BH51" s="5"/>
      <c r="BI51" s="5"/>
      <c r="BJ51" s="40"/>
      <c r="BK51" s="5"/>
      <c r="BL51" s="5"/>
      <c r="BM51" s="40"/>
      <c r="BN51" s="5"/>
      <c r="BO51" s="5"/>
      <c r="BP51" s="40"/>
      <c r="BQ51" s="5"/>
      <c r="BR51" s="5"/>
      <c r="BS51" s="40"/>
      <c r="BT51" s="5"/>
      <c r="BU51" s="5"/>
      <c r="BV51" s="40"/>
      <c r="BW51" s="5"/>
      <c r="BX51" s="5"/>
      <c r="BY51" s="40"/>
      <c r="BZ51" s="5"/>
      <c r="CA51" s="5"/>
      <c r="CB51" s="40"/>
      <c r="CC51" s="5"/>
      <c r="CD51" s="5"/>
      <c r="CE51" s="40"/>
      <c r="CF51" s="5"/>
      <c r="CG51" s="5"/>
      <c r="CH51" s="40"/>
      <c r="CI51" s="5"/>
      <c r="CJ51" s="5"/>
      <c r="CK51" s="40"/>
      <c r="CL51" s="5"/>
      <c r="CM51" s="5"/>
      <c r="CN51" s="40"/>
      <c r="CO51" s="5"/>
      <c r="CP51" s="5"/>
      <c r="CQ51" s="40"/>
      <c r="CR51" s="5"/>
      <c r="CS51" s="5"/>
      <c r="CT51" s="5"/>
      <c r="CU51" s="5"/>
      <c r="CV51" s="5"/>
      <c r="CW51" s="5"/>
      <c r="CX51" s="5"/>
      <c r="CY51" s="5"/>
      <c r="CZ51" s="5"/>
      <c r="DA51" s="5"/>
      <c r="DB51" s="5"/>
      <c r="DC51" s="5"/>
      <c r="DD51" s="5"/>
      <c r="DE51" s="5"/>
      <c r="DF51" s="5"/>
    </row>
    <row r="52">
      <c r="A52" s="19"/>
      <c r="B52" s="26"/>
      <c r="C52" s="21"/>
      <c r="D52" s="19"/>
      <c r="G52" s="5"/>
      <c r="J52" s="5"/>
      <c r="M52" s="5"/>
      <c r="P52" s="5"/>
      <c r="S52" s="5"/>
      <c r="V52" s="5"/>
      <c r="Y52" s="5"/>
      <c r="AB52" s="5"/>
      <c r="AE52" s="5"/>
      <c r="AH52" s="5"/>
      <c r="AK52" s="5"/>
      <c r="AN52" s="5"/>
      <c r="AO52" s="40"/>
      <c r="AP52" s="5"/>
      <c r="AQ52" s="5"/>
      <c r="AR52" s="40"/>
      <c r="AS52" s="5"/>
      <c r="AT52" s="5"/>
      <c r="AU52" s="40"/>
      <c r="AV52" s="5"/>
      <c r="AW52" s="5"/>
      <c r="AX52" s="40"/>
      <c r="AY52" s="5"/>
      <c r="AZ52" s="5"/>
      <c r="BA52" s="40"/>
      <c r="BB52" s="5"/>
      <c r="BC52" s="5"/>
      <c r="BD52" s="40"/>
      <c r="BE52" s="5"/>
      <c r="BF52" s="5"/>
      <c r="BG52" s="40"/>
      <c r="BH52" s="5"/>
      <c r="BI52" s="5"/>
      <c r="BJ52" s="40"/>
      <c r="BK52" s="5"/>
      <c r="BL52" s="5"/>
      <c r="BM52" s="40"/>
      <c r="BN52" s="5"/>
      <c r="BO52" s="5"/>
      <c r="BP52" s="40"/>
      <c r="BQ52" s="5"/>
      <c r="BR52" s="5"/>
      <c r="BS52" s="40"/>
      <c r="BT52" s="5"/>
      <c r="BU52" s="5"/>
      <c r="BV52" s="40"/>
      <c r="BW52" s="5"/>
      <c r="BX52" s="5"/>
      <c r="BY52" s="40"/>
      <c r="BZ52" s="5"/>
      <c r="CA52" s="5"/>
      <c r="CB52" s="40"/>
      <c r="CC52" s="5"/>
      <c r="CD52" s="5"/>
      <c r="CE52" s="40"/>
      <c r="CF52" s="5"/>
      <c r="CG52" s="5"/>
      <c r="CH52" s="40"/>
      <c r="CI52" s="5"/>
      <c r="CJ52" s="5"/>
      <c r="CK52" s="40"/>
      <c r="CL52" s="5"/>
      <c r="CM52" s="5"/>
      <c r="CN52" s="40"/>
      <c r="CO52" s="5"/>
      <c r="CP52" s="5"/>
      <c r="CQ52" s="40"/>
      <c r="CR52" s="5"/>
      <c r="CS52" s="5"/>
      <c r="CT52" s="5"/>
      <c r="CU52" s="5"/>
      <c r="CV52" s="5"/>
      <c r="CW52" s="5"/>
      <c r="CX52" s="5"/>
      <c r="CY52" s="5"/>
      <c r="CZ52" s="5"/>
      <c r="DA52" s="5"/>
      <c r="DB52" s="5"/>
      <c r="DC52" s="5"/>
      <c r="DD52" s="5"/>
      <c r="DE52" s="5"/>
      <c r="DF52" s="5"/>
    </row>
    <row r="53">
      <c r="A53" s="19"/>
      <c r="B53" s="26"/>
      <c r="C53" s="21"/>
      <c r="D53" s="19"/>
      <c r="G53" s="5"/>
      <c r="J53" s="5"/>
      <c r="M53" s="5"/>
      <c r="P53" s="5"/>
      <c r="S53" s="5"/>
      <c r="V53" s="5"/>
      <c r="Y53" s="5"/>
      <c r="AB53" s="5"/>
      <c r="AE53" s="5"/>
      <c r="AH53" s="5"/>
      <c r="AK53" s="5"/>
      <c r="AN53" s="5"/>
      <c r="AO53" s="40"/>
      <c r="AP53" s="5"/>
      <c r="AQ53" s="5"/>
      <c r="AR53" s="40"/>
      <c r="AS53" s="5"/>
      <c r="AT53" s="5"/>
      <c r="AU53" s="40"/>
      <c r="AV53" s="5"/>
      <c r="AW53" s="5"/>
      <c r="AX53" s="40"/>
      <c r="AY53" s="5"/>
      <c r="AZ53" s="5"/>
      <c r="BA53" s="40"/>
      <c r="BB53" s="5"/>
      <c r="BC53" s="5"/>
      <c r="BD53" s="40"/>
      <c r="BE53" s="5"/>
      <c r="BF53" s="5"/>
      <c r="BG53" s="40"/>
      <c r="BH53" s="5"/>
      <c r="BI53" s="5"/>
      <c r="BJ53" s="40"/>
      <c r="BK53" s="5"/>
      <c r="BL53" s="5"/>
      <c r="BM53" s="40"/>
      <c r="BN53" s="5"/>
      <c r="BO53" s="5"/>
      <c r="BP53" s="40"/>
      <c r="BQ53" s="5"/>
      <c r="BR53" s="5"/>
      <c r="BS53" s="40"/>
      <c r="BT53" s="5"/>
      <c r="BU53" s="5"/>
      <c r="BV53" s="40"/>
      <c r="BW53" s="5"/>
      <c r="BX53" s="5"/>
      <c r="BY53" s="40"/>
      <c r="BZ53" s="5"/>
      <c r="CA53" s="5"/>
      <c r="CB53" s="40"/>
      <c r="CC53" s="5"/>
      <c r="CD53" s="5"/>
      <c r="CE53" s="40"/>
      <c r="CF53" s="5"/>
      <c r="CG53" s="5"/>
      <c r="CH53" s="40"/>
      <c r="CI53" s="5"/>
      <c r="CJ53" s="5"/>
      <c r="CK53" s="40"/>
      <c r="CL53" s="5"/>
      <c r="CM53" s="5"/>
      <c r="CN53" s="40"/>
      <c r="CO53" s="5"/>
      <c r="CP53" s="5"/>
      <c r="CQ53" s="40"/>
      <c r="CR53" s="5"/>
      <c r="CS53" s="5"/>
      <c r="CT53" s="5"/>
      <c r="CU53" s="5"/>
      <c r="CV53" s="5"/>
      <c r="CW53" s="5"/>
      <c r="CX53" s="5"/>
      <c r="CY53" s="5"/>
      <c r="CZ53" s="5"/>
      <c r="DA53" s="5"/>
      <c r="DB53" s="5"/>
      <c r="DC53" s="5"/>
      <c r="DD53" s="5"/>
      <c r="DE53" s="5"/>
      <c r="DF53" s="5"/>
    </row>
    <row r="54">
      <c r="A54" s="19"/>
      <c r="B54" s="26"/>
      <c r="C54" s="21"/>
      <c r="D54" s="19"/>
      <c r="G54" s="5"/>
      <c r="J54" s="5"/>
      <c r="M54" s="5"/>
      <c r="P54" s="5"/>
      <c r="S54" s="5"/>
      <c r="V54" s="5"/>
      <c r="Y54" s="5"/>
      <c r="AB54" s="5"/>
      <c r="AE54" s="5"/>
      <c r="AH54" s="5"/>
      <c r="AK54" s="5"/>
      <c r="AN54" s="5"/>
      <c r="AO54" s="40"/>
      <c r="AP54" s="5"/>
      <c r="AQ54" s="5"/>
      <c r="AR54" s="40"/>
      <c r="AS54" s="5"/>
      <c r="AT54" s="5"/>
      <c r="AU54" s="40"/>
      <c r="AV54" s="5"/>
      <c r="AW54" s="5"/>
      <c r="AX54" s="40"/>
      <c r="AY54" s="5"/>
      <c r="AZ54" s="5"/>
      <c r="BA54" s="40"/>
      <c r="BB54" s="5"/>
      <c r="BC54" s="5"/>
      <c r="BD54" s="40"/>
      <c r="BE54" s="5"/>
      <c r="BF54" s="5"/>
      <c r="BG54" s="40"/>
      <c r="BH54" s="5"/>
      <c r="BI54" s="5"/>
      <c r="BJ54" s="40"/>
      <c r="BK54" s="5"/>
      <c r="BL54" s="5"/>
      <c r="BM54" s="40"/>
      <c r="BN54" s="5"/>
      <c r="BO54" s="5"/>
      <c r="BP54" s="40"/>
      <c r="BQ54" s="5"/>
      <c r="BR54" s="5"/>
      <c r="BS54" s="40"/>
      <c r="BT54" s="5"/>
      <c r="BU54" s="5"/>
      <c r="BV54" s="40"/>
      <c r="BW54" s="5"/>
      <c r="BX54" s="5"/>
      <c r="BY54" s="40"/>
      <c r="BZ54" s="5"/>
      <c r="CA54" s="5"/>
      <c r="CB54" s="40"/>
      <c r="CC54" s="5"/>
      <c r="CD54" s="5"/>
      <c r="CE54" s="40"/>
      <c r="CF54" s="5"/>
      <c r="CG54" s="5"/>
      <c r="CH54" s="40"/>
      <c r="CI54" s="5"/>
      <c r="CJ54" s="5"/>
      <c r="CK54" s="40"/>
      <c r="CL54" s="5"/>
      <c r="CM54" s="5"/>
      <c r="CN54" s="40"/>
      <c r="CO54" s="5"/>
      <c r="CP54" s="5"/>
      <c r="CQ54" s="40"/>
      <c r="CR54" s="5"/>
      <c r="CS54" s="5"/>
      <c r="CT54" s="5"/>
      <c r="CU54" s="5"/>
      <c r="CV54" s="5"/>
      <c r="CW54" s="5"/>
      <c r="CX54" s="5"/>
      <c r="CY54" s="5"/>
      <c r="CZ54" s="5"/>
      <c r="DA54" s="5"/>
      <c r="DB54" s="5"/>
      <c r="DC54" s="5"/>
      <c r="DD54" s="5"/>
      <c r="DE54" s="5"/>
      <c r="DF54" s="5"/>
    </row>
    <row r="55">
      <c r="A55" s="19"/>
      <c r="B55" s="26"/>
      <c r="C55" s="21"/>
      <c r="D55" s="19"/>
      <c r="G55" s="5"/>
      <c r="J55" s="5"/>
      <c r="M55" s="5"/>
      <c r="P55" s="5"/>
      <c r="S55" s="5"/>
      <c r="V55" s="5"/>
      <c r="Y55" s="5"/>
      <c r="AB55" s="5"/>
      <c r="AE55" s="5"/>
      <c r="AH55" s="5"/>
      <c r="AK55" s="5"/>
      <c r="AN55" s="5"/>
      <c r="AO55" s="40"/>
      <c r="AP55" s="5"/>
      <c r="AQ55" s="5"/>
      <c r="AR55" s="40"/>
      <c r="AS55" s="5"/>
      <c r="AT55" s="5"/>
      <c r="AU55" s="40"/>
      <c r="AV55" s="5"/>
      <c r="AW55" s="5"/>
      <c r="AX55" s="40"/>
      <c r="AY55" s="5"/>
      <c r="AZ55" s="5"/>
      <c r="BA55" s="40"/>
      <c r="BB55" s="5"/>
      <c r="BC55" s="5"/>
      <c r="BD55" s="40"/>
      <c r="BE55" s="5"/>
      <c r="BF55" s="5"/>
      <c r="BG55" s="40"/>
      <c r="BH55" s="5"/>
      <c r="BI55" s="5"/>
      <c r="BJ55" s="40"/>
      <c r="BK55" s="5"/>
      <c r="BL55" s="5"/>
      <c r="BM55" s="40"/>
      <c r="BN55" s="5"/>
      <c r="BO55" s="5"/>
      <c r="BP55" s="40"/>
      <c r="BQ55" s="5"/>
      <c r="BR55" s="5"/>
      <c r="BS55" s="40"/>
      <c r="BT55" s="5"/>
      <c r="BU55" s="5"/>
      <c r="BV55" s="40"/>
      <c r="BW55" s="5"/>
      <c r="BX55" s="5"/>
      <c r="BY55" s="40"/>
      <c r="BZ55" s="5"/>
      <c r="CA55" s="5"/>
      <c r="CB55" s="40"/>
      <c r="CC55" s="5"/>
      <c r="CD55" s="5"/>
      <c r="CE55" s="40"/>
      <c r="CF55" s="5"/>
      <c r="CG55" s="5"/>
      <c r="CH55" s="40"/>
      <c r="CI55" s="5"/>
      <c r="CJ55" s="5"/>
      <c r="CK55" s="40"/>
      <c r="CL55" s="5"/>
      <c r="CM55" s="5"/>
      <c r="CN55" s="40"/>
      <c r="CO55" s="5"/>
      <c r="CP55" s="5"/>
      <c r="CQ55" s="40"/>
      <c r="CR55" s="5"/>
      <c r="CS55" s="5"/>
      <c r="CT55" s="5"/>
      <c r="CU55" s="5"/>
      <c r="CV55" s="5"/>
      <c r="CW55" s="5"/>
      <c r="CX55" s="5"/>
      <c r="CY55" s="5"/>
      <c r="CZ55" s="5"/>
      <c r="DA55" s="5"/>
      <c r="DB55" s="5"/>
      <c r="DC55" s="5"/>
      <c r="DD55" s="5"/>
      <c r="DE55" s="5"/>
      <c r="DF55" s="5"/>
    </row>
    <row r="56">
      <c r="A56" s="19"/>
      <c r="B56" s="26"/>
      <c r="C56" s="21"/>
      <c r="D56" s="19"/>
      <c r="G56" s="5"/>
      <c r="J56" s="5"/>
      <c r="M56" s="5"/>
      <c r="P56" s="5"/>
      <c r="S56" s="5"/>
      <c r="V56" s="5"/>
      <c r="Y56" s="5"/>
      <c r="AB56" s="5"/>
      <c r="AE56" s="5"/>
      <c r="AH56" s="5"/>
      <c r="AK56" s="5"/>
      <c r="AN56" s="5"/>
      <c r="AO56" s="40"/>
      <c r="AP56" s="5"/>
      <c r="AQ56" s="5"/>
      <c r="AR56" s="40"/>
      <c r="AS56" s="5"/>
      <c r="AT56" s="5"/>
      <c r="AU56" s="40"/>
      <c r="AV56" s="5"/>
      <c r="AW56" s="5"/>
      <c r="AX56" s="40"/>
      <c r="AY56" s="5"/>
      <c r="AZ56" s="5"/>
      <c r="BA56" s="40"/>
      <c r="BB56" s="5"/>
      <c r="BC56" s="5"/>
      <c r="BD56" s="40"/>
      <c r="BE56" s="5"/>
      <c r="BF56" s="5"/>
      <c r="BG56" s="40"/>
      <c r="BH56" s="5"/>
      <c r="BI56" s="5"/>
      <c r="BJ56" s="40"/>
      <c r="BK56" s="5"/>
      <c r="BL56" s="5"/>
      <c r="BM56" s="40"/>
      <c r="BN56" s="5"/>
      <c r="BO56" s="5"/>
      <c r="BP56" s="40"/>
      <c r="BQ56" s="5"/>
      <c r="BR56" s="5"/>
      <c r="BS56" s="40"/>
      <c r="BT56" s="5"/>
      <c r="BU56" s="5"/>
      <c r="BV56" s="40"/>
      <c r="BW56" s="5"/>
      <c r="BX56" s="5"/>
      <c r="BY56" s="40"/>
      <c r="BZ56" s="5"/>
      <c r="CA56" s="5"/>
      <c r="CB56" s="40"/>
      <c r="CC56" s="5"/>
      <c r="CD56" s="5"/>
      <c r="CE56" s="40"/>
      <c r="CF56" s="5"/>
      <c r="CG56" s="5"/>
      <c r="CH56" s="40"/>
      <c r="CI56" s="5"/>
      <c r="CJ56" s="5"/>
      <c r="CK56" s="40"/>
      <c r="CL56" s="5"/>
      <c r="CM56" s="5"/>
      <c r="CN56" s="40"/>
      <c r="CO56" s="5"/>
      <c r="CP56" s="5"/>
      <c r="CQ56" s="40"/>
      <c r="CR56" s="5"/>
      <c r="CS56" s="5"/>
      <c r="CT56" s="5"/>
      <c r="CU56" s="5"/>
      <c r="CV56" s="5"/>
      <c r="CW56" s="5"/>
      <c r="CX56" s="5"/>
      <c r="CY56" s="5"/>
      <c r="CZ56" s="5"/>
      <c r="DA56" s="5"/>
      <c r="DB56" s="5"/>
      <c r="DC56" s="5"/>
      <c r="DD56" s="5"/>
      <c r="DE56" s="5"/>
      <c r="DF56" s="5"/>
    </row>
    <row r="57">
      <c r="A57" s="19"/>
      <c r="B57" s="26"/>
      <c r="C57" s="21"/>
      <c r="D57" s="19"/>
      <c r="G57" s="5"/>
      <c r="J57" s="5"/>
      <c r="M57" s="5"/>
      <c r="P57" s="5"/>
      <c r="S57" s="5"/>
      <c r="V57" s="5"/>
      <c r="Y57" s="5"/>
      <c r="AB57" s="5"/>
      <c r="AE57" s="5"/>
      <c r="AH57" s="5"/>
      <c r="AK57" s="5"/>
      <c r="AN57" s="5"/>
      <c r="AO57" s="40"/>
      <c r="AP57" s="5"/>
      <c r="AQ57" s="5"/>
      <c r="AR57" s="40"/>
      <c r="AS57" s="5"/>
      <c r="AT57" s="5"/>
      <c r="AU57" s="40"/>
      <c r="AV57" s="5"/>
      <c r="AW57" s="5"/>
      <c r="AX57" s="40"/>
      <c r="AY57" s="5"/>
      <c r="AZ57" s="5"/>
      <c r="BA57" s="40"/>
      <c r="BB57" s="5"/>
      <c r="BC57" s="5"/>
      <c r="BD57" s="40"/>
      <c r="BE57" s="5"/>
      <c r="BF57" s="5"/>
      <c r="BG57" s="40"/>
      <c r="BH57" s="5"/>
      <c r="BI57" s="5"/>
      <c r="BJ57" s="40"/>
      <c r="BK57" s="5"/>
      <c r="BL57" s="5"/>
      <c r="BM57" s="40"/>
      <c r="BN57" s="5"/>
      <c r="BO57" s="5"/>
      <c r="BP57" s="40"/>
      <c r="BQ57" s="5"/>
      <c r="BR57" s="5"/>
      <c r="BS57" s="40"/>
      <c r="BT57" s="5"/>
      <c r="BU57" s="5"/>
      <c r="BV57" s="40"/>
      <c r="BW57" s="5"/>
      <c r="BX57" s="5"/>
      <c r="BY57" s="40"/>
      <c r="BZ57" s="5"/>
      <c r="CA57" s="5"/>
      <c r="CB57" s="40"/>
      <c r="CC57" s="5"/>
      <c r="CD57" s="5"/>
      <c r="CE57" s="40"/>
      <c r="CF57" s="5"/>
      <c r="CG57" s="5"/>
      <c r="CH57" s="40"/>
      <c r="CI57" s="5"/>
      <c r="CJ57" s="5"/>
      <c r="CK57" s="40"/>
      <c r="CL57" s="5"/>
      <c r="CM57" s="5"/>
      <c r="CN57" s="40"/>
      <c r="CO57" s="5"/>
      <c r="CP57" s="5"/>
      <c r="CQ57" s="40"/>
      <c r="CR57" s="5"/>
      <c r="CS57" s="5"/>
      <c r="CT57" s="5"/>
      <c r="CU57" s="5"/>
      <c r="CV57" s="5"/>
      <c r="CW57" s="5"/>
      <c r="CX57" s="5"/>
      <c r="CY57" s="5"/>
      <c r="CZ57" s="5"/>
      <c r="DA57" s="5"/>
      <c r="DB57" s="5"/>
      <c r="DC57" s="5"/>
      <c r="DD57" s="5"/>
      <c r="DE57" s="5"/>
      <c r="DF57" s="5"/>
    </row>
    <row r="58">
      <c r="A58" s="19"/>
      <c r="B58" s="26"/>
      <c r="C58" s="21"/>
      <c r="D58" s="19"/>
      <c r="G58" s="5"/>
      <c r="J58" s="5"/>
      <c r="M58" s="5"/>
      <c r="P58" s="5"/>
      <c r="S58" s="5"/>
      <c r="V58" s="5"/>
      <c r="Y58" s="5"/>
      <c r="AB58" s="5"/>
      <c r="AE58" s="5"/>
      <c r="AH58" s="5"/>
      <c r="AK58" s="5"/>
      <c r="AN58" s="5"/>
      <c r="AO58" s="40"/>
      <c r="AP58" s="5"/>
      <c r="AQ58" s="5"/>
      <c r="AR58" s="40"/>
      <c r="AS58" s="5"/>
      <c r="AT58" s="5"/>
      <c r="AU58" s="40"/>
      <c r="AV58" s="5"/>
      <c r="AW58" s="5"/>
      <c r="AX58" s="40"/>
      <c r="AY58" s="5"/>
      <c r="AZ58" s="5"/>
      <c r="BA58" s="40"/>
      <c r="BB58" s="5"/>
      <c r="BC58" s="5"/>
      <c r="BD58" s="40"/>
      <c r="BE58" s="5"/>
      <c r="BF58" s="5"/>
      <c r="BG58" s="40"/>
      <c r="BH58" s="5"/>
      <c r="BI58" s="5"/>
      <c r="BJ58" s="40"/>
      <c r="BK58" s="5"/>
      <c r="BL58" s="5"/>
      <c r="BM58" s="40"/>
      <c r="BN58" s="5"/>
      <c r="BO58" s="5"/>
      <c r="BP58" s="40"/>
      <c r="BQ58" s="5"/>
      <c r="BR58" s="5"/>
      <c r="BS58" s="40"/>
      <c r="BT58" s="5"/>
      <c r="BU58" s="5"/>
      <c r="BV58" s="40"/>
      <c r="BW58" s="5"/>
      <c r="BX58" s="5"/>
      <c r="BY58" s="40"/>
      <c r="BZ58" s="5"/>
      <c r="CA58" s="5"/>
      <c r="CB58" s="40"/>
      <c r="CC58" s="5"/>
      <c r="CD58" s="5"/>
      <c r="CE58" s="40"/>
      <c r="CF58" s="5"/>
      <c r="CG58" s="5"/>
      <c r="CH58" s="40"/>
      <c r="CI58" s="5"/>
      <c r="CJ58" s="5"/>
      <c r="CK58" s="40"/>
      <c r="CL58" s="5"/>
      <c r="CM58" s="5"/>
      <c r="CN58" s="40"/>
      <c r="CO58" s="5"/>
      <c r="CP58" s="5"/>
      <c r="CQ58" s="40"/>
      <c r="CR58" s="5"/>
      <c r="CS58" s="5"/>
      <c r="CT58" s="5"/>
      <c r="CU58" s="5"/>
      <c r="CV58" s="5"/>
      <c r="CW58" s="5"/>
      <c r="CX58" s="5"/>
      <c r="CY58" s="5"/>
      <c r="CZ58" s="5"/>
      <c r="DA58" s="5"/>
      <c r="DB58" s="5"/>
      <c r="DC58" s="5"/>
      <c r="DD58" s="5"/>
      <c r="DE58" s="5"/>
      <c r="DF58" s="5"/>
    </row>
    <row r="59">
      <c r="A59" s="19"/>
      <c r="B59" s="26"/>
      <c r="C59" s="21"/>
      <c r="D59" s="19"/>
      <c r="G59" s="5"/>
      <c r="J59" s="5"/>
      <c r="M59" s="5"/>
      <c r="P59" s="5"/>
      <c r="S59" s="5"/>
      <c r="V59" s="5"/>
      <c r="Y59" s="5"/>
      <c r="AB59" s="5"/>
      <c r="AE59" s="5"/>
      <c r="AH59" s="5"/>
      <c r="AK59" s="5"/>
      <c r="AN59" s="5"/>
      <c r="AO59" s="40"/>
      <c r="AP59" s="5"/>
      <c r="AQ59" s="5"/>
      <c r="AR59" s="40"/>
      <c r="AS59" s="5"/>
      <c r="AT59" s="5"/>
      <c r="AU59" s="40"/>
      <c r="AV59" s="5"/>
      <c r="AW59" s="5"/>
      <c r="AX59" s="40"/>
      <c r="AY59" s="5"/>
      <c r="AZ59" s="5"/>
      <c r="BA59" s="40"/>
      <c r="BB59" s="5"/>
      <c r="BC59" s="5"/>
      <c r="BD59" s="40"/>
      <c r="BE59" s="5"/>
      <c r="BF59" s="5"/>
      <c r="BG59" s="40"/>
      <c r="BH59" s="5"/>
      <c r="BI59" s="5"/>
      <c r="BJ59" s="40"/>
      <c r="BK59" s="5"/>
      <c r="BL59" s="5"/>
      <c r="BM59" s="40"/>
      <c r="BN59" s="5"/>
      <c r="BO59" s="5"/>
      <c r="BP59" s="40"/>
      <c r="BQ59" s="5"/>
      <c r="BR59" s="5"/>
      <c r="BS59" s="40"/>
      <c r="BT59" s="5"/>
      <c r="BU59" s="5"/>
      <c r="BV59" s="40"/>
      <c r="BW59" s="5"/>
      <c r="BX59" s="5"/>
      <c r="BY59" s="40"/>
      <c r="BZ59" s="5"/>
      <c r="CA59" s="5"/>
      <c r="CB59" s="40"/>
      <c r="CC59" s="5"/>
      <c r="CD59" s="5"/>
      <c r="CE59" s="40"/>
      <c r="CF59" s="5"/>
      <c r="CG59" s="5"/>
      <c r="CH59" s="40"/>
      <c r="CI59" s="5"/>
      <c r="CJ59" s="5"/>
      <c r="CK59" s="40"/>
      <c r="CL59" s="5"/>
      <c r="CM59" s="5"/>
      <c r="CN59" s="40"/>
      <c r="CO59" s="5"/>
      <c r="CP59" s="5"/>
      <c r="CQ59" s="40"/>
      <c r="CR59" s="5"/>
      <c r="CS59" s="5"/>
      <c r="CT59" s="5"/>
      <c r="CU59" s="5"/>
      <c r="CV59" s="5"/>
      <c r="CW59" s="5"/>
      <c r="CX59" s="5"/>
      <c r="CY59" s="5"/>
      <c r="CZ59" s="5"/>
      <c r="DA59" s="5"/>
      <c r="DB59" s="5"/>
      <c r="DC59" s="5"/>
      <c r="DD59" s="5"/>
      <c r="DE59" s="5"/>
      <c r="DF59" s="5"/>
    </row>
    <row r="60">
      <c r="A60" s="19"/>
      <c r="B60" s="26"/>
      <c r="C60" s="21"/>
      <c r="D60" s="19"/>
      <c r="G60" s="5"/>
      <c r="J60" s="5"/>
      <c r="M60" s="5"/>
      <c r="P60" s="5"/>
      <c r="S60" s="5"/>
      <c r="V60" s="5"/>
      <c r="Y60" s="5"/>
      <c r="AB60" s="5"/>
      <c r="AE60" s="5"/>
      <c r="AH60" s="5"/>
      <c r="AK60" s="5"/>
      <c r="AN60" s="5"/>
      <c r="AO60" s="40"/>
      <c r="AP60" s="5"/>
      <c r="AQ60" s="5"/>
      <c r="AR60" s="40"/>
      <c r="AS60" s="5"/>
      <c r="AT60" s="5"/>
      <c r="AU60" s="40"/>
      <c r="AV60" s="5"/>
      <c r="AW60" s="5"/>
      <c r="AX60" s="40"/>
      <c r="AY60" s="5"/>
      <c r="AZ60" s="5"/>
      <c r="BA60" s="40"/>
      <c r="BB60" s="5"/>
      <c r="BC60" s="5"/>
      <c r="BD60" s="40"/>
      <c r="BE60" s="5"/>
      <c r="BF60" s="5"/>
      <c r="BG60" s="40"/>
      <c r="BH60" s="5"/>
      <c r="BI60" s="5"/>
      <c r="BJ60" s="40"/>
      <c r="BK60" s="5"/>
      <c r="BL60" s="5"/>
      <c r="BM60" s="40"/>
      <c r="BN60" s="5"/>
      <c r="BO60" s="5"/>
      <c r="BP60" s="40"/>
      <c r="BQ60" s="5"/>
      <c r="BR60" s="5"/>
      <c r="BS60" s="40"/>
      <c r="BT60" s="5"/>
      <c r="BU60" s="5"/>
      <c r="BV60" s="40"/>
      <c r="BW60" s="5"/>
      <c r="BX60" s="5"/>
      <c r="BY60" s="40"/>
      <c r="BZ60" s="5"/>
      <c r="CA60" s="5"/>
      <c r="CB60" s="40"/>
      <c r="CC60" s="5"/>
      <c r="CD60" s="5"/>
      <c r="CE60" s="40"/>
      <c r="CF60" s="5"/>
      <c r="CG60" s="5"/>
      <c r="CH60" s="40"/>
      <c r="CI60" s="5"/>
      <c r="CJ60" s="5"/>
      <c r="CK60" s="40"/>
      <c r="CL60" s="5"/>
      <c r="CM60" s="5"/>
      <c r="CN60" s="40"/>
      <c r="CO60" s="5"/>
      <c r="CP60" s="5"/>
      <c r="CQ60" s="40"/>
      <c r="CR60" s="5"/>
      <c r="CS60" s="5"/>
      <c r="CT60" s="5"/>
      <c r="CU60" s="5"/>
      <c r="CV60" s="5"/>
      <c r="CW60" s="5"/>
      <c r="CX60" s="5"/>
      <c r="CY60" s="5"/>
      <c r="CZ60" s="5"/>
      <c r="DA60" s="5"/>
      <c r="DB60" s="5"/>
      <c r="DC60" s="5"/>
      <c r="DD60" s="5"/>
      <c r="DE60" s="5"/>
      <c r="DF60" s="5"/>
    </row>
    <row r="61">
      <c r="A61" s="19"/>
      <c r="B61" s="26"/>
      <c r="C61" s="21"/>
      <c r="D61" s="19"/>
      <c r="G61" s="5"/>
      <c r="J61" s="5"/>
      <c r="M61" s="5"/>
      <c r="P61" s="5"/>
      <c r="S61" s="5"/>
      <c r="V61" s="5"/>
      <c r="Y61" s="5"/>
      <c r="AB61" s="5"/>
      <c r="AE61" s="5"/>
      <c r="AH61" s="5"/>
      <c r="AK61" s="5"/>
      <c r="AN61" s="5"/>
      <c r="AO61" s="40"/>
      <c r="AP61" s="5"/>
      <c r="AQ61" s="5"/>
      <c r="AR61" s="40"/>
      <c r="AS61" s="5"/>
      <c r="AT61" s="5"/>
      <c r="AU61" s="40"/>
      <c r="AV61" s="5"/>
      <c r="AW61" s="5"/>
      <c r="AX61" s="40"/>
      <c r="AY61" s="5"/>
      <c r="AZ61" s="5"/>
      <c r="BA61" s="40"/>
      <c r="BB61" s="5"/>
      <c r="BC61" s="5"/>
      <c r="BD61" s="40"/>
      <c r="BE61" s="5"/>
      <c r="BF61" s="5"/>
      <c r="BG61" s="40"/>
      <c r="BH61" s="5"/>
      <c r="BI61" s="5"/>
      <c r="BJ61" s="40"/>
      <c r="BK61" s="5"/>
      <c r="BL61" s="5"/>
      <c r="BM61" s="40"/>
      <c r="BN61" s="5"/>
      <c r="BO61" s="5"/>
      <c r="BP61" s="40"/>
      <c r="BQ61" s="5"/>
      <c r="BR61" s="5"/>
      <c r="BS61" s="40"/>
      <c r="BT61" s="5"/>
      <c r="BU61" s="5"/>
      <c r="BV61" s="40"/>
      <c r="BW61" s="5"/>
      <c r="BX61" s="5"/>
      <c r="BY61" s="40"/>
      <c r="BZ61" s="5"/>
      <c r="CA61" s="5"/>
      <c r="CB61" s="40"/>
      <c r="CC61" s="5"/>
      <c r="CD61" s="5"/>
      <c r="CE61" s="40"/>
      <c r="CF61" s="5"/>
      <c r="CG61" s="5"/>
      <c r="CH61" s="40"/>
      <c r="CI61" s="5"/>
      <c r="CJ61" s="5"/>
      <c r="CK61" s="40"/>
      <c r="CL61" s="5"/>
      <c r="CM61" s="5"/>
      <c r="CN61" s="40"/>
      <c r="CO61" s="5"/>
      <c r="CP61" s="5"/>
      <c r="CQ61" s="40"/>
      <c r="CR61" s="5"/>
      <c r="CS61" s="5"/>
      <c r="CT61" s="5"/>
      <c r="CU61" s="5"/>
      <c r="CV61" s="5"/>
      <c r="CW61" s="5"/>
      <c r="CX61" s="5"/>
      <c r="CY61" s="5"/>
      <c r="CZ61" s="5"/>
      <c r="DA61" s="5"/>
      <c r="DB61" s="5"/>
      <c r="DC61" s="5"/>
      <c r="DD61" s="5"/>
      <c r="DE61" s="5"/>
      <c r="DF61" s="5"/>
    </row>
    <row r="62">
      <c r="A62" s="19"/>
      <c r="B62" s="26"/>
      <c r="C62" s="21"/>
      <c r="D62" s="19"/>
      <c r="AO62" s="40"/>
      <c r="AP62" s="5"/>
      <c r="AR62" s="40"/>
      <c r="AS62" s="5"/>
      <c r="AU62" s="40"/>
      <c r="AV62" s="5"/>
      <c r="AX62" s="40"/>
      <c r="AY62" s="5"/>
      <c r="BA62" s="40"/>
      <c r="BB62" s="5"/>
      <c r="BD62" s="40"/>
      <c r="BE62" s="5"/>
      <c r="BG62" s="40"/>
      <c r="BH62" s="5"/>
      <c r="BJ62" s="40"/>
      <c r="BK62" s="5"/>
      <c r="BM62" s="40"/>
      <c r="BN62" s="5"/>
      <c r="BP62" s="40"/>
      <c r="BQ62" s="5"/>
      <c r="BS62" s="40"/>
      <c r="BT62" s="5"/>
      <c r="BV62" s="40"/>
      <c r="BW62" s="5"/>
      <c r="BY62" s="40"/>
      <c r="BZ62" s="5"/>
      <c r="CB62" s="40"/>
      <c r="CC62" s="5"/>
      <c r="CE62" s="40"/>
      <c r="CF62" s="5"/>
      <c r="CH62" s="40"/>
      <c r="CI62" s="5"/>
      <c r="CK62" s="40"/>
      <c r="CL62" s="5"/>
      <c r="CN62" s="40"/>
      <c r="CO62" s="5"/>
      <c r="CQ62" s="40"/>
      <c r="CR62" s="5"/>
    </row>
    <row r="63">
      <c r="A63" s="19"/>
      <c r="B63" s="26"/>
      <c r="C63" s="21"/>
      <c r="D63" s="19"/>
      <c r="AO63" s="40"/>
      <c r="AP63" s="5"/>
      <c r="AR63" s="40"/>
      <c r="AS63" s="5"/>
      <c r="AU63" s="40"/>
      <c r="AV63" s="5"/>
      <c r="AX63" s="40"/>
      <c r="AY63" s="5"/>
      <c r="BA63" s="40"/>
      <c r="BB63" s="5"/>
      <c r="BD63" s="40"/>
      <c r="BE63" s="5"/>
      <c r="BG63" s="40"/>
      <c r="BH63" s="5"/>
      <c r="BJ63" s="40"/>
      <c r="BK63" s="5"/>
      <c r="BM63" s="40"/>
      <c r="BN63" s="5"/>
      <c r="BP63" s="40"/>
      <c r="BQ63" s="5"/>
      <c r="BS63" s="40"/>
      <c r="BT63" s="5"/>
      <c r="BV63" s="40"/>
      <c r="BW63" s="5"/>
      <c r="BY63" s="40"/>
      <c r="BZ63" s="5"/>
      <c r="CB63" s="40"/>
      <c r="CC63" s="5"/>
      <c r="CE63" s="40"/>
      <c r="CF63" s="5"/>
      <c r="CH63" s="40"/>
      <c r="CI63" s="5"/>
      <c r="CK63" s="40"/>
      <c r="CL63" s="5"/>
      <c r="CN63" s="40"/>
      <c r="CO63" s="5"/>
      <c r="CQ63" s="40"/>
      <c r="CR63" s="5"/>
    </row>
    <row r="64">
      <c r="A64" s="19"/>
      <c r="B64" s="26"/>
      <c r="C64" s="21"/>
      <c r="D64" s="19"/>
      <c r="AO64" s="40"/>
      <c r="AP64" s="5"/>
      <c r="AR64" s="40"/>
      <c r="AS64" s="5"/>
      <c r="AU64" s="40"/>
      <c r="AV64" s="5"/>
      <c r="AX64" s="40"/>
      <c r="AY64" s="5"/>
      <c r="BA64" s="40"/>
      <c r="BB64" s="5"/>
      <c r="BD64" s="40"/>
      <c r="BE64" s="5"/>
      <c r="BG64" s="40"/>
      <c r="BH64" s="5"/>
      <c r="BJ64" s="40"/>
      <c r="BK64" s="5"/>
      <c r="BM64" s="40"/>
      <c r="BN64" s="5"/>
      <c r="BP64" s="40"/>
      <c r="BQ64" s="5"/>
      <c r="BS64" s="40"/>
      <c r="BT64" s="5"/>
      <c r="BV64" s="40"/>
      <c r="BW64" s="5"/>
      <c r="BY64" s="40"/>
      <c r="BZ64" s="5"/>
      <c r="CB64" s="40"/>
      <c r="CC64" s="5"/>
      <c r="CE64" s="40"/>
      <c r="CF64" s="5"/>
      <c r="CH64" s="40"/>
      <c r="CI64" s="5"/>
      <c r="CK64" s="40"/>
      <c r="CL64" s="5"/>
      <c r="CN64" s="40"/>
      <c r="CO64" s="5"/>
      <c r="CQ64" s="40"/>
      <c r="CR64" s="5"/>
    </row>
    <row r="65">
      <c r="A65" s="19"/>
      <c r="B65" s="26"/>
      <c r="C65" s="21"/>
      <c r="D65" s="19"/>
      <c r="AO65" s="40"/>
      <c r="AP65" s="5"/>
      <c r="AR65" s="40"/>
      <c r="AS65" s="5"/>
      <c r="AU65" s="40"/>
      <c r="AV65" s="5"/>
      <c r="AX65" s="40"/>
      <c r="AY65" s="5"/>
      <c r="BA65" s="40"/>
      <c r="BB65" s="5"/>
      <c r="BD65" s="40"/>
      <c r="BE65" s="5"/>
      <c r="BG65" s="40"/>
      <c r="BH65" s="5"/>
      <c r="BJ65" s="40"/>
      <c r="BK65" s="5"/>
      <c r="BM65" s="40"/>
      <c r="BN65" s="5"/>
      <c r="BP65" s="40"/>
      <c r="BQ65" s="5"/>
      <c r="BS65" s="40"/>
      <c r="BT65" s="5"/>
      <c r="BV65" s="40"/>
      <c r="BW65" s="5"/>
      <c r="BY65" s="40"/>
      <c r="BZ65" s="5"/>
      <c r="CB65" s="40"/>
      <c r="CC65" s="5"/>
      <c r="CE65" s="40"/>
      <c r="CF65" s="5"/>
      <c r="CH65" s="40"/>
      <c r="CI65" s="5"/>
      <c r="CK65" s="40"/>
      <c r="CL65" s="5"/>
      <c r="CN65" s="40"/>
      <c r="CO65" s="5"/>
      <c r="CQ65" s="40"/>
      <c r="CR65" s="5"/>
    </row>
    <row r="66">
      <c r="A66" s="19"/>
      <c r="B66" s="26"/>
      <c r="C66" s="21"/>
      <c r="D66" s="19"/>
      <c r="AO66" s="40"/>
      <c r="AP66" s="5"/>
      <c r="AR66" s="40"/>
      <c r="AS66" s="5"/>
      <c r="AU66" s="40"/>
      <c r="AV66" s="5"/>
      <c r="AX66" s="40"/>
      <c r="AY66" s="5"/>
      <c r="BA66" s="40"/>
      <c r="BB66" s="5"/>
      <c r="BD66" s="40"/>
      <c r="BE66" s="5"/>
      <c r="BG66" s="40"/>
      <c r="BH66" s="5"/>
      <c r="BJ66" s="40"/>
      <c r="BK66" s="5"/>
      <c r="BM66" s="40"/>
      <c r="BN66" s="5"/>
      <c r="BP66" s="40"/>
      <c r="BQ66" s="5"/>
      <c r="BS66" s="40"/>
      <c r="BT66" s="5"/>
      <c r="BV66" s="40"/>
      <c r="BW66" s="5"/>
      <c r="BY66" s="40"/>
      <c r="BZ66" s="5"/>
      <c r="CB66" s="40"/>
      <c r="CC66" s="5"/>
      <c r="CE66" s="40"/>
      <c r="CF66" s="5"/>
      <c r="CH66" s="40"/>
      <c r="CI66" s="5"/>
      <c r="CK66" s="40"/>
      <c r="CL66" s="5"/>
      <c r="CN66" s="40"/>
      <c r="CO66" s="5"/>
      <c r="CQ66" s="40"/>
      <c r="CR66" s="5"/>
    </row>
    <row r="67">
      <c r="A67" s="19"/>
      <c r="B67" s="38"/>
      <c r="C67" s="19"/>
      <c r="D67" s="19"/>
      <c r="AO67" s="40"/>
      <c r="AP67" s="5"/>
      <c r="AR67" s="40"/>
      <c r="AS67" s="5"/>
      <c r="AU67" s="40"/>
      <c r="AV67" s="5"/>
      <c r="AX67" s="40"/>
      <c r="AY67" s="5"/>
      <c r="BA67" s="40"/>
      <c r="BB67" s="5"/>
      <c r="BD67" s="40"/>
      <c r="BE67" s="5"/>
      <c r="BG67" s="40"/>
      <c r="BH67" s="5"/>
      <c r="BJ67" s="40"/>
      <c r="BK67" s="5"/>
      <c r="BM67" s="40"/>
      <c r="BN67" s="5"/>
      <c r="BP67" s="40"/>
      <c r="BQ67" s="5"/>
      <c r="BS67" s="40"/>
      <c r="BT67" s="5"/>
      <c r="BV67" s="40"/>
      <c r="BW67" s="5"/>
      <c r="BY67" s="40"/>
      <c r="BZ67" s="5"/>
      <c r="CB67" s="40"/>
      <c r="CC67" s="5"/>
      <c r="CE67" s="40"/>
      <c r="CF67" s="5"/>
      <c r="CH67" s="40"/>
      <c r="CI67" s="5"/>
      <c r="CK67" s="40"/>
      <c r="CL67" s="5"/>
      <c r="CN67" s="40"/>
      <c r="CO67" s="5"/>
      <c r="CQ67" s="40"/>
      <c r="CR67" s="5"/>
    </row>
    <row r="68">
      <c r="AO68" s="40"/>
      <c r="AP68" s="5"/>
      <c r="AR68" s="40"/>
      <c r="AS68" s="5"/>
      <c r="AU68" s="40"/>
      <c r="AV68" s="5"/>
      <c r="AX68" s="40"/>
      <c r="AY68" s="5"/>
      <c r="BA68" s="40"/>
      <c r="BB68" s="5"/>
      <c r="BD68" s="40"/>
      <c r="BE68" s="5"/>
      <c r="BG68" s="40"/>
      <c r="BH68" s="5"/>
      <c r="BJ68" s="40"/>
      <c r="BK68" s="5"/>
      <c r="BM68" s="40"/>
      <c r="BN68" s="5"/>
      <c r="BP68" s="40"/>
      <c r="BQ68" s="5"/>
      <c r="BS68" s="40"/>
      <c r="BT68" s="5"/>
      <c r="BV68" s="40"/>
      <c r="BW68" s="5"/>
      <c r="BY68" s="40"/>
      <c r="BZ68" s="5"/>
      <c r="CB68" s="40"/>
      <c r="CC68" s="5"/>
      <c r="CE68" s="40"/>
      <c r="CF68" s="5"/>
      <c r="CH68" s="40"/>
      <c r="CI68" s="5"/>
      <c r="CK68" s="40"/>
      <c r="CL68" s="5"/>
      <c r="CN68" s="40"/>
      <c r="CO68" s="5"/>
      <c r="CQ68" s="40"/>
      <c r="CR68" s="5"/>
    </row>
    <row r="69">
      <c r="AO69" s="40"/>
      <c r="AP69" s="5"/>
      <c r="AR69" s="40"/>
      <c r="AS69" s="5"/>
      <c r="AU69" s="40"/>
      <c r="AV69" s="5"/>
      <c r="AX69" s="40"/>
      <c r="AY69" s="5"/>
      <c r="BA69" s="40"/>
      <c r="BB69" s="5"/>
      <c r="BD69" s="40"/>
      <c r="BE69" s="5"/>
      <c r="BG69" s="40"/>
      <c r="BH69" s="5"/>
      <c r="BJ69" s="40"/>
      <c r="BK69" s="5"/>
      <c r="BM69" s="40"/>
      <c r="BN69" s="5"/>
      <c r="BP69" s="40"/>
      <c r="BQ69" s="5"/>
      <c r="BS69" s="40"/>
      <c r="BT69" s="5"/>
      <c r="BV69" s="40"/>
      <c r="BW69" s="5"/>
      <c r="BY69" s="40"/>
      <c r="BZ69" s="5"/>
      <c r="CB69" s="40"/>
      <c r="CC69" s="5"/>
      <c r="CE69" s="40"/>
      <c r="CF69" s="5"/>
      <c r="CH69" s="40"/>
      <c r="CI69" s="5"/>
      <c r="CK69" s="40"/>
      <c r="CL69" s="5"/>
      <c r="CN69" s="40"/>
      <c r="CO69" s="5"/>
      <c r="CQ69" s="40"/>
      <c r="CR69" s="5"/>
    </row>
    <row r="70">
      <c r="AO70" s="40"/>
      <c r="AP70" s="5"/>
      <c r="AR70" s="40"/>
      <c r="AS70" s="5"/>
      <c r="AU70" s="40"/>
      <c r="AV70" s="5"/>
      <c r="AX70" s="40"/>
      <c r="AY70" s="5"/>
      <c r="BA70" s="40"/>
      <c r="BB70" s="5"/>
      <c r="BD70" s="40"/>
      <c r="BE70" s="5"/>
      <c r="BG70" s="40"/>
      <c r="BH70" s="5"/>
      <c r="BJ70" s="40"/>
      <c r="BK70" s="5"/>
      <c r="BM70" s="40"/>
      <c r="BN70" s="5"/>
      <c r="BP70" s="40"/>
      <c r="BQ70" s="5"/>
      <c r="BS70" s="40"/>
      <c r="BT70" s="5"/>
      <c r="BV70" s="40"/>
      <c r="BW70" s="5"/>
      <c r="BY70" s="40"/>
      <c r="BZ70" s="5"/>
      <c r="CB70" s="40"/>
      <c r="CC70" s="5"/>
      <c r="CE70" s="40"/>
      <c r="CF70" s="5"/>
      <c r="CH70" s="40"/>
      <c r="CI70" s="5"/>
      <c r="CK70" s="40"/>
      <c r="CL70" s="5"/>
      <c r="CN70" s="40"/>
      <c r="CO70" s="5"/>
      <c r="CQ70" s="40"/>
      <c r="CR70" s="5"/>
    </row>
    <row r="71">
      <c r="AO71" s="40"/>
      <c r="AP71" s="5"/>
      <c r="AR71" s="40"/>
      <c r="AS71" s="5"/>
      <c r="AU71" s="40"/>
      <c r="AV71" s="5"/>
      <c r="AX71" s="40"/>
      <c r="AY71" s="5"/>
      <c r="BA71" s="40"/>
      <c r="BB71" s="5"/>
      <c r="BD71" s="40"/>
      <c r="BE71" s="5"/>
      <c r="BG71" s="40"/>
      <c r="BH71" s="5"/>
      <c r="BJ71" s="40"/>
      <c r="BK71" s="5"/>
      <c r="BM71" s="40"/>
      <c r="BN71" s="5"/>
      <c r="BP71" s="40"/>
      <c r="BQ71" s="5"/>
      <c r="BS71" s="40"/>
      <c r="BT71" s="5"/>
      <c r="BV71" s="40"/>
      <c r="BW71" s="5"/>
      <c r="BY71" s="40"/>
      <c r="BZ71" s="5"/>
      <c r="CB71" s="40"/>
      <c r="CC71" s="5"/>
      <c r="CE71" s="40"/>
      <c r="CF71" s="5"/>
      <c r="CH71" s="40"/>
      <c r="CI71" s="5"/>
      <c r="CK71" s="40"/>
      <c r="CL71" s="5"/>
      <c r="CN71" s="40"/>
      <c r="CO71" s="5"/>
      <c r="CQ71" s="40"/>
      <c r="CR71" s="5"/>
    </row>
    <row r="72">
      <c r="AO72" s="40"/>
      <c r="AP72" s="5"/>
      <c r="AR72" s="40"/>
      <c r="AS72" s="5"/>
      <c r="AU72" s="40"/>
      <c r="AV72" s="5"/>
      <c r="AX72" s="40"/>
      <c r="AY72" s="5"/>
      <c r="BA72" s="40"/>
      <c r="BB72" s="5"/>
      <c r="BD72" s="40"/>
      <c r="BE72" s="5"/>
      <c r="BG72" s="40"/>
      <c r="BH72" s="5"/>
      <c r="BJ72" s="40"/>
      <c r="BK72" s="5"/>
      <c r="BM72" s="40"/>
      <c r="BN72" s="5"/>
      <c r="BP72" s="40"/>
      <c r="BQ72" s="5"/>
      <c r="BS72" s="40"/>
      <c r="BT72" s="5"/>
      <c r="BV72" s="40"/>
      <c r="BW72" s="5"/>
      <c r="BY72" s="40"/>
      <c r="BZ72" s="5"/>
      <c r="CB72" s="40"/>
      <c r="CC72" s="5"/>
      <c r="CE72" s="40"/>
      <c r="CF72" s="5"/>
      <c r="CH72" s="40"/>
      <c r="CI72" s="5"/>
      <c r="CK72" s="40"/>
      <c r="CL72" s="5"/>
      <c r="CN72" s="40"/>
      <c r="CO72" s="5"/>
      <c r="CQ72" s="40"/>
      <c r="CR72" s="5"/>
    </row>
    <row r="73">
      <c r="AO73" s="40"/>
      <c r="AP73" s="5"/>
      <c r="AR73" s="40"/>
      <c r="AS73" s="5"/>
      <c r="AU73" s="40"/>
      <c r="AV73" s="5"/>
      <c r="AX73" s="40"/>
      <c r="AY73" s="5"/>
      <c r="BA73" s="40"/>
      <c r="BB73" s="5"/>
      <c r="BD73" s="40"/>
      <c r="BE73" s="5"/>
      <c r="BG73" s="40"/>
      <c r="BH73" s="5"/>
      <c r="BJ73" s="40"/>
      <c r="BK73" s="5"/>
      <c r="BM73" s="40"/>
      <c r="BN73" s="5"/>
      <c r="BP73" s="40"/>
      <c r="BQ73" s="5"/>
      <c r="BS73" s="40"/>
      <c r="BT73" s="5"/>
      <c r="BV73" s="40"/>
      <c r="BW73" s="5"/>
      <c r="BY73" s="40"/>
      <c r="BZ73" s="5"/>
      <c r="CB73" s="40"/>
      <c r="CC73" s="5"/>
      <c r="CE73" s="40"/>
      <c r="CF73" s="5"/>
      <c r="CH73" s="40"/>
      <c r="CI73" s="5"/>
      <c r="CK73" s="40"/>
      <c r="CL73" s="5"/>
      <c r="CN73" s="40"/>
      <c r="CO73" s="5"/>
      <c r="CQ73" s="40"/>
      <c r="CR73" s="5"/>
    </row>
    <row r="74">
      <c r="AO74" s="40"/>
      <c r="AP74" s="5"/>
      <c r="AR74" s="40"/>
      <c r="AS74" s="5"/>
      <c r="AU74" s="40"/>
      <c r="AV74" s="5"/>
      <c r="AX74" s="40"/>
      <c r="AY74" s="5"/>
      <c r="BA74" s="40"/>
      <c r="BB74" s="5"/>
      <c r="BD74" s="40"/>
      <c r="BE74" s="5"/>
      <c r="BG74" s="40"/>
      <c r="BH74" s="5"/>
      <c r="BJ74" s="40"/>
      <c r="BK74" s="5"/>
      <c r="BM74" s="40"/>
      <c r="BN74" s="5"/>
      <c r="BP74" s="40"/>
      <c r="BQ74" s="5"/>
      <c r="BS74" s="40"/>
      <c r="BT74" s="5"/>
      <c r="BV74" s="40"/>
      <c r="BW74" s="5"/>
      <c r="BY74" s="40"/>
      <c r="BZ74" s="5"/>
      <c r="CB74" s="40"/>
      <c r="CC74" s="5"/>
      <c r="CE74" s="40"/>
      <c r="CF74" s="5"/>
      <c r="CH74" s="40"/>
      <c r="CI74" s="5"/>
      <c r="CK74" s="40"/>
      <c r="CL74" s="5"/>
      <c r="CN74" s="40"/>
      <c r="CO74" s="5"/>
      <c r="CQ74" s="40"/>
      <c r="CR74" s="5"/>
    </row>
    <row r="75">
      <c r="AO75" s="40"/>
      <c r="AP75" s="5"/>
      <c r="AR75" s="40"/>
      <c r="AS75" s="5"/>
      <c r="AU75" s="40"/>
      <c r="AV75" s="5"/>
      <c r="AX75" s="40"/>
      <c r="AY75" s="5"/>
      <c r="BA75" s="40"/>
      <c r="BB75" s="5"/>
      <c r="BD75" s="40"/>
      <c r="BE75" s="5"/>
      <c r="BG75" s="40"/>
      <c r="BH75" s="5"/>
      <c r="BJ75" s="40"/>
      <c r="BK75" s="5"/>
      <c r="BM75" s="40"/>
      <c r="BN75" s="5"/>
      <c r="BP75" s="40"/>
      <c r="BQ75" s="5"/>
      <c r="BS75" s="40"/>
      <c r="BT75" s="5"/>
      <c r="BV75" s="40"/>
      <c r="BW75" s="5"/>
      <c r="BY75" s="40"/>
      <c r="BZ75" s="5"/>
      <c r="CB75" s="40"/>
      <c r="CC75" s="5"/>
      <c r="CE75" s="40"/>
      <c r="CF75" s="5"/>
      <c r="CH75" s="40"/>
      <c r="CI75" s="5"/>
      <c r="CK75" s="40"/>
      <c r="CL75" s="5"/>
      <c r="CN75" s="40"/>
      <c r="CO75" s="5"/>
      <c r="CQ75" s="40"/>
      <c r="CR75" s="5"/>
    </row>
    <row r="76">
      <c r="AO76" s="40"/>
      <c r="AP76" s="5"/>
      <c r="AR76" s="40"/>
      <c r="AS76" s="5"/>
      <c r="AU76" s="40"/>
      <c r="AV76" s="5"/>
      <c r="AX76" s="40"/>
      <c r="AY76" s="5"/>
      <c r="BA76" s="40"/>
      <c r="BB76" s="5"/>
      <c r="BD76" s="40"/>
      <c r="BE76" s="5"/>
      <c r="BG76" s="40"/>
      <c r="BH76" s="5"/>
      <c r="BJ76" s="40"/>
      <c r="BK76" s="5"/>
      <c r="BM76" s="40"/>
      <c r="BN76" s="5"/>
      <c r="BP76" s="40"/>
      <c r="BQ76" s="5"/>
      <c r="BS76" s="40"/>
      <c r="BT76" s="5"/>
      <c r="BV76" s="40"/>
      <c r="BW76" s="5"/>
      <c r="BY76" s="40"/>
      <c r="BZ76" s="5"/>
      <c r="CB76" s="40"/>
      <c r="CC76" s="5"/>
      <c r="CE76" s="40"/>
      <c r="CF76" s="5"/>
      <c r="CH76" s="40"/>
      <c r="CI76" s="5"/>
      <c r="CK76" s="40"/>
      <c r="CL76" s="5"/>
      <c r="CN76" s="40"/>
      <c r="CO76" s="5"/>
      <c r="CQ76" s="40"/>
      <c r="CR76" s="5"/>
    </row>
    <row r="77">
      <c r="AO77" s="40"/>
      <c r="AP77" s="5"/>
      <c r="AR77" s="40"/>
      <c r="AS77" s="5"/>
      <c r="AU77" s="40"/>
      <c r="AV77" s="5"/>
      <c r="AX77" s="40"/>
      <c r="AY77" s="5"/>
      <c r="BA77" s="40"/>
      <c r="BB77" s="5"/>
      <c r="BD77" s="40"/>
      <c r="BE77" s="5"/>
      <c r="BG77" s="40"/>
      <c r="BH77" s="5"/>
      <c r="BJ77" s="40"/>
      <c r="BK77" s="5"/>
      <c r="BM77" s="40"/>
      <c r="BN77" s="5"/>
      <c r="BP77" s="40"/>
      <c r="BQ77" s="5"/>
      <c r="BS77" s="40"/>
      <c r="BT77" s="5"/>
      <c r="BV77" s="40"/>
      <c r="BW77" s="5"/>
      <c r="BY77" s="40"/>
      <c r="BZ77" s="5"/>
      <c r="CB77" s="40"/>
      <c r="CC77" s="5"/>
      <c r="CE77" s="40"/>
      <c r="CF77" s="5"/>
      <c r="CH77" s="40"/>
      <c r="CI77" s="5"/>
      <c r="CK77" s="40"/>
      <c r="CL77" s="5"/>
      <c r="CN77" s="40"/>
      <c r="CO77" s="5"/>
      <c r="CQ77" s="40"/>
      <c r="CR77" s="5"/>
    </row>
    <row r="78">
      <c r="AO78" s="40"/>
      <c r="AP78" s="5"/>
      <c r="AR78" s="40"/>
      <c r="AS78" s="5"/>
      <c r="AU78" s="40"/>
      <c r="AV78" s="5"/>
      <c r="AX78" s="40"/>
      <c r="AY78" s="5"/>
      <c r="BA78" s="40"/>
      <c r="BB78" s="5"/>
      <c r="BD78" s="40"/>
      <c r="BE78" s="5"/>
      <c r="BG78" s="40"/>
      <c r="BH78" s="5"/>
      <c r="BJ78" s="40"/>
      <c r="BK78" s="5"/>
      <c r="BM78" s="40"/>
      <c r="BN78" s="5"/>
      <c r="BP78" s="40"/>
      <c r="BQ78" s="5"/>
      <c r="BS78" s="40"/>
      <c r="BT78" s="5"/>
      <c r="BV78" s="40"/>
      <c r="BW78" s="5"/>
      <c r="BY78" s="40"/>
      <c r="BZ78" s="5"/>
      <c r="CB78" s="40"/>
      <c r="CC78" s="5"/>
      <c r="CE78" s="40"/>
      <c r="CF78" s="5"/>
      <c r="CH78" s="40"/>
      <c r="CI78" s="5"/>
      <c r="CK78" s="40"/>
      <c r="CL78" s="5"/>
      <c r="CN78" s="40"/>
      <c r="CO78" s="5"/>
      <c r="CQ78" s="40"/>
      <c r="CR78" s="5"/>
    </row>
    <row r="79">
      <c r="AO79" s="40"/>
      <c r="AP79" s="5"/>
      <c r="AR79" s="40"/>
      <c r="AS79" s="5"/>
      <c r="AU79" s="40"/>
      <c r="AV79" s="5"/>
      <c r="AX79" s="40"/>
      <c r="AY79" s="5"/>
      <c r="BA79" s="40"/>
      <c r="BB79" s="5"/>
      <c r="BD79" s="40"/>
      <c r="BE79" s="5"/>
      <c r="BG79" s="40"/>
      <c r="BH79" s="5"/>
      <c r="BJ79" s="40"/>
      <c r="BK79" s="5"/>
      <c r="BM79" s="40"/>
      <c r="BN79" s="5"/>
      <c r="BP79" s="40"/>
      <c r="BQ79" s="5"/>
      <c r="BS79" s="40"/>
      <c r="BT79" s="5"/>
      <c r="BV79" s="40"/>
      <c r="BW79" s="5"/>
      <c r="BY79" s="40"/>
      <c r="BZ79" s="5"/>
      <c r="CB79" s="40"/>
      <c r="CC79" s="5"/>
      <c r="CE79" s="40"/>
      <c r="CF79" s="5"/>
      <c r="CH79" s="40"/>
      <c r="CI79" s="5"/>
      <c r="CK79" s="40"/>
      <c r="CL79" s="5"/>
      <c r="CN79" s="40"/>
      <c r="CO79" s="5"/>
      <c r="CQ79" s="40"/>
      <c r="CR79" s="5"/>
    </row>
    <row r="80">
      <c r="AO80" s="40"/>
      <c r="AP80" s="5"/>
      <c r="AR80" s="40"/>
      <c r="AS80" s="5"/>
      <c r="AU80" s="40"/>
      <c r="AV80" s="5"/>
      <c r="AX80" s="40"/>
      <c r="AY80" s="5"/>
      <c r="BA80" s="40"/>
      <c r="BB80" s="5"/>
      <c r="BD80" s="40"/>
      <c r="BE80" s="5"/>
      <c r="BG80" s="40"/>
      <c r="BH80" s="5"/>
      <c r="BJ80" s="40"/>
      <c r="BK80" s="5"/>
      <c r="BM80" s="40"/>
      <c r="BN80" s="5"/>
      <c r="BP80" s="40"/>
      <c r="BQ80" s="5"/>
      <c r="BS80" s="40"/>
      <c r="BT80" s="5"/>
      <c r="BV80" s="40"/>
      <c r="BW80" s="5"/>
      <c r="BY80" s="40"/>
      <c r="BZ80" s="5"/>
      <c r="CB80" s="40"/>
      <c r="CC80" s="5"/>
      <c r="CE80" s="40"/>
      <c r="CF80" s="5"/>
      <c r="CH80" s="40"/>
      <c r="CI80" s="5"/>
      <c r="CK80" s="40"/>
      <c r="CL80" s="5"/>
      <c r="CN80" s="40"/>
      <c r="CO80" s="5"/>
      <c r="CQ80" s="40"/>
      <c r="CR80" s="5"/>
    </row>
    <row r="81">
      <c r="AO81" s="40"/>
      <c r="AP81" s="5"/>
      <c r="AR81" s="40"/>
      <c r="AS81" s="5"/>
      <c r="AU81" s="40"/>
      <c r="AV81" s="5"/>
      <c r="AX81" s="40"/>
      <c r="AY81" s="5"/>
      <c r="BA81" s="40"/>
      <c r="BB81" s="5"/>
      <c r="BD81" s="40"/>
      <c r="BE81" s="5"/>
      <c r="BG81" s="40"/>
      <c r="BH81" s="5"/>
      <c r="BJ81" s="40"/>
      <c r="BK81" s="5"/>
      <c r="BM81" s="40"/>
      <c r="BN81" s="5"/>
      <c r="BP81" s="40"/>
      <c r="BQ81" s="5"/>
      <c r="BS81" s="40"/>
      <c r="BT81" s="5"/>
      <c r="BV81" s="40"/>
      <c r="BW81" s="5"/>
      <c r="BY81" s="40"/>
      <c r="BZ81" s="5"/>
      <c r="CB81" s="40"/>
      <c r="CC81" s="5"/>
      <c r="CE81" s="40"/>
      <c r="CF81" s="5"/>
      <c r="CH81" s="40"/>
      <c r="CI81" s="5"/>
      <c r="CK81" s="40"/>
      <c r="CL81" s="5"/>
      <c r="CN81" s="40"/>
      <c r="CO81" s="5"/>
      <c r="CQ81" s="40"/>
      <c r="CR81" s="5"/>
    </row>
    <row r="82">
      <c r="AO82" s="40"/>
      <c r="AP82" s="5"/>
      <c r="AR82" s="40"/>
      <c r="AS82" s="5"/>
      <c r="AU82" s="40"/>
      <c r="AV82" s="5"/>
      <c r="AX82" s="40"/>
      <c r="AY82" s="5"/>
      <c r="BA82" s="40"/>
      <c r="BB82" s="5"/>
      <c r="BD82" s="40"/>
      <c r="BE82" s="5"/>
      <c r="BG82" s="40"/>
      <c r="BH82" s="5"/>
      <c r="BJ82" s="40"/>
      <c r="BK82" s="5"/>
      <c r="BM82" s="40"/>
      <c r="BN82" s="5"/>
      <c r="BP82" s="40"/>
      <c r="BQ82" s="5"/>
      <c r="BS82" s="40"/>
      <c r="BT82" s="5"/>
      <c r="BV82" s="40"/>
      <c r="BW82" s="5"/>
      <c r="BY82" s="40"/>
      <c r="BZ82" s="5"/>
      <c r="CB82" s="40"/>
      <c r="CC82" s="5"/>
      <c r="CE82" s="40"/>
      <c r="CF82" s="5"/>
      <c r="CH82" s="40"/>
      <c r="CI82" s="5"/>
      <c r="CK82" s="40"/>
      <c r="CL82" s="5"/>
      <c r="CN82" s="40"/>
      <c r="CO82" s="5"/>
      <c r="CQ82" s="40"/>
      <c r="CR82" s="5"/>
    </row>
    <row r="83">
      <c r="AO83" s="40"/>
      <c r="AP83" s="5"/>
      <c r="AR83" s="40"/>
      <c r="AS83" s="5"/>
      <c r="AU83" s="40"/>
      <c r="AV83" s="5"/>
      <c r="AX83" s="40"/>
      <c r="AY83" s="5"/>
      <c r="BA83" s="40"/>
      <c r="BB83" s="5"/>
      <c r="BD83" s="40"/>
      <c r="BE83" s="5"/>
      <c r="BG83" s="40"/>
      <c r="BH83" s="5"/>
      <c r="BJ83" s="40"/>
      <c r="BK83" s="5"/>
      <c r="BM83" s="40"/>
      <c r="BN83" s="5"/>
      <c r="BP83" s="40"/>
      <c r="BQ83" s="5"/>
      <c r="BS83" s="40"/>
      <c r="BT83" s="5"/>
      <c r="BV83" s="40"/>
      <c r="BW83" s="5"/>
      <c r="BY83" s="40"/>
      <c r="BZ83" s="5"/>
      <c r="CB83" s="40"/>
      <c r="CC83" s="5"/>
      <c r="CE83" s="40"/>
      <c r="CF83" s="5"/>
      <c r="CH83" s="40"/>
      <c r="CI83" s="5"/>
      <c r="CK83" s="40"/>
      <c r="CL83" s="5"/>
      <c r="CN83" s="40"/>
      <c r="CO83" s="5"/>
      <c r="CQ83" s="40"/>
      <c r="CR83" s="5"/>
    </row>
    <row r="84">
      <c r="AO84" s="40"/>
      <c r="AP84" s="5"/>
      <c r="AR84" s="40"/>
      <c r="AS84" s="5"/>
      <c r="AU84" s="40"/>
      <c r="AV84" s="5"/>
      <c r="AX84" s="40"/>
      <c r="AY84" s="5"/>
      <c r="BA84" s="40"/>
      <c r="BB84" s="5"/>
      <c r="BD84" s="40"/>
      <c r="BE84" s="5"/>
      <c r="BG84" s="40"/>
      <c r="BH84" s="5"/>
      <c r="BJ84" s="40"/>
      <c r="BK84" s="5"/>
      <c r="BM84" s="40"/>
      <c r="BN84" s="5"/>
      <c r="BP84" s="40"/>
      <c r="BQ84" s="5"/>
      <c r="BS84" s="40"/>
      <c r="BT84" s="5"/>
      <c r="BV84" s="40"/>
      <c r="BW84" s="5"/>
      <c r="BY84" s="40"/>
      <c r="BZ84" s="5"/>
      <c r="CB84" s="40"/>
      <c r="CC84" s="5"/>
      <c r="CE84" s="40"/>
      <c r="CF84" s="5"/>
      <c r="CH84" s="40"/>
      <c r="CI84" s="5"/>
      <c r="CK84" s="40"/>
      <c r="CL84" s="5"/>
      <c r="CN84" s="40"/>
      <c r="CO84" s="5"/>
      <c r="CQ84" s="40"/>
      <c r="CR84" s="5"/>
    </row>
    <row r="85">
      <c r="AO85" s="40"/>
      <c r="AP85" s="5"/>
      <c r="AR85" s="40"/>
      <c r="AS85" s="5"/>
      <c r="AU85" s="40"/>
      <c r="AV85" s="5"/>
      <c r="AX85" s="40"/>
      <c r="AY85" s="5"/>
      <c r="BA85" s="40"/>
      <c r="BB85" s="5"/>
      <c r="BD85" s="40"/>
      <c r="BE85" s="5"/>
      <c r="BG85" s="40"/>
      <c r="BH85" s="5"/>
      <c r="BJ85" s="40"/>
      <c r="BK85" s="5"/>
      <c r="BM85" s="40"/>
      <c r="BN85" s="5"/>
      <c r="BP85" s="40"/>
      <c r="BQ85" s="5"/>
      <c r="BS85" s="40"/>
      <c r="BT85" s="5"/>
      <c r="BV85" s="40"/>
      <c r="BW85" s="5"/>
      <c r="BY85" s="40"/>
      <c r="BZ85" s="5"/>
      <c r="CB85" s="40"/>
      <c r="CC85" s="5"/>
      <c r="CE85" s="40"/>
      <c r="CF85" s="5"/>
      <c r="CH85" s="40"/>
      <c r="CI85" s="5"/>
      <c r="CK85" s="40"/>
      <c r="CL85" s="5"/>
      <c r="CN85" s="40"/>
      <c r="CO85" s="5"/>
      <c r="CQ85" s="40"/>
      <c r="CR85" s="5"/>
    </row>
    <row r="86">
      <c r="AO86" s="40"/>
      <c r="AP86" s="5"/>
      <c r="AR86" s="40"/>
      <c r="AS86" s="5"/>
      <c r="AU86" s="40"/>
      <c r="AV86" s="5"/>
      <c r="AX86" s="40"/>
      <c r="AY86" s="5"/>
      <c r="BA86" s="40"/>
      <c r="BB86" s="5"/>
      <c r="BD86" s="40"/>
      <c r="BE86" s="5"/>
      <c r="BG86" s="40"/>
      <c r="BH86" s="5"/>
      <c r="BJ86" s="40"/>
      <c r="BK86" s="5"/>
      <c r="BM86" s="40"/>
      <c r="BN86" s="5"/>
      <c r="BP86" s="40"/>
      <c r="BQ86" s="5"/>
      <c r="BS86" s="40"/>
      <c r="BT86" s="5"/>
      <c r="BV86" s="40"/>
      <c r="BW86" s="5"/>
      <c r="BY86" s="40"/>
      <c r="BZ86" s="5"/>
      <c r="CB86" s="40"/>
      <c r="CC86" s="5"/>
      <c r="CE86" s="40"/>
      <c r="CF86" s="5"/>
      <c r="CH86" s="40"/>
      <c r="CI86" s="5"/>
      <c r="CK86" s="40"/>
      <c r="CL86" s="5"/>
      <c r="CN86" s="40"/>
      <c r="CO86" s="5"/>
      <c r="CQ86" s="40"/>
      <c r="CR86" s="5"/>
    </row>
    <row r="87">
      <c r="AO87" s="40"/>
      <c r="AP87" s="5"/>
      <c r="AR87" s="40"/>
      <c r="AS87" s="5"/>
      <c r="AU87" s="40"/>
      <c r="AV87" s="5"/>
      <c r="AX87" s="40"/>
      <c r="AY87" s="5"/>
      <c r="BA87" s="40"/>
      <c r="BB87" s="5"/>
      <c r="BD87" s="40"/>
      <c r="BE87" s="5"/>
      <c r="BG87" s="40"/>
      <c r="BH87" s="5"/>
      <c r="BJ87" s="40"/>
      <c r="BK87" s="5"/>
      <c r="BM87" s="40"/>
      <c r="BN87" s="5"/>
      <c r="BP87" s="40"/>
      <c r="BQ87" s="5"/>
      <c r="BS87" s="40"/>
      <c r="BT87" s="5"/>
      <c r="BV87" s="40"/>
      <c r="BW87" s="5"/>
      <c r="BY87" s="40"/>
      <c r="BZ87" s="5"/>
      <c r="CB87" s="40"/>
      <c r="CC87" s="5"/>
      <c r="CE87" s="40"/>
      <c r="CF87" s="5"/>
      <c r="CH87" s="40"/>
      <c r="CI87" s="5"/>
      <c r="CK87" s="40"/>
      <c r="CL87" s="5"/>
      <c r="CN87" s="40"/>
      <c r="CO87" s="5"/>
      <c r="CQ87" s="40"/>
      <c r="CR87" s="5"/>
    </row>
    <row r="88">
      <c r="AO88" s="40"/>
      <c r="AP88" s="5"/>
      <c r="AR88" s="40"/>
      <c r="AS88" s="5"/>
      <c r="AU88" s="40"/>
      <c r="AV88" s="5"/>
      <c r="AX88" s="40"/>
      <c r="AY88" s="5"/>
      <c r="BA88" s="40"/>
      <c r="BB88" s="5"/>
      <c r="BD88" s="40"/>
      <c r="BE88" s="5"/>
      <c r="BG88" s="40"/>
      <c r="BH88" s="5"/>
      <c r="BJ88" s="40"/>
      <c r="BK88" s="5"/>
      <c r="BM88" s="40"/>
      <c r="BN88" s="5"/>
      <c r="BP88" s="40"/>
      <c r="BQ88" s="5"/>
      <c r="BS88" s="40"/>
      <c r="BT88" s="5"/>
      <c r="BV88" s="40"/>
      <c r="BW88" s="5"/>
      <c r="BY88" s="40"/>
      <c r="BZ88" s="5"/>
      <c r="CB88" s="40"/>
      <c r="CC88" s="5"/>
      <c r="CE88" s="40"/>
      <c r="CF88" s="5"/>
      <c r="CH88" s="40"/>
      <c r="CI88" s="5"/>
      <c r="CK88" s="40"/>
      <c r="CL88" s="5"/>
      <c r="CN88" s="40"/>
      <c r="CO88" s="5"/>
      <c r="CQ88" s="40"/>
      <c r="CR88" s="5"/>
    </row>
    <row r="89">
      <c r="AO89" s="40"/>
      <c r="AP89" s="5"/>
      <c r="AR89" s="40"/>
      <c r="AS89" s="5"/>
      <c r="AU89" s="40"/>
      <c r="AV89" s="5"/>
      <c r="AX89" s="40"/>
      <c r="AY89" s="5"/>
      <c r="BA89" s="40"/>
      <c r="BB89" s="5"/>
      <c r="BD89" s="40"/>
      <c r="BE89" s="5"/>
      <c r="BG89" s="40"/>
      <c r="BH89" s="5"/>
      <c r="BJ89" s="40"/>
      <c r="BK89" s="5"/>
      <c r="BM89" s="40"/>
      <c r="BN89" s="5"/>
      <c r="BP89" s="40"/>
      <c r="BQ89" s="5"/>
      <c r="BS89" s="40"/>
      <c r="BT89" s="5"/>
      <c r="BV89" s="40"/>
      <c r="BW89" s="5"/>
      <c r="BY89" s="40"/>
      <c r="BZ89" s="5"/>
      <c r="CB89" s="40"/>
      <c r="CC89" s="5"/>
      <c r="CE89" s="40"/>
      <c r="CF89" s="5"/>
      <c r="CH89" s="40"/>
      <c r="CI89" s="5"/>
      <c r="CK89" s="40"/>
      <c r="CL89" s="5"/>
      <c r="CN89" s="40"/>
      <c r="CO89" s="5"/>
      <c r="CQ89" s="40"/>
      <c r="CR89" s="5"/>
    </row>
    <row r="90">
      <c r="AO90" s="40"/>
      <c r="AP90" s="5"/>
      <c r="AR90" s="40"/>
      <c r="AS90" s="5"/>
      <c r="AU90" s="40"/>
      <c r="AV90" s="5"/>
      <c r="AX90" s="40"/>
      <c r="AY90" s="5"/>
      <c r="BA90" s="40"/>
      <c r="BB90" s="5"/>
      <c r="BD90" s="40"/>
      <c r="BE90" s="5"/>
      <c r="BG90" s="40"/>
      <c r="BH90" s="5"/>
      <c r="BJ90" s="40"/>
      <c r="BK90" s="5"/>
      <c r="BM90" s="40"/>
      <c r="BN90" s="5"/>
      <c r="BP90" s="40"/>
      <c r="BQ90" s="5"/>
      <c r="BS90" s="40"/>
      <c r="BT90" s="5"/>
      <c r="BV90" s="40"/>
      <c r="BW90" s="5"/>
      <c r="BY90" s="40"/>
      <c r="BZ90" s="5"/>
      <c r="CB90" s="40"/>
      <c r="CC90" s="5"/>
      <c r="CE90" s="40"/>
      <c r="CF90" s="5"/>
      <c r="CH90" s="40"/>
      <c r="CI90" s="5"/>
      <c r="CK90" s="40"/>
      <c r="CL90" s="5"/>
      <c r="CN90" s="40"/>
      <c r="CO90" s="5"/>
      <c r="CQ90" s="40"/>
      <c r="CR90" s="5"/>
    </row>
    <row r="91">
      <c r="AO91" s="40"/>
      <c r="AP91" s="5"/>
      <c r="AR91" s="40"/>
      <c r="AS91" s="5"/>
      <c r="AU91" s="40"/>
      <c r="AV91" s="5"/>
      <c r="AX91" s="40"/>
      <c r="AY91" s="5"/>
      <c r="BA91" s="40"/>
      <c r="BB91" s="5"/>
      <c r="BD91" s="40"/>
      <c r="BE91" s="5"/>
      <c r="BG91" s="40"/>
      <c r="BH91" s="5"/>
      <c r="BJ91" s="40"/>
      <c r="BK91" s="5"/>
      <c r="BM91" s="40"/>
      <c r="BN91" s="5"/>
      <c r="BP91" s="40"/>
      <c r="BQ91" s="5"/>
      <c r="BS91" s="40"/>
      <c r="BT91" s="5"/>
      <c r="BV91" s="40"/>
      <c r="BW91" s="5"/>
      <c r="BY91" s="40"/>
      <c r="BZ91" s="5"/>
      <c r="CB91" s="40"/>
      <c r="CC91" s="5"/>
      <c r="CE91" s="40"/>
      <c r="CF91" s="5"/>
      <c r="CH91" s="40"/>
      <c r="CI91" s="5"/>
      <c r="CK91" s="40"/>
      <c r="CL91" s="5"/>
      <c r="CN91" s="40"/>
      <c r="CO91" s="5"/>
      <c r="CQ91" s="40"/>
      <c r="CR91" s="5"/>
    </row>
    <row r="92">
      <c r="AO92" s="40"/>
      <c r="AP92" s="5"/>
      <c r="AR92" s="40"/>
      <c r="AS92" s="5"/>
      <c r="AU92" s="40"/>
      <c r="AV92" s="5"/>
      <c r="AX92" s="40"/>
      <c r="AY92" s="5"/>
      <c r="BA92" s="40"/>
      <c r="BB92" s="5"/>
      <c r="BD92" s="40"/>
      <c r="BE92" s="5"/>
      <c r="BG92" s="40"/>
      <c r="BH92" s="5"/>
      <c r="BJ92" s="40"/>
      <c r="BK92" s="5"/>
      <c r="BM92" s="40"/>
      <c r="BN92" s="5"/>
      <c r="BP92" s="40"/>
      <c r="BQ92" s="5"/>
      <c r="BS92" s="40"/>
      <c r="BT92" s="5"/>
      <c r="BV92" s="40"/>
      <c r="BW92" s="5"/>
      <c r="BY92" s="40"/>
      <c r="BZ92" s="5"/>
      <c r="CB92" s="40"/>
      <c r="CC92" s="5"/>
      <c r="CE92" s="40"/>
      <c r="CF92" s="5"/>
      <c r="CH92" s="40"/>
      <c r="CI92" s="5"/>
      <c r="CK92" s="40"/>
      <c r="CL92" s="5"/>
      <c r="CN92" s="40"/>
      <c r="CO92" s="5"/>
      <c r="CQ92" s="40"/>
      <c r="CR92" s="5"/>
    </row>
    <row r="93">
      <c r="AO93" s="40"/>
      <c r="AP93" s="5"/>
      <c r="AR93" s="40"/>
      <c r="AS93" s="5"/>
      <c r="AU93" s="40"/>
      <c r="AV93" s="5"/>
      <c r="AX93" s="40"/>
      <c r="AY93" s="5"/>
      <c r="BA93" s="40"/>
      <c r="BB93" s="5"/>
      <c r="BD93" s="40"/>
      <c r="BE93" s="5"/>
      <c r="BG93" s="40"/>
      <c r="BH93" s="5"/>
      <c r="BJ93" s="40"/>
      <c r="BK93" s="5"/>
      <c r="BM93" s="40"/>
      <c r="BN93" s="5"/>
      <c r="BP93" s="40"/>
      <c r="BQ93" s="5"/>
      <c r="BS93" s="40"/>
      <c r="BT93" s="5"/>
      <c r="BV93" s="40"/>
      <c r="BW93" s="5"/>
      <c r="BY93" s="40"/>
      <c r="BZ93" s="5"/>
      <c r="CB93" s="40"/>
      <c r="CC93" s="5"/>
      <c r="CE93" s="40"/>
      <c r="CF93" s="5"/>
      <c r="CH93" s="40"/>
      <c r="CI93" s="5"/>
      <c r="CK93" s="40"/>
      <c r="CL93" s="5"/>
      <c r="CN93" s="40"/>
      <c r="CO93" s="5"/>
      <c r="CQ93" s="40"/>
      <c r="CR93" s="5"/>
    </row>
    <row r="94">
      <c r="AO94" s="40"/>
      <c r="AP94" s="5"/>
      <c r="AR94" s="40"/>
      <c r="AS94" s="5"/>
      <c r="AU94" s="40"/>
      <c r="AV94" s="5"/>
      <c r="AX94" s="40"/>
      <c r="AY94" s="5"/>
      <c r="BA94" s="40"/>
      <c r="BB94" s="5"/>
      <c r="BD94" s="40"/>
      <c r="BE94" s="5"/>
      <c r="BG94" s="40"/>
      <c r="BH94" s="5"/>
      <c r="BJ94" s="40"/>
      <c r="BK94" s="5"/>
      <c r="BM94" s="40"/>
      <c r="BN94" s="5"/>
      <c r="BP94" s="40"/>
      <c r="BQ94" s="5"/>
      <c r="BS94" s="40"/>
      <c r="BT94" s="5"/>
      <c r="BV94" s="40"/>
      <c r="BW94" s="5"/>
      <c r="BY94" s="40"/>
      <c r="BZ94" s="5"/>
      <c r="CB94" s="40"/>
      <c r="CC94" s="5"/>
      <c r="CE94" s="40"/>
      <c r="CF94" s="5"/>
      <c r="CH94" s="40"/>
      <c r="CI94" s="5"/>
      <c r="CK94" s="40"/>
      <c r="CL94" s="5"/>
      <c r="CN94" s="40"/>
      <c r="CO94" s="5"/>
      <c r="CQ94" s="40"/>
      <c r="CR94" s="5"/>
    </row>
    <row r="95">
      <c r="AO95" s="40"/>
      <c r="AP95" s="5"/>
      <c r="AR95" s="40"/>
      <c r="AS95" s="5"/>
      <c r="AU95" s="40"/>
      <c r="AV95" s="5"/>
      <c r="AX95" s="40"/>
      <c r="AY95" s="5"/>
      <c r="BA95" s="40"/>
      <c r="BB95" s="5"/>
      <c r="BD95" s="40"/>
      <c r="BE95" s="5"/>
      <c r="BG95" s="40"/>
      <c r="BH95" s="5"/>
      <c r="BJ95" s="40"/>
      <c r="BK95" s="5"/>
      <c r="BM95" s="40"/>
      <c r="BN95" s="5"/>
      <c r="BP95" s="40"/>
      <c r="BQ95" s="5"/>
      <c r="BS95" s="40"/>
      <c r="BT95" s="5"/>
      <c r="BV95" s="40"/>
      <c r="BW95" s="5"/>
      <c r="BY95" s="40"/>
      <c r="BZ95" s="5"/>
      <c r="CB95" s="40"/>
      <c r="CC95" s="5"/>
      <c r="CE95" s="40"/>
      <c r="CF95" s="5"/>
      <c r="CH95" s="40"/>
      <c r="CI95" s="5"/>
      <c r="CK95" s="40"/>
      <c r="CL95" s="5"/>
      <c r="CN95" s="40"/>
      <c r="CO95" s="5"/>
      <c r="CQ95" s="40"/>
      <c r="CR95" s="5"/>
    </row>
    <row r="96">
      <c r="AO96" s="40"/>
      <c r="AP96" s="5"/>
      <c r="AR96" s="40"/>
      <c r="AS96" s="5"/>
      <c r="AU96" s="40"/>
      <c r="AV96" s="5"/>
      <c r="AX96" s="40"/>
      <c r="AY96" s="5"/>
      <c r="BA96" s="40"/>
      <c r="BB96" s="5"/>
      <c r="BD96" s="40"/>
      <c r="BE96" s="5"/>
      <c r="BG96" s="40"/>
      <c r="BH96" s="5"/>
      <c r="BJ96" s="40"/>
      <c r="BK96" s="5"/>
      <c r="BM96" s="40"/>
      <c r="BN96" s="5"/>
      <c r="BP96" s="40"/>
      <c r="BQ96" s="5"/>
      <c r="BS96" s="40"/>
      <c r="BT96" s="5"/>
      <c r="BV96" s="40"/>
      <c r="BW96" s="5"/>
      <c r="BY96" s="40"/>
      <c r="BZ96" s="5"/>
      <c r="CB96" s="40"/>
      <c r="CC96" s="5"/>
      <c r="CE96" s="40"/>
      <c r="CF96" s="5"/>
      <c r="CH96" s="40"/>
      <c r="CI96" s="5"/>
      <c r="CK96" s="40"/>
      <c r="CL96" s="5"/>
      <c r="CN96" s="40"/>
      <c r="CO96" s="5"/>
      <c r="CQ96" s="40"/>
      <c r="CR96" s="5"/>
    </row>
    <row r="97">
      <c r="AO97" s="40"/>
      <c r="AP97" s="5"/>
      <c r="AR97" s="40"/>
      <c r="AS97" s="5"/>
      <c r="AU97" s="40"/>
      <c r="AV97" s="5"/>
      <c r="AX97" s="40"/>
      <c r="AY97" s="5"/>
      <c r="BA97" s="40"/>
      <c r="BB97" s="5"/>
      <c r="BD97" s="40"/>
      <c r="BE97" s="5"/>
      <c r="BG97" s="40"/>
      <c r="BH97" s="5"/>
      <c r="BJ97" s="40"/>
      <c r="BK97" s="5"/>
      <c r="BM97" s="40"/>
      <c r="BN97" s="5"/>
      <c r="BP97" s="40"/>
      <c r="BQ97" s="5"/>
      <c r="BS97" s="40"/>
      <c r="BT97" s="5"/>
      <c r="BV97" s="40"/>
      <c r="BW97" s="5"/>
      <c r="BY97" s="40"/>
      <c r="BZ97" s="5"/>
      <c r="CB97" s="40"/>
      <c r="CC97" s="5"/>
      <c r="CE97" s="40"/>
      <c r="CF97" s="5"/>
      <c r="CH97" s="40"/>
      <c r="CI97" s="5"/>
      <c r="CK97" s="40"/>
      <c r="CL97" s="5"/>
      <c r="CN97" s="40"/>
      <c r="CO97" s="5"/>
      <c r="CQ97" s="40"/>
      <c r="CR97" s="5"/>
    </row>
    <row r="98">
      <c r="AO98" s="40"/>
      <c r="AP98" s="5"/>
      <c r="AR98" s="40"/>
      <c r="AS98" s="5"/>
      <c r="AU98" s="40"/>
      <c r="AV98" s="5"/>
      <c r="AX98" s="40"/>
      <c r="AY98" s="5"/>
      <c r="BA98" s="40"/>
      <c r="BB98" s="5"/>
      <c r="BD98" s="40"/>
      <c r="BE98" s="5"/>
      <c r="BG98" s="40"/>
      <c r="BH98" s="5"/>
      <c r="BJ98" s="40"/>
      <c r="BK98" s="5"/>
      <c r="BM98" s="40"/>
      <c r="BN98" s="5"/>
      <c r="BP98" s="40"/>
      <c r="BQ98" s="5"/>
      <c r="BS98" s="40"/>
      <c r="BT98" s="5"/>
      <c r="BV98" s="40"/>
      <c r="BW98" s="5"/>
      <c r="BY98" s="40"/>
      <c r="BZ98" s="5"/>
      <c r="CB98" s="40"/>
      <c r="CC98" s="5"/>
      <c r="CE98" s="40"/>
      <c r="CF98" s="5"/>
      <c r="CH98" s="40"/>
      <c r="CI98" s="5"/>
      <c r="CK98" s="40"/>
      <c r="CL98" s="5"/>
      <c r="CN98" s="40"/>
      <c r="CO98" s="5"/>
      <c r="CQ98" s="40"/>
      <c r="CR98" s="5"/>
    </row>
    <row r="99">
      <c r="AO99" s="40"/>
      <c r="AP99" s="5"/>
      <c r="AR99" s="40"/>
      <c r="AS99" s="5"/>
      <c r="AU99" s="40"/>
      <c r="AV99" s="5"/>
      <c r="AX99" s="40"/>
      <c r="AY99" s="5"/>
      <c r="BA99" s="40"/>
      <c r="BB99" s="5"/>
      <c r="BD99" s="40"/>
      <c r="BE99" s="5"/>
      <c r="BG99" s="40"/>
      <c r="BH99" s="5"/>
      <c r="BJ99" s="40"/>
      <c r="BK99" s="5"/>
      <c r="BM99" s="40"/>
      <c r="BN99" s="5"/>
      <c r="BP99" s="40"/>
      <c r="BQ99" s="5"/>
      <c r="BS99" s="40"/>
      <c r="BT99" s="5"/>
      <c r="BV99" s="40"/>
      <c r="BW99" s="5"/>
      <c r="BY99" s="40"/>
      <c r="BZ99" s="5"/>
      <c r="CB99" s="40"/>
      <c r="CC99" s="5"/>
      <c r="CE99" s="40"/>
      <c r="CF99" s="5"/>
      <c r="CH99" s="40"/>
      <c r="CI99" s="5"/>
      <c r="CK99" s="40"/>
      <c r="CL99" s="5"/>
      <c r="CN99" s="40"/>
      <c r="CO99" s="5"/>
      <c r="CQ99" s="40"/>
      <c r="CR99" s="5"/>
    </row>
    <row r="100">
      <c r="AO100" s="40"/>
      <c r="AP100" s="5"/>
      <c r="AR100" s="40"/>
      <c r="AS100" s="5"/>
      <c r="AU100" s="40"/>
      <c r="AV100" s="5"/>
      <c r="AX100" s="40"/>
      <c r="AY100" s="5"/>
      <c r="BA100" s="40"/>
      <c r="BB100" s="5"/>
      <c r="BD100" s="40"/>
      <c r="BE100" s="5"/>
      <c r="BG100" s="40"/>
      <c r="BH100" s="5"/>
      <c r="BJ100" s="40"/>
      <c r="BK100" s="5"/>
      <c r="BM100" s="40"/>
      <c r="BN100" s="5"/>
      <c r="BP100" s="40"/>
      <c r="BQ100" s="5"/>
      <c r="BS100" s="40"/>
      <c r="BT100" s="5"/>
      <c r="BV100" s="40"/>
      <c r="BW100" s="5"/>
      <c r="BY100" s="40"/>
      <c r="BZ100" s="5"/>
      <c r="CB100" s="40"/>
      <c r="CC100" s="5"/>
      <c r="CE100" s="40"/>
      <c r="CF100" s="5"/>
      <c r="CH100" s="40"/>
      <c r="CI100" s="5"/>
      <c r="CK100" s="40"/>
      <c r="CL100" s="5"/>
      <c r="CN100" s="40"/>
      <c r="CO100" s="5"/>
      <c r="CQ100" s="40"/>
      <c r="CR100" s="5"/>
    </row>
    <row r="101">
      <c r="AO101" s="40"/>
      <c r="AP101" s="5"/>
      <c r="AR101" s="40"/>
      <c r="AS101" s="5"/>
      <c r="AU101" s="40"/>
      <c r="AV101" s="5"/>
      <c r="AX101" s="40"/>
      <c r="AY101" s="5"/>
      <c r="BA101" s="40"/>
      <c r="BB101" s="5"/>
      <c r="BD101" s="40"/>
      <c r="BE101" s="5"/>
      <c r="BG101" s="40"/>
      <c r="BH101" s="5"/>
      <c r="BJ101" s="40"/>
      <c r="BK101" s="5"/>
      <c r="BM101" s="40"/>
      <c r="BN101" s="5"/>
      <c r="BP101" s="40"/>
      <c r="BQ101" s="5"/>
      <c r="BS101" s="40"/>
      <c r="BT101" s="5"/>
      <c r="BV101" s="40"/>
      <c r="BW101" s="5"/>
      <c r="BY101" s="40"/>
      <c r="BZ101" s="5"/>
      <c r="CB101" s="40"/>
      <c r="CC101" s="5"/>
      <c r="CE101" s="40"/>
      <c r="CF101" s="5"/>
      <c r="CH101" s="40"/>
      <c r="CI101" s="5"/>
      <c r="CK101" s="40"/>
      <c r="CL101" s="5"/>
      <c r="CN101" s="40"/>
      <c r="CO101" s="5"/>
      <c r="CQ101" s="40"/>
      <c r="CR101" s="5"/>
    </row>
    <row r="102">
      <c r="AO102" s="40"/>
      <c r="AP102" s="5"/>
      <c r="AR102" s="40"/>
      <c r="AS102" s="5"/>
      <c r="AU102" s="40"/>
      <c r="AV102" s="5"/>
      <c r="AX102" s="40"/>
      <c r="AY102" s="5"/>
      <c r="BA102" s="40"/>
      <c r="BB102" s="5"/>
      <c r="BD102" s="40"/>
      <c r="BE102" s="5"/>
      <c r="BG102" s="40"/>
      <c r="BH102" s="5"/>
      <c r="BJ102" s="40"/>
      <c r="BK102" s="5"/>
      <c r="BM102" s="40"/>
      <c r="BN102" s="5"/>
      <c r="BP102" s="40"/>
      <c r="BQ102" s="5"/>
      <c r="BS102" s="40"/>
      <c r="BT102" s="5"/>
      <c r="BV102" s="40"/>
      <c r="BW102" s="5"/>
      <c r="BY102" s="40"/>
      <c r="BZ102" s="5"/>
      <c r="CB102" s="40"/>
      <c r="CC102" s="5"/>
      <c r="CE102" s="40"/>
      <c r="CF102" s="5"/>
      <c r="CH102" s="40"/>
      <c r="CI102" s="5"/>
      <c r="CK102" s="40"/>
      <c r="CL102" s="5"/>
      <c r="CN102" s="40"/>
      <c r="CO102" s="5"/>
      <c r="CQ102" s="40"/>
      <c r="CR102" s="5"/>
    </row>
    <row r="103">
      <c r="AO103" s="40"/>
      <c r="AP103" s="5"/>
      <c r="AR103" s="40"/>
      <c r="AS103" s="5"/>
      <c r="AU103" s="40"/>
      <c r="AV103" s="5"/>
      <c r="AX103" s="40"/>
      <c r="AY103" s="5"/>
      <c r="BA103" s="40"/>
      <c r="BB103" s="5"/>
      <c r="BD103" s="40"/>
      <c r="BE103" s="5"/>
      <c r="BG103" s="40"/>
      <c r="BH103" s="5"/>
      <c r="BJ103" s="40"/>
      <c r="BK103" s="5"/>
      <c r="BM103" s="40"/>
      <c r="BN103" s="5"/>
      <c r="BP103" s="40"/>
      <c r="BQ103" s="5"/>
      <c r="BS103" s="40"/>
      <c r="BT103" s="5"/>
      <c r="BV103" s="40"/>
      <c r="BW103" s="5"/>
      <c r="BY103" s="40"/>
      <c r="BZ103" s="5"/>
      <c r="CB103" s="40"/>
      <c r="CC103" s="5"/>
      <c r="CE103" s="40"/>
      <c r="CF103" s="5"/>
      <c r="CH103" s="40"/>
      <c r="CI103" s="5"/>
      <c r="CK103" s="40"/>
      <c r="CL103" s="5"/>
      <c r="CN103" s="40"/>
      <c r="CO103" s="5"/>
      <c r="CQ103" s="40"/>
      <c r="CR103" s="5"/>
    </row>
    <row r="104">
      <c r="AO104" s="40"/>
      <c r="AP104" s="5"/>
      <c r="AR104" s="40"/>
      <c r="AS104" s="5"/>
      <c r="AU104" s="40"/>
      <c r="AV104" s="5"/>
      <c r="AX104" s="40"/>
      <c r="AY104" s="5"/>
      <c r="BA104" s="40"/>
      <c r="BB104" s="5"/>
      <c r="BD104" s="40"/>
      <c r="BE104" s="5"/>
      <c r="BG104" s="40"/>
      <c r="BH104" s="5"/>
      <c r="BJ104" s="40"/>
      <c r="BK104" s="5"/>
      <c r="BM104" s="40"/>
      <c r="BN104" s="5"/>
      <c r="BP104" s="40"/>
      <c r="BQ104" s="5"/>
      <c r="BS104" s="40"/>
      <c r="BT104" s="5"/>
      <c r="BV104" s="40"/>
      <c r="BW104" s="5"/>
      <c r="BY104" s="40"/>
      <c r="BZ104" s="5"/>
      <c r="CB104" s="40"/>
      <c r="CC104" s="5"/>
      <c r="CE104" s="40"/>
      <c r="CF104" s="5"/>
      <c r="CH104" s="40"/>
      <c r="CI104" s="5"/>
      <c r="CK104" s="40"/>
      <c r="CL104" s="5"/>
      <c r="CN104" s="40"/>
      <c r="CO104" s="5"/>
      <c r="CQ104" s="40"/>
      <c r="CR104" s="5"/>
    </row>
    <row r="105">
      <c r="AO105" s="40"/>
      <c r="AP105" s="5"/>
      <c r="AR105" s="40"/>
      <c r="AS105" s="5"/>
      <c r="AU105" s="40"/>
      <c r="AV105" s="5"/>
      <c r="AX105" s="40"/>
      <c r="AY105" s="5"/>
      <c r="BA105" s="40"/>
      <c r="BB105" s="5"/>
      <c r="BD105" s="40"/>
      <c r="BE105" s="5"/>
      <c r="BG105" s="40"/>
      <c r="BH105" s="5"/>
      <c r="BJ105" s="40"/>
      <c r="BK105" s="5"/>
      <c r="BM105" s="40"/>
      <c r="BN105" s="5"/>
      <c r="BP105" s="40"/>
      <c r="BQ105" s="5"/>
      <c r="BS105" s="40"/>
      <c r="BT105" s="5"/>
      <c r="BV105" s="40"/>
      <c r="BW105" s="5"/>
      <c r="BY105" s="40"/>
      <c r="BZ105" s="5"/>
      <c r="CB105" s="40"/>
      <c r="CC105" s="5"/>
      <c r="CE105" s="40"/>
      <c r="CF105" s="5"/>
      <c r="CH105" s="40"/>
      <c r="CI105" s="5"/>
      <c r="CK105" s="40"/>
      <c r="CL105" s="5"/>
      <c r="CN105" s="40"/>
      <c r="CO105" s="5"/>
      <c r="CQ105" s="40"/>
      <c r="CR105" s="5"/>
    </row>
    <row r="106">
      <c r="AO106" s="40"/>
      <c r="AP106" s="5"/>
      <c r="AR106" s="40"/>
      <c r="AS106" s="5"/>
      <c r="AU106" s="40"/>
      <c r="AV106" s="5"/>
      <c r="AX106" s="40"/>
      <c r="AY106" s="5"/>
      <c r="BA106" s="40"/>
      <c r="BB106" s="5"/>
      <c r="BD106" s="40"/>
      <c r="BE106" s="5"/>
      <c r="BG106" s="40"/>
      <c r="BH106" s="5"/>
      <c r="BJ106" s="40"/>
      <c r="BK106" s="5"/>
      <c r="BM106" s="40"/>
      <c r="BN106" s="5"/>
      <c r="BP106" s="40"/>
      <c r="BQ106" s="5"/>
      <c r="BS106" s="40"/>
      <c r="BT106" s="5"/>
      <c r="BV106" s="40"/>
      <c r="BW106" s="5"/>
      <c r="BY106" s="40"/>
      <c r="BZ106" s="5"/>
      <c r="CB106" s="40"/>
      <c r="CC106" s="5"/>
      <c r="CE106" s="40"/>
      <c r="CF106" s="5"/>
      <c r="CH106" s="40"/>
      <c r="CI106" s="5"/>
      <c r="CK106" s="40"/>
      <c r="CL106" s="5"/>
      <c r="CN106" s="40"/>
      <c r="CO106" s="5"/>
      <c r="CQ106" s="40"/>
      <c r="CR106" s="5"/>
    </row>
    <row r="107">
      <c r="AO107" s="40"/>
      <c r="AP107" s="5"/>
      <c r="AR107" s="40"/>
      <c r="AS107" s="5"/>
      <c r="AU107" s="40"/>
      <c r="AV107" s="5"/>
      <c r="AX107" s="40"/>
      <c r="AY107" s="5"/>
      <c r="BA107" s="40"/>
      <c r="BB107" s="5"/>
      <c r="BD107" s="40"/>
      <c r="BE107" s="5"/>
      <c r="BG107" s="40"/>
      <c r="BH107" s="5"/>
      <c r="BJ107" s="40"/>
      <c r="BK107" s="5"/>
      <c r="BM107" s="40"/>
      <c r="BN107" s="5"/>
      <c r="BP107" s="40"/>
      <c r="BQ107" s="5"/>
      <c r="BS107" s="40"/>
      <c r="BT107" s="5"/>
      <c r="BV107" s="40"/>
      <c r="BW107" s="5"/>
      <c r="BY107" s="40"/>
      <c r="BZ107" s="5"/>
      <c r="CB107" s="40"/>
      <c r="CC107" s="5"/>
      <c r="CE107" s="40"/>
      <c r="CF107" s="5"/>
      <c r="CH107" s="40"/>
      <c r="CI107" s="5"/>
      <c r="CK107" s="40"/>
      <c r="CL107" s="5"/>
      <c r="CN107" s="40"/>
      <c r="CO107" s="5"/>
      <c r="CQ107" s="40"/>
      <c r="CR107" s="5"/>
    </row>
    <row r="108">
      <c r="AO108" s="40"/>
      <c r="AP108" s="5"/>
      <c r="AR108" s="40"/>
      <c r="AS108" s="5"/>
      <c r="AU108" s="40"/>
      <c r="AV108" s="5"/>
      <c r="AX108" s="40"/>
      <c r="AY108" s="5"/>
      <c r="BA108" s="40"/>
      <c r="BB108" s="5"/>
      <c r="BD108" s="40"/>
      <c r="BE108" s="5"/>
      <c r="BG108" s="40"/>
      <c r="BH108" s="5"/>
      <c r="BJ108" s="40"/>
      <c r="BK108" s="5"/>
      <c r="BM108" s="40"/>
      <c r="BN108" s="5"/>
      <c r="BP108" s="40"/>
      <c r="BQ108" s="5"/>
      <c r="BS108" s="40"/>
      <c r="BT108" s="5"/>
      <c r="BV108" s="40"/>
      <c r="BW108" s="5"/>
      <c r="BY108" s="40"/>
      <c r="BZ108" s="5"/>
      <c r="CB108" s="40"/>
      <c r="CC108" s="5"/>
      <c r="CE108" s="40"/>
      <c r="CF108" s="5"/>
      <c r="CH108" s="40"/>
      <c r="CI108" s="5"/>
      <c r="CK108" s="40"/>
      <c r="CL108" s="5"/>
      <c r="CN108" s="40"/>
      <c r="CO108" s="5"/>
      <c r="CQ108" s="40"/>
      <c r="CR108" s="5"/>
    </row>
    <row r="109">
      <c r="AO109" s="40"/>
      <c r="AP109" s="5"/>
      <c r="AR109" s="40"/>
      <c r="AS109" s="5"/>
      <c r="AU109" s="40"/>
      <c r="AV109" s="5"/>
      <c r="AX109" s="40"/>
      <c r="AY109" s="5"/>
      <c r="BA109" s="40"/>
      <c r="BB109" s="5"/>
      <c r="BD109" s="40"/>
      <c r="BE109" s="5"/>
      <c r="BG109" s="40"/>
      <c r="BH109" s="5"/>
      <c r="BJ109" s="40"/>
      <c r="BK109" s="5"/>
      <c r="BM109" s="40"/>
      <c r="BN109" s="5"/>
      <c r="BP109" s="40"/>
      <c r="BQ109" s="5"/>
      <c r="BS109" s="40"/>
      <c r="BT109" s="5"/>
      <c r="BV109" s="40"/>
      <c r="BW109" s="5"/>
      <c r="BY109" s="40"/>
      <c r="BZ109" s="5"/>
      <c r="CB109" s="40"/>
      <c r="CC109" s="5"/>
      <c r="CE109" s="40"/>
      <c r="CF109" s="5"/>
      <c r="CH109" s="40"/>
      <c r="CI109" s="5"/>
      <c r="CK109" s="40"/>
      <c r="CL109" s="5"/>
      <c r="CN109" s="40"/>
      <c r="CO109" s="5"/>
      <c r="CQ109" s="40"/>
      <c r="CR109" s="5"/>
    </row>
    <row r="110">
      <c r="AO110" s="40"/>
      <c r="AP110" s="5"/>
      <c r="AR110" s="40"/>
      <c r="AS110" s="5"/>
      <c r="AU110" s="40"/>
      <c r="AV110" s="5"/>
      <c r="AX110" s="40"/>
      <c r="AY110" s="5"/>
      <c r="BA110" s="40"/>
      <c r="BB110" s="5"/>
      <c r="BD110" s="40"/>
      <c r="BE110" s="5"/>
      <c r="BG110" s="40"/>
      <c r="BH110" s="5"/>
      <c r="BJ110" s="40"/>
      <c r="BK110" s="5"/>
      <c r="BM110" s="40"/>
      <c r="BN110" s="5"/>
      <c r="BP110" s="40"/>
      <c r="BQ110" s="5"/>
      <c r="BS110" s="40"/>
      <c r="BT110" s="5"/>
      <c r="BV110" s="40"/>
      <c r="BW110" s="5"/>
      <c r="BY110" s="40"/>
      <c r="BZ110" s="5"/>
      <c r="CB110" s="40"/>
      <c r="CC110" s="5"/>
      <c r="CE110" s="40"/>
      <c r="CF110" s="5"/>
      <c r="CH110" s="40"/>
      <c r="CI110" s="5"/>
      <c r="CK110" s="40"/>
      <c r="CL110" s="5"/>
      <c r="CN110" s="40"/>
      <c r="CO110" s="5"/>
      <c r="CQ110" s="40"/>
      <c r="CR110" s="5"/>
    </row>
    <row r="111">
      <c r="AO111" s="40"/>
      <c r="AP111" s="5"/>
      <c r="AR111" s="40"/>
      <c r="AS111" s="5"/>
      <c r="AU111" s="40"/>
      <c r="AV111" s="5"/>
      <c r="AX111" s="40"/>
      <c r="AY111" s="5"/>
      <c r="BA111" s="40"/>
      <c r="BB111" s="5"/>
      <c r="BD111" s="40"/>
      <c r="BE111" s="5"/>
      <c r="BG111" s="40"/>
      <c r="BH111" s="5"/>
      <c r="BJ111" s="40"/>
      <c r="BK111" s="5"/>
      <c r="BM111" s="40"/>
      <c r="BN111" s="5"/>
      <c r="BP111" s="40"/>
      <c r="BQ111" s="5"/>
      <c r="BS111" s="40"/>
      <c r="BT111" s="5"/>
      <c r="BV111" s="40"/>
      <c r="BW111" s="5"/>
      <c r="BY111" s="40"/>
      <c r="BZ111" s="5"/>
      <c r="CB111" s="40"/>
      <c r="CC111" s="5"/>
      <c r="CE111" s="40"/>
      <c r="CF111" s="5"/>
      <c r="CH111" s="40"/>
      <c r="CI111" s="5"/>
      <c r="CK111" s="40"/>
      <c r="CL111" s="5"/>
      <c r="CN111" s="40"/>
      <c r="CO111" s="5"/>
      <c r="CQ111" s="40"/>
      <c r="CR111" s="5"/>
    </row>
    <row r="112">
      <c r="AO112" s="40"/>
      <c r="AP112" s="5"/>
      <c r="AR112" s="40"/>
      <c r="AS112" s="5"/>
      <c r="AU112" s="40"/>
      <c r="AV112" s="5"/>
      <c r="AX112" s="40"/>
      <c r="AY112" s="5"/>
      <c r="BA112" s="40"/>
      <c r="BB112" s="5"/>
      <c r="BD112" s="40"/>
      <c r="BE112" s="5"/>
      <c r="BG112" s="40"/>
      <c r="BH112" s="5"/>
      <c r="BJ112" s="40"/>
      <c r="BK112" s="5"/>
      <c r="BM112" s="40"/>
      <c r="BN112" s="5"/>
      <c r="BP112" s="40"/>
      <c r="BQ112" s="5"/>
      <c r="BS112" s="40"/>
      <c r="BT112" s="5"/>
      <c r="BV112" s="40"/>
      <c r="BW112" s="5"/>
      <c r="BY112" s="40"/>
      <c r="BZ112" s="5"/>
      <c r="CB112" s="40"/>
      <c r="CC112" s="5"/>
      <c r="CE112" s="40"/>
      <c r="CF112" s="5"/>
      <c r="CH112" s="40"/>
      <c r="CI112" s="5"/>
      <c r="CK112" s="40"/>
      <c r="CL112" s="5"/>
      <c r="CN112" s="40"/>
      <c r="CO112" s="5"/>
      <c r="CQ112" s="40"/>
      <c r="CR112" s="5"/>
    </row>
    <row r="113">
      <c r="AO113" s="40"/>
      <c r="AP113" s="5"/>
      <c r="AR113" s="40"/>
      <c r="AS113" s="5"/>
      <c r="AU113" s="40"/>
      <c r="AV113" s="5"/>
      <c r="AX113" s="40"/>
      <c r="AY113" s="5"/>
      <c r="BA113" s="40"/>
      <c r="BB113" s="5"/>
      <c r="BD113" s="40"/>
      <c r="BE113" s="5"/>
      <c r="BG113" s="40"/>
      <c r="BH113" s="5"/>
      <c r="BJ113" s="40"/>
      <c r="BK113" s="5"/>
      <c r="BM113" s="40"/>
      <c r="BN113" s="5"/>
      <c r="BP113" s="40"/>
      <c r="BQ113" s="5"/>
      <c r="BS113" s="40"/>
      <c r="BT113" s="5"/>
      <c r="BV113" s="40"/>
      <c r="BW113" s="5"/>
      <c r="BY113" s="40"/>
      <c r="BZ113" s="5"/>
      <c r="CB113" s="40"/>
      <c r="CC113" s="5"/>
      <c r="CE113" s="40"/>
      <c r="CF113" s="5"/>
      <c r="CH113" s="40"/>
      <c r="CI113" s="5"/>
      <c r="CK113" s="40"/>
      <c r="CL113" s="5"/>
      <c r="CN113" s="40"/>
      <c r="CO113" s="5"/>
      <c r="CQ113" s="40"/>
      <c r="CR113" s="5"/>
    </row>
    <row r="114">
      <c r="AO114" s="40"/>
      <c r="AP114" s="5"/>
      <c r="AR114" s="40"/>
      <c r="AS114" s="5"/>
      <c r="AU114" s="40"/>
      <c r="AV114" s="5"/>
      <c r="AX114" s="40"/>
      <c r="AY114" s="5"/>
      <c r="BA114" s="40"/>
      <c r="BB114" s="5"/>
      <c r="BD114" s="40"/>
      <c r="BE114" s="5"/>
      <c r="BG114" s="40"/>
      <c r="BH114" s="5"/>
      <c r="BJ114" s="40"/>
      <c r="BK114" s="5"/>
      <c r="BM114" s="40"/>
      <c r="BN114" s="5"/>
      <c r="BP114" s="40"/>
      <c r="BQ114" s="5"/>
      <c r="BS114" s="40"/>
      <c r="BT114" s="5"/>
      <c r="BV114" s="40"/>
      <c r="BW114" s="5"/>
      <c r="BY114" s="40"/>
      <c r="BZ114" s="5"/>
      <c r="CB114" s="40"/>
      <c r="CC114" s="5"/>
      <c r="CE114" s="40"/>
      <c r="CF114" s="5"/>
      <c r="CH114" s="40"/>
      <c r="CI114" s="5"/>
      <c r="CK114" s="40"/>
      <c r="CL114" s="5"/>
      <c r="CN114" s="40"/>
      <c r="CO114" s="5"/>
      <c r="CQ114" s="40"/>
      <c r="CR114" s="5"/>
    </row>
    <row r="115">
      <c r="AO115" s="40"/>
      <c r="AP115" s="5"/>
      <c r="AR115" s="40"/>
      <c r="AS115" s="5"/>
      <c r="AU115" s="40"/>
      <c r="AV115" s="5"/>
      <c r="AX115" s="40"/>
      <c r="AY115" s="5"/>
      <c r="BA115" s="40"/>
      <c r="BB115" s="5"/>
      <c r="BD115" s="40"/>
      <c r="BE115" s="5"/>
      <c r="BG115" s="40"/>
      <c r="BH115" s="5"/>
      <c r="BJ115" s="40"/>
      <c r="BK115" s="5"/>
      <c r="BM115" s="40"/>
      <c r="BN115" s="5"/>
      <c r="BP115" s="40"/>
      <c r="BQ115" s="5"/>
      <c r="BS115" s="40"/>
      <c r="BT115" s="5"/>
      <c r="BV115" s="40"/>
      <c r="BW115" s="5"/>
      <c r="BY115" s="40"/>
      <c r="BZ115" s="5"/>
      <c r="CB115" s="40"/>
      <c r="CC115" s="5"/>
      <c r="CE115" s="40"/>
      <c r="CF115" s="5"/>
      <c r="CH115" s="40"/>
      <c r="CI115" s="5"/>
      <c r="CK115" s="40"/>
      <c r="CL115" s="5"/>
      <c r="CN115" s="40"/>
      <c r="CO115" s="5"/>
      <c r="CQ115" s="40"/>
      <c r="CR115" s="5"/>
    </row>
    <row r="116">
      <c r="AO116" s="40"/>
      <c r="AP116" s="5"/>
      <c r="AR116" s="40"/>
      <c r="AS116" s="5"/>
      <c r="AU116" s="40"/>
      <c r="AV116" s="5"/>
      <c r="AX116" s="40"/>
      <c r="AY116" s="5"/>
      <c r="BA116" s="40"/>
      <c r="BB116" s="5"/>
      <c r="BD116" s="40"/>
      <c r="BE116" s="5"/>
      <c r="BG116" s="40"/>
      <c r="BH116" s="5"/>
      <c r="BJ116" s="40"/>
      <c r="BK116" s="5"/>
      <c r="BM116" s="40"/>
      <c r="BN116" s="5"/>
      <c r="BP116" s="40"/>
      <c r="BQ116" s="5"/>
      <c r="BS116" s="40"/>
      <c r="BT116" s="5"/>
      <c r="BV116" s="40"/>
      <c r="BW116" s="5"/>
      <c r="BY116" s="40"/>
      <c r="BZ116" s="5"/>
      <c r="CB116" s="40"/>
      <c r="CC116" s="5"/>
      <c r="CE116" s="40"/>
      <c r="CF116" s="5"/>
      <c r="CH116" s="40"/>
      <c r="CI116" s="5"/>
      <c r="CK116" s="40"/>
      <c r="CL116" s="5"/>
      <c r="CN116" s="40"/>
      <c r="CO116" s="5"/>
      <c r="CQ116" s="40"/>
      <c r="CR116" s="5"/>
    </row>
    <row r="117">
      <c r="AO117" s="40"/>
      <c r="AP117" s="5"/>
      <c r="AR117" s="40"/>
      <c r="AS117" s="5"/>
      <c r="AU117" s="40"/>
      <c r="AV117" s="5"/>
      <c r="AX117" s="40"/>
      <c r="AY117" s="5"/>
      <c r="BA117" s="40"/>
      <c r="BB117" s="5"/>
      <c r="BD117" s="40"/>
      <c r="BE117" s="5"/>
      <c r="BG117" s="40"/>
      <c r="BH117" s="5"/>
      <c r="BJ117" s="40"/>
      <c r="BK117" s="5"/>
      <c r="BM117" s="40"/>
      <c r="BN117" s="5"/>
      <c r="BP117" s="40"/>
      <c r="BQ117" s="5"/>
      <c r="BS117" s="40"/>
      <c r="BT117" s="5"/>
      <c r="BV117" s="40"/>
      <c r="BW117" s="5"/>
      <c r="BY117" s="40"/>
      <c r="BZ117" s="5"/>
      <c r="CB117" s="40"/>
      <c r="CC117" s="5"/>
      <c r="CE117" s="40"/>
      <c r="CF117" s="5"/>
      <c r="CH117" s="40"/>
      <c r="CI117" s="5"/>
      <c r="CK117" s="40"/>
      <c r="CL117" s="5"/>
      <c r="CN117" s="40"/>
      <c r="CO117" s="5"/>
      <c r="CQ117" s="40"/>
      <c r="CR117" s="5"/>
    </row>
    <row r="118">
      <c r="AO118" s="40"/>
      <c r="AP118" s="5"/>
      <c r="AR118" s="40"/>
      <c r="AS118" s="5"/>
      <c r="AU118" s="40"/>
      <c r="AV118" s="5"/>
      <c r="AX118" s="40"/>
      <c r="AY118" s="5"/>
      <c r="BA118" s="40"/>
      <c r="BB118" s="5"/>
      <c r="BD118" s="40"/>
      <c r="BE118" s="5"/>
      <c r="BG118" s="40"/>
      <c r="BH118" s="5"/>
      <c r="BJ118" s="40"/>
      <c r="BK118" s="5"/>
      <c r="BM118" s="40"/>
      <c r="BN118" s="5"/>
      <c r="BP118" s="40"/>
      <c r="BQ118" s="5"/>
      <c r="BS118" s="40"/>
      <c r="BT118" s="5"/>
      <c r="BV118" s="40"/>
      <c r="BW118" s="5"/>
      <c r="BY118" s="40"/>
      <c r="BZ118" s="5"/>
      <c r="CB118" s="40"/>
      <c r="CC118" s="5"/>
      <c r="CE118" s="40"/>
      <c r="CF118" s="5"/>
      <c r="CH118" s="40"/>
      <c r="CI118" s="5"/>
      <c r="CK118" s="40"/>
      <c r="CL118" s="5"/>
      <c r="CN118" s="40"/>
      <c r="CO118" s="5"/>
      <c r="CQ118" s="40"/>
      <c r="CR118" s="5"/>
    </row>
    <row r="119">
      <c r="AO119" s="40"/>
      <c r="AP119" s="5"/>
      <c r="AR119" s="40"/>
      <c r="AS119" s="5"/>
      <c r="AU119" s="40"/>
      <c r="AV119" s="5"/>
      <c r="AX119" s="40"/>
      <c r="AY119" s="5"/>
      <c r="BA119" s="40"/>
      <c r="BB119" s="5"/>
      <c r="BD119" s="40"/>
      <c r="BE119" s="5"/>
      <c r="BG119" s="40"/>
      <c r="BH119" s="5"/>
      <c r="BJ119" s="40"/>
      <c r="BK119" s="5"/>
      <c r="BM119" s="40"/>
      <c r="BN119" s="5"/>
      <c r="BP119" s="40"/>
      <c r="BQ119" s="5"/>
      <c r="BS119" s="40"/>
      <c r="BT119" s="5"/>
      <c r="BV119" s="40"/>
      <c r="BW119" s="5"/>
      <c r="BY119" s="40"/>
      <c r="BZ119" s="5"/>
      <c r="CB119" s="40"/>
      <c r="CC119" s="5"/>
      <c r="CE119" s="40"/>
      <c r="CF119" s="5"/>
      <c r="CH119" s="40"/>
      <c r="CI119" s="5"/>
      <c r="CK119" s="40"/>
      <c r="CL119" s="5"/>
      <c r="CN119" s="40"/>
      <c r="CO119" s="5"/>
      <c r="CQ119" s="40"/>
      <c r="CR119" s="5"/>
    </row>
    <row r="120">
      <c r="AO120" s="40"/>
      <c r="AP120" s="5"/>
      <c r="AR120" s="40"/>
      <c r="AS120" s="5"/>
      <c r="AU120" s="40"/>
      <c r="AV120" s="5"/>
      <c r="AX120" s="40"/>
      <c r="AY120" s="5"/>
      <c r="BA120" s="40"/>
      <c r="BB120" s="5"/>
      <c r="BD120" s="40"/>
      <c r="BE120" s="5"/>
      <c r="BG120" s="40"/>
      <c r="BH120" s="5"/>
      <c r="BJ120" s="40"/>
      <c r="BK120" s="5"/>
      <c r="BM120" s="40"/>
      <c r="BN120" s="5"/>
      <c r="BP120" s="40"/>
      <c r="BQ120" s="5"/>
      <c r="BS120" s="40"/>
      <c r="BT120" s="5"/>
      <c r="BV120" s="40"/>
      <c r="BW120" s="5"/>
      <c r="BY120" s="40"/>
      <c r="BZ120" s="5"/>
      <c r="CB120" s="40"/>
      <c r="CC120" s="5"/>
      <c r="CE120" s="40"/>
      <c r="CF120" s="5"/>
      <c r="CH120" s="40"/>
      <c r="CI120" s="5"/>
      <c r="CK120" s="40"/>
      <c r="CL120" s="5"/>
      <c r="CN120" s="40"/>
      <c r="CO120" s="5"/>
      <c r="CQ120" s="40"/>
      <c r="CR120" s="5"/>
    </row>
    <row r="121">
      <c r="AO121" s="40"/>
      <c r="AP121" s="5"/>
      <c r="AR121" s="40"/>
      <c r="AS121" s="5"/>
      <c r="AU121" s="40"/>
      <c r="AV121" s="5"/>
      <c r="AX121" s="40"/>
      <c r="AY121" s="5"/>
      <c r="BA121" s="40"/>
      <c r="BB121" s="5"/>
      <c r="BD121" s="40"/>
      <c r="BE121" s="5"/>
      <c r="BG121" s="40"/>
      <c r="BH121" s="5"/>
      <c r="BJ121" s="40"/>
      <c r="BK121" s="5"/>
      <c r="BM121" s="40"/>
      <c r="BN121" s="5"/>
      <c r="BP121" s="40"/>
      <c r="BQ121" s="5"/>
      <c r="BS121" s="40"/>
      <c r="BT121" s="5"/>
      <c r="BV121" s="40"/>
      <c r="BW121" s="5"/>
      <c r="BY121" s="40"/>
      <c r="BZ121" s="5"/>
      <c r="CB121" s="40"/>
      <c r="CC121" s="5"/>
      <c r="CE121" s="40"/>
      <c r="CF121" s="5"/>
      <c r="CH121" s="40"/>
      <c r="CI121" s="5"/>
      <c r="CK121" s="40"/>
      <c r="CL121" s="5"/>
      <c r="CN121" s="40"/>
      <c r="CO121" s="5"/>
      <c r="CQ121" s="40"/>
      <c r="CR121" s="5"/>
    </row>
    <row r="122">
      <c r="AO122" s="40"/>
      <c r="AP122" s="5"/>
      <c r="AR122" s="40"/>
      <c r="AS122" s="5"/>
      <c r="AU122" s="40"/>
      <c r="AV122" s="5"/>
      <c r="AX122" s="40"/>
      <c r="AY122" s="5"/>
      <c r="BA122" s="40"/>
      <c r="BB122" s="5"/>
      <c r="BD122" s="40"/>
      <c r="BE122" s="5"/>
      <c r="BG122" s="40"/>
      <c r="BH122" s="5"/>
      <c r="BJ122" s="40"/>
      <c r="BK122" s="5"/>
      <c r="BM122" s="40"/>
      <c r="BN122" s="5"/>
      <c r="BP122" s="40"/>
      <c r="BQ122" s="5"/>
      <c r="BS122" s="40"/>
      <c r="BT122" s="5"/>
      <c r="BV122" s="40"/>
      <c r="BW122" s="5"/>
      <c r="BY122" s="40"/>
      <c r="BZ122" s="5"/>
      <c r="CB122" s="40"/>
      <c r="CC122" s="5"/>
      <c r="CE122" s="40"/>
      <c r="CF122" s="5"/>
      <c r="CH122" s="40"/>
      <c r="CI122" s="5"/>
      <c r="CK122" s="40"/>
      <c r="CL122" s="5"/>
      <c r="CN122" s="40"/>
      <c r="CO122" s="5"/>
      <c r="CQ122" s="40"/>
      <c r="CR122" s="5"/>
    </row>
    <row r="123">
      <c r="AO123" s="40"/>
      <c r="AP123" s="5"/>
      <c r="AR123" s="40"/>
      <c r="AS123" s="5"/>
      <c r="AU123" s="40"/>
      <c r="AV123" s="5"/>
      <c r="AX123" s="40"/>
      <c r="AY123" s="5"/>
      <c r="BA123" s="40"/>
      <c r="BB123" s="5"/>
      <c r="BD123" s="40"/>
      <c r="BE123" s="5"/>
      <c r="BG123" s="40"/>
      <c r="BH123" s="5"/>
      <c r="BJ123" s="40"/>
      <c r="BK123" s="5"/>
      <c r="BM123" s="40"/>
      <c r="BN123" s="5"/>
      <c r="BP123" s="40"/>
      <c r="BQ123" s="5"/>
      <c r="BS123" s="40"/>
      <c r="BT123" s="5"/>
      <c r="BV123" s="40"/>
      <c r="BW123" s="5"/>
      <c r="BY123" s="40"/>
      <c r="BZ123" s="5"/>
      <c r="CB123" s="40"/>
      <c r="CC123" s="5"/>
      <c r="CE123" s="40"/>
      <c r="CF123" s="5"/>
      <c r="CH123" s="40"/>
      <c r="CI123" s="5"/>
      <c r="CK123" s="40"/>
      <c r="CL123" s="5"/>
      <c r="CN123" s="40"/>
      <c r="CO123" s="5"/>
      <c r="CQ123" s="40"/>
      <c r="CR123" s="5"/>
    </row>
    <row r="124">
      <c r="AO124" s="40"/>
      <c r="AP124" s="5"/>
      <c r="AR124" s="40"/>
      <c r="AS124" s="5"/>
      <c r="AU124" s="40"/>
      <c r="AV124" s="5"/>
      <c r="AX124" s="40"/>
      <c r="AY124" s="5"/>
      <c r="BA124" s="40"/>
      <c r="BB124" s="5"/>
      <c r="BD124" s="40"/>
      <c r="BE124" s="5"/>
      <c r="BG124" s="40"/>
      <c r="BH124" s="5"/>
      <c r="BJ124" s="40"/>
      <c r="BK124" s="5"/>
      <c r="BM124" s="40"/>
      <c r="BN124" s="5"/>
      <c r="BP124" s="40"/>
      <c r="BQ124" s="5"/>
      <c r="BS124" s="40"/>
      <c r="BT124" s="5"/>
      <c r="BV124" s="40"/>
      <c r="BW124" s="5"/>
      <c r="BY124" s="40"/>
      <c r="BZ124" s="5"/>
      <c r="CB124" s="40"/>
      <c r="CC124" s="5"/>
      <c r="CE124" s="40"/>
      <c r="CF124" s="5"/>
      <c r="CH124" s="40"/>
      <c r="CI124" s="5"/>
      <c r="CK124" s="40"/>
      <c r="CL124" s="5"/>
      <c r="CN124" s="40"/>
      <c r="CO124" s="5"/>
      <c r="CQ124" s="40"/>
      <c r="CR124" s="5"/>
    </row>
    <row r="125">
      <c r="AO125" s="40"/>
      <c r="AP125" s="5"/>
      <c r="AR125" s="40"/>
      <c r="AS125" s="5"/>
      <c r="AU125" s="40"/>
      <c r="AV125" s="5"/>
      <c r="AX125" s="40"/>
      <c r="AY125" s="5"/>
      <c r="BA125" s="40"/>
      <c r="BB125" s="5"/>
      <c r="BD125" s="40"/>
      <c r="BE125" s="5"/>
      <c r="BG125" s="40"/>
      <c r="BH125" s="5"/>
      <c r="BJ125" s="40"/>
      <c r="BK125" s="5"/>
      <c r="BM125" s="40"/>
      <c r="BN125" s="5"/>
      <c r="BP125" s="40"/>
      <c r="BQ125" s="5"/>
      <c r="BS125" s="40"/>
      <c r="BT125" s="5"/>
      <c r="BV125" s="40"/>
      <c r="BW125" s="5"/>
      <c r="BY125" s="40"/>
      <c r="BZ125" s="5"/>
      <c r="CB125" s="40"/>
      <c r="CC125" s="5"/>
      <c r="CE125" s="40"/>
      <c r="CF125" s="5"/>
      <c r="CH125" s="40"/>
      <c r="CI125" s="5"/>
      <c r="CK125" s="40"/>
      <c r="CL125" s="5"/>
      <c r="CN125" s="40"/>
      <c r="CO125" s="5"/>
      <c r="CQ125" s="40"/>
      <c r="CR125" s="5"/>
    </row>
    <row r="126">
      <c r="AO126" s="40"/>
      <c r="AP126" s="5"/>
      <c r="AR126" s="40"/>
      <c r="AS126" s="5"/>
      <c r="AU126" s="40"/>
      <c r="AV126" s="5"/>
      <c r="AX126" s="40"/>
      <c r="AY126" s="5"/>
      <c r="BA126" s="40"/>
      <c r="BB126" s="5"/>
      <c r="BD126" s="40"/>
      <c r="BE126" s="5"/>
      <c r="BG126" s="40"/>
      <c r="BH126" s="5"/>
      <c r="BJ126" s="40"/>
      <c r="BK126" s="5"/>
      <c r="BM126" s="40"/>
      <c r="BN126" s="5"/>
      <c r="BP126" s="40"/>
      <c r="BQ126" s="5"/>
      <c r="BS126" s="40"/>
      <c r="BT126" s="5"/>
      <c r="BV126" s="40"/>
      <c r="BW126" s="5"/>
      <c r="BY126" s="40"/>
      <c r="BZ126" s="5"/>
      <c r="CB126" s="40"/>
      <c r="CC126" s="5"/>
      <c r="CE126" s="40"/>
      <c r="CF126" s="5"/>
      <c r="CH126" s="40"/>
      <c r="CI126" s="5"/>
      <c r="CK126" s="40"/>
      <c r="CL126" s="5"/>
      <c r="CN126" s="40"/>
      <c r="CO126" s="5"/>
      <c r="CQ126" s="40"/>
      <c r="CR126" s="5"/>
    </row>
    <row r="127">
      <c r="AO127" s="40"/>
      <c r="AP127" s="5"/>
      <c r="AR127" s="40"/>
      <c r="AS127" s="5"/>
      <c r="AU127" s="40"/>
      <c r="AV127" s="5"/>
      <c r="AX127" s="40"/>
      <c r="AY127" s="5"/>
      <c r="BA127" s="40"/>
      <c r="BB127" s="5"/>
      <c r="BD127" s="40"/>
      <c r="BE127" s="5"/>
      <c r="BG127" s="40"/>
      <c r="BH127" s="5"/>
      <c r="BJ127" s="40"/>
      <c r="BK127" s="5"/>
      <c r="BM127" s="40"/>
      <c r="BN127" s="5"/>
      <c r="BP127" s="40"/>
      <c r="BQ127" s="5"/>
      <c r="BS127" s="40"/>
      <c r="BT127" s="5"/>
      <c r="BV127" s="40"/>
      <c r="BW127" s="5"/>
      <c r="BY127" s="40"/>
      <c r="BZ127" s="5"/>
      <c r="CB127" s="40"/>
      <c r="CC127" s="5"/>
      <c r="CE127" s="40"/>
      <c r="CF127" s="5"/>
      <c r="CH127" s="40"/>
      <c r="CI127" s="5"/>
      <c r="CK127" s="40"/>
      <c r="CL127" s="5"/>
      <c r="CN127" s="40"/>
      <c r="CO127" s="5"/>
      <c r="CQ127" s="40"/>
      <c r="CR127" s="5"/>
    </row>
    <row r="128">
      <c r="AO128" s="40"/>
      <c r="AP128" s="5"/>
      <c r="AR128" s="40"/>
      <c r="AS128" s="5"/>
      <c r="AU128" s="40"/>
      <c r="AV128" s="5"/>
      <c r="AX128" s="40"/>
      <c r="AY128" s="5"/>
      <c r="BA128" s="40"/>
      <c r="BB128" s="5"/>
      <c r="BD128" s="40"/>
      <c r="BE128" s="5"/>
      <c r="BG128" s="40"/>
      <c r="BH128" s="5"/>
      <c r="BJ128" s="40"/>
      <c r="BK128" s="5"/>
      <c r="BM128" s="40"/>
      <c r="BN128" s="5"/>
      <c r="BP128" s="40"/>
      <c r="BQ128" s="5"/>
      <c r="BS128" s="40"/>
      <c r="BT128" s="5"/>
      <c r="BV128" s="40"/>
      <c r="BW128" s="5"/>
      <c r="BY128" s="40"/>
      <c r="BZ128" s="5"/>
      <c r="CB128" s="40"/>
      <c r="CC128" s="5"/>
      <c r="CE128" s="40"/>
      <c r="CF128" s="5"/>
      <c r="CH128" s="40"/>
      <c r="CI128" s="5"/>
      <c r="CK128" s="40"/>
      <c r="CL128" s="5"/>
      <c r="CN128" s="40"/>
      <c r="CO128" s="5"/>
      <c r="CQ128" s="40"/>
      <c r="CR128" s="5"/>
    </row>
    <row r="129">
      <c r="AO129" s="40"/>
      <c r="AP129" s="5"/>
      <c r="AR129" s="40"/>
      <c r="AS129" s="5"/>
      <c r="AU129" s="40"/>
      <c r="AV129" s="5"/>
      <c r="AX129" s="40"/>
      <c r="AY129" s="5"/>
      <c r="BA129" s="40"/>
      <c r="BB129" s="5"/>
      <c r="BD129" s="40"/>
      <c r="BE129" s="5"/>
      <c r="BG129" s="40"/>
      <c r="BH129" s="5"/>
      <c r="BJ129" s="40"/>
      <c r="BK129" s="5"/>
      <c r="BM129" s="40"/>
      <c r="BN129" s="5"/>
      <c r="BP129" s="40"/>
      <c r="BQ129" s="5"/>
      <c r="BS129" s="40"/>
      <c r="BT129" s="5"/>
      <c r="BV129" s="40"/>
      <c r="BW129" s="5"/>
      <c r="BY129" s="40"/>
      <c r="BZ129" s="5"/>
      <c r="CB129" s="40"/>
      <c r="CC129" s="5"/>
      <c r="CE129" s="40"/>
      <c r="CF129" s="5"/>
      <c r="CH129" s="40"/>
      <c r="CI129" s="5"/>
      <c r="CK129" s="40"/>
      <c r="CL129" s="5"/>
      <c r="CN129" s="40"/>
      <c r="CO129" s="5"/>
      <c r="CQ129" s="40"/>
      <c r="CR129" s="5"/>
    </row>
    <row r="130">
      <c r="AO130" s="40"/>
      <c r="AP130" s="5"/>
      <c r="AR130" s="40"/>
      <c r="AS130" s="5"/>
      <c r="AU130" s="40"/>
      <c r="AV130" s="5"/>
      <c r="AX130" s="40"/>
      <c r="AY130" s="5"/>
      <c r="BA130" s="40"/>
      <c r="BB130" s="5"/>
      <c r="BD130" s="40"/>
      <c r="BE130" s="5"/>
      <c r="BG130" s="40"/>
      <c r="BH130" s="5"/>
      <c r="BJ130" s="40"/>
      <c r="BK130" s="5"/>
      <c r="BM130" s="40"/>
      <c r="BN130" s="5"/>
      <c r="BP130" s="40"/>
      <c r="BQ130" s="5"/>
      <c r="BS130" s="40"/>
      <c r="BT130" s="5"/>
      <c r="BV130" s="40"/>
      <c r="BW130" s="5"/>
      <c r="BY130" s="40"/>
      <c r="BZ130" s="5"/>
      <c r="CB130" s="40"/>
      <c r="CC130" s="5"/>
      <c r="CE130" s="40"/>
      <c r="CF130" s="5"/>
      <c r="CH130" s="40"/>
      <c r="CI130" s="5"/>
      <c r="CK130" s="40"/>
      <c r="CL130" s="5"/>
      <c r="CN130" s="40"/>
      <c r="CO130" s="5"/>
      <c r="CQ130" s="40"/>
      <c r="CR130" s="5"/>
    </row>
    <row r="131">
      <c r="AO131" s="40"/>
      <c r="AP131" s="5"/>
      <c r="AR131" s="40"/>
      <c r="AS131" s="5"/>
      <c r="AU131" s="40"/>
      <c r="AV131" s="5"/>
      <c r="AX131" s="40"/>
      <c r="AY131" s="5"/>
      <c r="BA131" s="40"/>
      <c r="BB131" s="5"/>
      <c r="BD131" s="40"/>
      <c r="BE131" s="5"/>
      <c r="BG131" s="40"/>
      <c r="BH131" s="5"/>
      <c r="BJ131" s="40"/>
      <c r="BK131" s="5"/>
      <c r="BM131" s="40"/>
      <c r="BN131" s="5"/>
      <c r="BP131" s="40"/>
      <c r="BQ131" s="5"/>
      <c r="BS131" s="40"/>
      <c r="BT131" s="5"/>
      <c r="BV131" s="40"/>
      <c r="BW131" s="5"/>
      <c r="BY131" s="40"/>
      <c r="BZ131" s="5"/>
      <c r="CB131" s="40"/>
      <c r="CC131" s="5"/>
      <c r="CE131" s="40"/>
      <c r="CF131" s="5"/>
      <c r="CH131" s="40"/>
      <c r="CI131" s="5"/>
      <c r="CK131" s="40"/>
      <c r="CL131" s="5"/>
      <c r="CN131" s="40"/>
      <c r="CO131" s="5"/>
      <c r="CQ131" s="40"/>
      <c r="CR131" s="5"/>
    </row>
    <row r="132">
      <c r="AO132" s="40"/>
      <c r="AP132" s="5"/>
      <c r="AR132" s="40"/>
      <c r="AS132" s="5"/>
      <c r="AU132" s="40"/>
      <c r="AV132" s="5"/>
      <c r="AX132" s="40"/>
      <c r="AY132" s="5"/>
      <c r="BA132" s="40"/>
      <c r="BB132" s="5"/>
      <c r="BD132" s="40"/>
      <c r="BE132" s="5"/>
      <c r="BG132" s="40"/>
      <c r="BH132" s="5"/>
      <c r="BJ132" s="40"/>
      <c r="BK132" s="5"/>
      <c r="BM132" s="40"/>
      <c r="BN132" s="5"/>
      <c r="BP132" s="40"/>
      <c r="BQ132" s="5"/>
      <c r="BS132" s="40"/>
      <c r="BT132" s="5"/>
      <c r="BV132" s="40"/>
      <c r="BW132" s="5"/>
      <c r="BY132" s="40"/>
      <c r="BZ132" s="5"/>
      <c r="CB132" s="40"/>
      <c r="CC132" s="5"/>
      <c r="CE132" s="40"/>
      <c r="CF132" s="5"/>
      <c r="CH132" s="40"/>
      <c r="CI132" s="5"/>
      <c r="CK132" s="40"/>
      <c r="CL132" s="5"/>
      <c r="CN132" s="40"/>
      <c r="CO132" s="5"/>
      <c r="CQ132" s="40"/>
      <c r="CR132" s="5"/>
    </row>
    <row r="133">
      <c r="AO133" s="40"/>
      <c r="AP133" s="5"/>
      <c r="AR133" s="40"/>
      <c r="AS133" s="5"/>
      <c r="AU133" s="40"/>
      <c r="AV133" s="5"/>
      <c r="AX133" s="40"/>
      <c r="AY133" s="5"/>
      <c r="BA133" s="40"/>
      <c r="BB133" s="5"/>
      <c r="BD133" s="40"/>
      <c r="BE133" s="5"/>
      <c r="BG133" s="40"/>
      <c r="BH133" s="5"/>
      <c r="BJ133" s="40"/>
      <c r="BK133" s="5"/>
      <c r="BM133" s="40"/>
      <c r="BN133" s="5"/>
      <c r="BP133" s="40"/>
      <c r="BQ133" s="5"/>
      <c r="BS133" s="40"/>
      <c r="BT133" s="5"/>
      <c r="BV133" s="40"/>
      <c r="BW133" s="5"/>
      <c r="BY133" s="40"/>
      <c r="BZ133" s="5"/>
      <c r="CB133" s="40"/>
      <c r="CC133" s="5"/>
      <c r="CE133" s="40"/>
      <c r="CF133" s="5"/>
      <c r="CH133" s="40"/>
      <c r="CI133" s="5"/>
      <c r="CK133" s="40"/>
      <c r="CL133" s="5"/>
      <c r="CN133" s="40"/>
      <c r="CO133" s="5"/>
      <c r="CQ133" s="40"/>
      <c r="CR133" s="5"/>
    </row>
    <row r="134">
      <c r="AO134" s="40"/>
      <c r="AP134" s="5"/>
      <c r="AR134" s="40"/>
      <c r="AS134" s="5"/>
      <c r="AU134" s="40"/>
      <c r="AV134" s="5"/>
      <c r="AX134" s="40"/>
      <c r="AY134" s="5"/>
      <c r="BA134" s="40"/>
      <c r="BB134" s="5"/>
      <c r="BD134" s="40"/>
      <c r="BE134" s="5"/>
      <c r="BG134" s="40"/>
      <c r="BH134" s="5"/>
      <c r="BJ134" s="40"/>
      <c r="BK134" s="5"/>
      <c r="BM134" s="40"/>
      <c r="BN134" s="5"/>
      <c r="BP134" s="40"/>
      <c r="BQ134" s="5"/>
      <c r="BS134" s="40"/>
      <c r="BT134" s="5"/>
      <c r="BV134" s="40"/>
      <c r="BW134" s="5"/>
      <c r="BY134" s="40"/>
      <c r="BZ134" s="5"/>
      <c r="CB134" s="40"/>
      <c r="CC134" s="5"/>
      <c r="CE134" s="40"/>
      <c r="CF134" s="5"/>
      <c r="CH134" s="40"/>
      <c r="CI134" s="5"/>
      <c r="CK134" s="40"/>
      <c r="CL134" s="5"/>
      <c r="CN134" s="40"/>
      <c r="CO134" s="5"/>
      <c r="CQ134" s="40"/>
      <c r="CR134" s="5"/>
    </row>
    <row r="135">
      <c r="AO135" s="40"/>
      <c r="AP135" s="5"/>
      <c r="AR135" s="40"/>
      <c r="AS135" s="5"/>
      <c r="AU135" s="40"/>
      <c r="AV135" s="5"/>
      <c r="AX135" s="40"/>
      <c r="AY135" s="5"/>
      <c r="BA135" s="40"/>
      <c r="BB135" s="5"/>
      <c r="BD135" s="40"/>
      <c r="BE135" s="5"/>
      <c r="BG135" s="40"/>
      <c r="BH135" s="5"/>
      <c r="BJ135" s="40"/>
      <c r="BK135" s="5"/>
      <c r="BM135" s="40"/>
      <c r="BN135" s="5"/>
      <c r="BP135" s="40"/>
      <c r="BQ135" s="5"/>
      <c r="BS135" s="40"/>
      <c r="BT135" s="5"/>
      <c r="BV135" s="40"/>
      <c r="BW135" s="5"/>
      <c r="BY135" s="40"/>
      <c r="BZ135" s="5"/>
      <c r="CB135" s="40"/>
      <c r="CC135" s="5"/>
      <c r="CE135" s="40"/>
      <c r="CF135" s="5"/>
      <c r="CH135" s="40"/>
      <c r="CI135" s="5"/>
      <c r="CK135" s="40"/>
      <c r="CL135" s="5"/>
      <c r="CN135" s="40"/>
      <c r="CO135" s="5"/>
      <c r="CQ135" s="40"/>
      <c r="CR135" s="5"/>
    </row>
    <row r="136">
      <c r="AO136" s="40"/>
      <c r="AP136" s="5"/>
      <c r="AR136" s="40"/>
      <c r="AS136" s="5"/>
      <c r="AU136" s="40"/>
      <c r="AV136" s="5"/>
      <c r="AX136" s="40"/>
      <c r="AY136" s="5"/>
      <c r="BA136" s="40"/>
      <c r="BB136" s="5"/>
      <c r="BD136" s="40"/>
      <c r="BE136" s="5"/>
      <c r="BG136" s="40"/>
      <c r="BH136" s="5"/>
      <c r="BJ136" s="40"/>
      <c r="BK136" s="5"/>
      <c r="BM136" s="40"/>
      <c r="BN136" s="5"/>
      <c r="BP136" s="40"/>
      <c r="BQ136" s="5"/>
      <c r="BS136" s="40"/>
      <c r="BT136" s="5"/>
      <c r="BV136" s="40"/>
      <c r="BW136" s="5"/>
      <c r="BY136" s="40"/>
      <c r="BZ136" s="5"/>
      <c r="CB136" s="40"/>
      <c r="CC136" s="5"/>
      <c r="CE136" s="40"/>
      <c r="CF136" s="5"/>
      <c r="CH136" s="40"/>
      <c r="CI136" s="5"/>
      <c r="CK136" s="40"/>
      <c r="CL136" s="5"/>
      <c r="CN136" s="40"/>
      <c r="CO136" s="5"/>
      <c r="CQ136" s="40"/>
      <c r="CR136" s="5"/>
    </row>
    <row r="137">
      <c r="AO137" s="40"/>
      <c r="AP137" s="5"/>
      <c r="AR137" s="40"/>
      <c r="AS137" s="5"/>
      <c r="AU137" s="40"/>
      <c r="AV137" s="5"/>
      <c r="AX137" s="40"/>
      <c r="AY137" s="5"/>
      <c r="BA137" s="40"/>
      <c r="BB137" s="5"/>
      <c r="BD137" s="40"/>
      <c r="BE137" s="5"/>
      <c r="BG137" s="40"/>
      <c r="BH137" s="5"/>
      <c r="BJ137" s="40"/>
      <c r="BK137" s="5"/>
      <c r="BM137" s="40"/>
      <c r="BN137" s="5"/>
      <c r="BP137" s="40"/>
      <c r="BQ137" s="5"/>
      <c r="BS137" s="40"/>
      <c r="BT137" s="5"/>
      <c r="BV137" s="40"/>
      <c r="BW137" s="5"/>
      <c r="BY137" s="40"/>
      <c r="BZ137" s="5"/>
      <c r="CB137" s="40"/>
      <c r="CC137" s="5"/>
      <c r="CE137" s="40"/>
      <c r="CF137" s="5"/>
      <c r="CH137" s="40"/>
      <c r="CI137" s="5"/>
      <c r="CK137" s="40"/>
      <c r="CL137" s="5"/>
      <c r="CN137" s="40"/>
      <c r="CO137" s="5"/>
      <c r="CQ137" s="40"/>
      <c r="CR137" s="5"/>
    </row>
    <row r="138">
      <c r="AO138" s="40"/>
      <c r="AP138" s="5"/>
      <c r="AR138" s="40"/>
      <c r="AS138" s="5"/>
      <c r="AU138" s="40"/>
      <c r="AV138" s="5"/>
      <c r="AX138" s="40"/>
      <c r="AY138" s="5"/>
      <c r="BA138" s="40"/>
      <c r="BB138" s="5"/>
      <c r="BD138" s="40"/>
      <c r="BE138" s="5"/>
      <c r="BG138" s="40"/>
      <c r="BH138" s="5"/>
      <c r="BJ138" s="40"/>
      <c r="BK138" s="5"/>
      <c r="BM138" s="40"/>
      <c r="BN138" s="5"/>
      <c r="BP138" s="40"/>
      <c r="BQ138" s="5"/>
      <c r="BS138" s="40"/>
      <c r="BT138" s="5"/>
      <c r="BV138" s="40"/>
      <c r="BW138" s="5"/>
      <c r="BY138" s="40"/>
      <c r="BZ138" s="5"/>
      <c r="CB138" s="40"/>
      <c r="CC138" s="5"/>
      <c r="CE138" s="40"/>
      <c r="CF138" s="5"/>
      <c r="CH138" s="40"/>
      <c r="CI138" s="5"/>
      <c r="CK138" s="40"/>
      <c r="CL138" s="5"/>
      <c r="CN138" s="40"/>
      <c r="CO138" s="5"/>
      <c r="CQ138" s="40"/>
      <c r="CR138" s="5"/>
    </row>
    <row r="139">
      <c r="AO139" s="40"/>
      <c r="AP139" s="5"/>
      <c r="AR139" s="40"/>
      <c r="AS139" s="5"/>
      <c r="AU139" s="40"/>
      <c r="AV139" s="5"/>
      <c r="AX139" s="40"/>
      <c r="AY139" s="5"/>
      <c r="BA139" s="40"/>
      <c r="BB139" s="5"/>
      <c r="BD139" s="40"/>
      <c r="BE139" s="5"/>
      <c r="BG139" s="40"/>
      <c r="BH139" s="5"/>
      <c r="BJ139" s="40"/>
      <c r="BK139" s="5"/>
      <c r="BM139" s="40"/>
      <c r="BN139" s="5"/>
      <c r="BP139" s="40"/>
      <c r="BQ139" s="5"/>
      <c r="BS139" s="40"/>
      <c r="BT139" s="5"/>
      <c r="BV139" s="40"/>
      <c r="BW139" s="5"/>
      <c r="BY139" s="40"/>
      <c r="BZ139" s="5"/>
      <c r="CB139" s="40"/>
      <c r="CC139" s="5"/>
      <c r="CE139" s="40"/>
      <c r="CF139" s="5"/>
      <c r="CH139" s="40"/>
      <c r="CI139" s="5"/>
      <c r="CK139" s="40"/>
      <c r="CL139" s="5"/>
      <c r="CN139" s="40"/>
      <c r="CO139" s="5"/>
      <c r="CQ139" s="40"/>
      <c r="CR139" s="5"/>
    </row>
    <row r="140">
      <c r="AO140" s="40"/>
      <c r="AP140" s="5"/>
      <c r="AR140" s="40"/>
      <c r="AS140" s="5"/>
      <c r="AU140" s="40"/>
      <c r="AV140" s="5"/>
      <c r="AX140" s="40"/>
      <c r="AY140" s="5"/>
      <c r="BA140" s="40"/>
      <c r="BB140" s="5"/>
      <c r="BD140" s="40"/>
      <c r="BE140" s="5"/>
      <c r="BG140" s="40"/>
      <c r="BH140" s="5"/>
      <c r="BJ140" s="40"/>
      <c r="BK140" s="5"/>
      <c r="BM140" s="40"/>
      <c r="BN140" s="5"/>
      <c r="BP140" s="40"/>
      <c r="BQ140" s="5"/>
      <c r="BS140" s="40"/>
      <c r="BT140" s="5"/>
      <c r="BV140" s="40"/>
      <c r="BW140" s="5"/>
      <c r="BY140" s="40"/>
      <c r="BZ140" s="5"/>
      <c r="CB140" s="40"/>
      <c r="CC140" s="5"/>
      <c r="CE140" s="40"/>
      <c r="CF140" s="5"/>
      <c r="CH140" s="40"/>
      <c r="CI140" s="5"/>
      <c r="CK140" s="40"/>
      <c r="CL140" s="5"/>
      <c r="CN140" s="40"/>
      <c r="CO140" s="5"/>
      <c r="CQ140" s="40"/>
      <c r="CR140" s="5"/>
    </row>
    <row r="141">
      <c r="AO141" s="40"/>
      <c r="AP141" s="5"/>
      <c r="AR141" s="40"/>
      <c r="AS141" s="5"/>
      <c r="AU141" s="40"/>
      <c r="AV141" s="5"/>
      <c r="AX141" s="40"/>
      <c r="AY141" s="5"/>
      <c r="BA141" s="40"/>
      <c r="BB141" s="5"/>
      <c r="BD141" s="40"/>
      <c r="BE141" s="5"/>
      <c r="BG141" s="40"/>
      <c r="BH141" s="5"/>
      <c r="BJ141" s="40"/>
      <c r="BK141" s="5"/>
      <c r="BM141" s="40"/>
      <c r="BN141" s="5"/>
      <c r="BP141" s="40"/>
      <c r="BQ141" s="5"/>
      <c r="BS141" s="40"/>
      <c r="BT141" s="5"/>
      <c r="BV141" s="40"/>
      <c r="BW141" s="5"/>
      <c r="BY141" s="40"/>
      <c r="BZ141" s="5"/>
      <c r="CB141" s="40"/>
      <c r="CC141" s="5"/>
      <c r="CE141" s="40"/>
      <c r="CF141" s="5"/>
      <c r="CH141" s="40"/>
      <c r="CI141" s="5"/>
      <c r="CK141" s="40"/>
      <c r="CL141" s="5"/>
      <c r="CN141" s="40"/>
      <c r="CO141" s="5"/>
      <c r="CQ141" s="40"/>
      <c r="CR141" s="5"/>
    </row>
    <row r="142">
      <c r="AO142" s="40"/>
      <c r="AP142" s="5"/>
      <c r="AR142" s="40"/>
      <c r="AS142" s="5"/>
      <c r="AU142" s="40"/>
      <c r="AV142" s="5"/>
      <c r="AX142" s="40"/>
      <c r="AY142" s="5"/>
      <c r="BA142" s="40"/>
      <c r="BB142" s="5"/>
      <c r="BD142" s="40"/>
      <c r="BE142" s="5"/>
      <c r="BG142" s="40"/>
      <c r="BH142" s="5"/>
      <c r="BJ142" s="40"/>
      <c r="BK142" s="5"/>
      <c r="BM142" s="40"/>
      <c r="BN142" s="5"/>
      <c r="BP142" s="40"/>
      <c r="BQ142" s="5"/>
      <c r="BS142" s="40"/>
      <c r="BT142" s="5"/>
      <c r="BV142" s="40"/>
      <c r="BW142" s="5"/>
      <c r="BY142" s="40"/>
      <c r="BZ142" s="5"/>
      <c r="CB142" s="40"/>
      <c r="CC142" s="5"/>
      <c r="CE142" s="40"/>
      <c r="CF142" s="5"/>
      <c r="CH142" s="40"/>
      <c r="CI142" s="5"/>
      <c r="CK142" s="40"/>
      <c r="CL142" s="5"/>
      <c r="CN142" s="40"/>
      <c r="CO142" s="5"/>
      <c r="CQ142" s="40"/>
      <c r="CR142" s="5"/>
    </row>
    <row r="143">
      <c r="AO143" s="40"/>
      <c r="AP143" s="5"/>
      <c r="AR143" s="40"/>
      <c r="AS143" s="5"/>
      <c r="AU143" s="40"/>
      <c r="AV143" s="5"/>
      <c r="AX143" s="40"/>
      <c r="AY143" s="5"/>
      <c r="BA143" s="40"/>
      <c r="BB143" s="5"/>
      <c r="BD143" s="40"/>
      <c r="BE143" s="5"/>
      <c r="BG143" s="40"/>
      <c r="BH143" s="5"/>
      <c r="BJ143" s="40"/>
      <c r="BK143" s="5"/>
      <c r="BM143" s="40"/>
      <c r="BN143" s="5"/>
      <c r="BP143" s="40"/>
      <c r="BQ143" s="5"/>
      <c r="BS143" s="40"/>
      <c r="BT143" s="5"/>
      <c r="BV143" s="40"/>
      <c r="BW143" s="5"/>
      <c r="BY143" s="40"/>
      <c r="BZ143" s="5"/>
      <c r="CB143" s="40"/>
      <c r="CC143" s="5"/>
      <c r="CE143" s="40"/>
      <c r="CF143" s="5"/>
      <c r="CH143" s="40"/>
      <c r="CI143" s="5"/>
      <c r="CK143" s="40"/>
      <c r="CL143" s="5"/>
      <c r="CN143" s="40"/>
      <c r="CO143" s="5"/>
      <c r="CQ143" s="40"/>
      <c r="CR143" s="5"/>
    </row>
    <row r="144">
      <c r="AO144" s="40"/>
      <c r="AP144" s="5"/>
      <c r="AR144" s="40"/>
      <c r="AS144" s="5"/>
      <c r="AU144" s="40"/>
      <c r="AV144" s="5"/>
      <c r="AX144" s="40"/>
      <c r="AY144" s="5"/>
      <c r="BA144" s="40"/>
      <c r="BB144" s="5"/>
      <c r="BD144" s="40"/>
      <c r="BE144" s="5"/>
      <c r="BG144" s="40"/>
      <c r="BH144" s="5"/>
      <c r="BJ144" s="40"/>
      <c r="BK144" s="5"/>
      <c r="BM144" s="40"/>
      <c r="BN144" s="5"/>
      <c r="BP144" s="40"/>
      <c r="BQ144" s="5"/>
      <c r="BS144" s="40"/>
      <c r="BT144" s="5"/>
      <c r="BV144" s="40"/>
      <c r="BW144" s="5"/>
      <c r="BY144" s="40"/>
      <c r="BZ144" s="5"/>
      <c r="CB144" s="40"/>
      <c r="CC144" s="5"/>
      <c r="CE144" s="40"/>
      <c r="CF144" s="5"/>
      <c r="CH144" s="40"/>
      <c r="CI144" s="5"/>
      <c r="CK144" s="40"/>
      <c r="CL144" s="5"/>
      <c r="CN144" s="40"/>
      <c r="CO144" s="5"/>
      <c r="CQ144" s="40"/>
      <c r="CR144" s="5"/>
    </row>
    <row r="145">
      <c r="AO145" s="40"/>
      <c r="AP145" s="5"/>
      <c r="AR145" s="40"/>
      <c r="AS145" s="5"/>
      <c r="AU145" s="40"/>
      <c r="AV145" s="5"/>
      <c r="AX145" s="40"/>
      <c r="AY145" s="5"/>
      <c r="BA145" s="40"/>
      <c r="BB145" s="5"/>
      <c r="BD145" s="40"/>
      <c r="BE145" s="5"/>
      <c r="BG145" s="40"/>
      <c r="BH145" s="5"/>
      <c r="BJ145" s="40"/>
      <c r="BK145" s="5"/>
      <c r="BM145" s="40"/>
      <c r="BN145" s="5"/>
      <c r="BP145" s="40"/>
      <c r="BQ145" s="5"/>
      <c r="BS145" s="40"/>
      <c r="BT145" s="5"/>
      <c r="BV145" s="40"/>
      <c r="BW145" s="5"/>
      <c r="BY145" s="40"/>
      <c r="BZ145" s="5"/>
      <c r="CB145" s="40"/>
      <c r="CC145" s="5"/>
      <c r="CE145" s="40"/>
      <c r="CF145" s="5"/>
      <c r="CH145" s="40"/>
      <c r="CI145" s="5"/>
      <c r="CK145" s="40"/>
      <c r="CL145" s="5"/>
      <c r="CN145" s="40"/>
      <c r="CO145" s="5"/>
      <c r="CQ145" s="40"/>
      <c r="CR145" s="5"/>
    </row>
    <row r="146">
      <c r="AO146" s="40"/>
      <c r="AP146" s="5"/>
      <c r="AR146" s="40"/>
      <c r="AS146" s="5"/>
      <c r="AU146" s="40"/>
      <c r="AV146" s="5"/>
      <c r="AX146" s="40"/>
      <c r="AY146" s="5"/>
      <c r="BA146" s="40"/>
      <c r="BB146" s="5"/>
      <c r="BD146" s="40"/>
      <c r="BE146" s="5"/>
      <c r="BG146" s="40"/>
      <c r="BH146" s="5"/>
      <c r="BJ146" s="40"/>
      <c r="BK146" s="5"/>
      <c r="BM146" s="40"/>
      <c r="BN146" s="5"/>
      <c r="BP146" s="40"/>
      <c r="BQ146" s="5"/>
      <c r="BS146" s="40"/>
      <c r="BT146" s="5"/>
      <c r="BV146" s="40"/>
      <c r="BW146" s="5"/>
      <c r="BY146" s="40"/>
      <c r="BZ146" s="5"/>
      <c r="CB146" s="40"/>
      <c r="CC146" s="5"/>
      <c r="CE146" s="40"/>
      <c r="CF146" s="5"/>
      <c r="CH146" s="40"/>
      <c r="CI146" s="5"/>
      <c r="CK146" s="40"/>
      <c r="CL146" s="5"/>
      <c r="CN146" s="40"/>
      <c r="CO146" s="5"/>
      <c r="CQ146" s="40"/>
      <c r="CR146" s="5"/>
    </row>
    <row r="147">
      <c r="AO147" s="40"/>
      <c r="AP147" s="5"/>
      <c r="AR147" s="40"/>
      <c r="AS147" s="5"/>
      <c r="AU147" s="40"/>
      <c r="AV147" s="5"/>
      <c r="AX147" s="40"/>
      <c r="AY147" s="5"/>
      <c r="BA147" s="40"/>
      <c r="BB147" s="5"/>
      <c r="BD147" s="40"/>
      <c r="BE147" s="5"/>
      <c r="BG147" s="40"/>
      <c r="BH147" s="5"/>
      <c r="BJ147" s="40"/>
      <c r="BK147" s="5"/>
      <c r="BM147" s="40"/>
      <c r="BN147" s="5"/>
      <c r="BP147" s="40"/>
      <c r="BQ147" s="5"/>
      <c r="BS147" s="40"/>
      <c r="BT147" s="5"/>
      <c r="BV147" s="40"/>
      <c r="BW147" s="5"/>
      <c r="BY147" s="40"/>
      <c r="BZ147" s="5"/>
      <c r="CB147" s="40"/>
      <c r="CC147" s="5"/>
      <c r="CE147" s="40"/>
      <c r="CF147" s="5"/>
      <c r="CH147" s="40"/>
      <c r="CI147" s="5"/>
      <c r="CK147" s="40"/>
      <c r="CL147" s="5"/>
      <c r="CN147" s="40"/>
      <c r="CO147" s="5"/>
      <c r="CQ147" s="40"/>
      <c r="CR147" s="5"/>
    </row>
    <row r="148">
      <c r="AO148" s="40"/>
      <c r="AP148" s="5"/>
      <c r="AR148" s="40"/>
      <c r="AS148" s="5"/>
      <c r="AU148" s="40"/>
      <c r="AV148" s="5"/>
      <c r="AX148" s="40"/>
      <c r="AY148" s="5"/>
      <c r="BA148" s="40"/>
      <c r="BB148" s="5"/>
      <c r="BD148" s="40"/>
      <c r="BE148" s="5"/>
      <c r="BG148" s="40"/>
      <c r="BH148" s="5"/>
      <c r="BJ148" s="40"/>
      <c r="BK148" s="5"/>
      <c r="BM148" s="40"/>
      <c r="BN148" s="5"/>
      <c r="BP148" s="40"/>
      <c r="BQ148" s="5"/>
      <c r="BS148" s="40"/>
      <c r="BT148" s="5"/>
      <c r="BV148" s="40"/>
      <c r="BW148" s="5"/>
      <c r="BY148" s="40"/>
      <c r="BZ148" s="5"/>
      <c r="CB148" s="40"/>
      <c r="CC148" s="5"/>
      <c r="CE148" s="40"/>
      <c r="CF148" s="5"/>
      <c r="CH148" s="40"/>
      <c r="CI148" s="5"/>
      <c r="CK148" s="40"/>
      <c r="CL148" s="5"/>
      <c r="CN148" s="40"/>
      <c r="CO148" s="5"/>
      <c r="CQ148" s="40"/>
      <c r="CR148" s="5"/>
    </row>
    <row r="149">
      <c r="AO149" s="40"/>
      <c r="AP149" s="5"/>
      <c r="AR149" s="40"/>
      <c r="AS149" s="5"/>
      <c r="AU149" s="40"/>
      <c r="AV149" s="5"/>
      <c r="AX149" s="40"/>
      <c r="AY149" s="5"/>
      <c r="BA149" s="40"/>
      <c r="BB149" s="5"/>
      <c r="BD149" s="40"/>
      <c r="BE149" s="5"/>
      <c r="BG149" s="40"/>
      <c r="BH149" s="5"/>
      <c r="BJ149" s="40"/>
      <c r="BK149" s="5"/>
      <c r="BM149" s="40"/>
      <c r="BN149" s="5"/>
      <c r="BP149" s="40"/>
      <c r="BQ149" s="5"/>
      <c r="BS149" s="40"/>
      <c r="BT149" s="5"/>
      <c r="BV149" s="40"/>
      <c r="BW149" s="5"/>
      <c r="BY149" s="40"/>
      <c r="BZ149" s="5"/>
      <c r="CB149" s="40"/>
      <c r="CC149" s="5"/>
      <c r="CE149" s="40"/>
      <c r="CF149" s="5"/>
      <c r="CH149" s="40"/>
      <c r="CI149" s="5"/>
      <c r="CK149" s="40"/>
      <c r="CL149" s="5"/>
      <c r="CN149" s="40"/>
      <c r="CO149" s="5"/>
      <c r="CQ149" s="40"/>
      <c r="CR149" s="5"/>
    </row>
    <row r="150">
      <c r="AO150" s="40"/>
      <c r="AP150" s="5"/>
      <c r="AR150" s="40"/>
      <c r="AS150" s="5"/>
      <c r="AU150" s="40"/>
      <c r="AV150" s="5"/>
      <c r="AX150" s="40"/>
      <c r="AY150" s="5"/>
      <c r="BA150" s="40"/>
      <c r="BB150" s="5"/>
      <c r="BD150" s="40"/>
      <c r="BE150" s="5"/>
      <c r="BG150" s="40"/>
      <c r="BH150" s="5"/>
      <c r="BJ150" s="40"/>
      <c r="BK150" s="5"/>
      <c r="BM150" s="40"/>
      <c r="BN150" s="5"/>
      <c r="BP150" s="40"/>
      <c r="BQ150" s="5"/>
      <c r="BS150" s="40"/>
      <c r="BT150" s="5"/>
      <c r="BV150" s="40"/>
      <c r="BW150" s="5"/>
      <c r="BY150" s="40"/>
      <c r="BZ150" s="5"/>
      <c r="CB150" s="40"/>
      <c r="CC150" s="5"/>
      <c r="CE150" s="40"/>
      <c r="CF150" s="5"/>
      <c r="CH150" s="40"/>
      <c r="CI150" s="5"/>
      <c r="CK150" s="40"/>
      <c r="CL150" s="5"/>
      <c r="CN150" s="40"/>
      <c r="CO150" s="5"/>
      <c r="CQ150" s="40"/>
      <c r="CR150" s="5"/>
    </row>
    <row r="151">
      <c r="AO151" s="40"/>
      <c r="AP151" s="5"/>
      <c r="AR151" s="40"/>
      <c r="AS151" s="5"/>
      <c r="AU151" s="40"/>
      <c r="AV151" s="5"/>
      <c r="AX151" s="40"/>
      <c r="AY151" s="5"/>
      <c r="BA151" s="40"/>
      <c r="BB151" s="5"/>
      <c r="BD151" s="40"/>
      <c r="BE151" s="5"/>
      <c r="BG151" s="40"/>
      <c r="BH151" s="5"/>
      <c r="BJ151" s="40"/>
      <c r="BK151" s="5"/>
      <c r="BM151" s="40"/>
      <c r="BN151" s="5"/>
      <c r="BP151" s="40"/>
      <c r="BQ151" s="5"/>
      <c r="BS151" s="40"/>
      <c r="BT151" s="5"/>
      <c r="BV151" s="40"/>
      <c r="BW151" s="5"/>
      <c r="BY151" s="40"/>
      <c r="BZ151" s="5"/>
      <c r="CB151" s="40"/>
      <c r="CC151" s="5"/>
      <c r="CE151" s="40"/>
      <c r="CF151" s="5"/>
      <c r="CH151" s="40"/>
      <c r="CI151" s="5"/>
      <c r="CK151" s="40"/>
      <c r="CL151" s="5"/>
      <c r="CN151" s="40"/>
      <c r="CO151" s="5"/>
      <c r="CQ151" s="40"/>
      <c r="CR151" s="5"/>
    </row>
    <row r="152">
      <c r="AO152" s="40"/>
      <c r="AP152" s="5"/>
      <c r="AR152" s="40"/>
      <c r="AS152" s="5"/>
      <c r="AU152" s="40"/>
      <c r="AV152" s="5"/>
      <c r="AX152" s="40"/>
      <c r="AY152" s="5"/>
      <c r="BA152" s="40"/>
      <c r="BB152" s="5"/>
      <c r="BD152" s="40"/>
      <c r="BE152" s="5"/>
      <c r="BG152" s="40"/>
      <c r="BH152" s="5"/>
      <c r="BJ152" s="40"/>
      <c r="BK152" s="5"/>
      <c r="BM152" s="40"/>
      <c r="BN152" s="5"/>
      <c r="BP152" s="40"/>
      <c r="BQ152" s="5"/>
      <c r="BS152" s="40"/>
      <c r="BT152" s="5"/>
      <c r="BV152" s="40"/>
      <c r="BW152" s="5"/>
      <c r="BY152" s="40"/>
      <c r="BZ152" s="5"/>
      <c r="CB152" s="40"/>
      <c r="CC152" s="5"/>
      <c r="CE152" s="40"/>
      <c r="CF152" s="5"/>
      <c r="CH152" s="40"/>
      <c r="CI152" s="5"/>
      <c r="CK152" s="40"/>
      <c r="CL152" s="5"/>
      <c r="CN152" s="40"/>
      <c r="CO152" s="5"/>
      <c r="CQ152" s="40"/>
      <c r="CR152" s="5"/>
    </row>
    <row r="153">
      <c r="AO153" s="40"/>
      <c r="AP153" s="5"/>
      <c r="AR153" s="40"/>
      <c r="AS153" s="5"/>
      <c r="AU153" s="40"/>
      <c r="AV153" s="5"/>
      <c r="AX153" s="40"/>
      <c r="AY153" s="5"/>
      <c r="BA153" s="40"/>
      <c r="BB153" s="5"/>
      <c r="BD153" s="40"/>
      <c r="BE153" s="5"/>
      <c r="BG153" s="40"/>
      <c r="BH153" s="5"/>
      <c r="BJ153" s="40"/>
      <c r="BK153" s="5"/>
      <c r="BM153" s="40"/>
      <c r="BN153" s="5"/>
      <c r="BP153" s="40"/>
      <c r="BQ153" s="5"/>
      <c r="BS153" s="40"/>
      <c r="BT153" s="5"/>
      <c r="BV153" s="40"/>
      <c r="BW153" s="5"/>
      <c r="BY153" s="40"/>
      <c r="BZ153" s="5"/>
      <c r="CB153" s="40"/>
      <c r="CC153" s="5"/>
      <c r="CE153" s="40"/>
      <c r="CF153" s="5"/>
      <c r="CH153" s="40"/>
      <c r="CI153" s="5"/>
      <c r="CK153" s="40"/>
      <c r="CL153" s="5"/>
      <c r="CN153" s="40"/>
      <c r="CO153" s="5"/>
      <c r="CQ153" s="40"/>
      <c r="CR153" s="5"/>
    </row>
    <row r="154">
      <c r="AO154" s="40"/>
      <c r="AP154" s="5"/>
      <c r="AR154" s="40"/>
      <c r="AS154" s="5"/>
      <c r="AU154" s="40"/>
      <c r="AV154" s="5"/>
      <c r="AX154" s="40"/>
      <c r="AY154" s="5"/>
      <c r="BA154" s="40"/>
      <c r="BB154" s="5"/>
      <c r="BD154" s="40"/>
      <c r="BE154" s="5"/>
      <c r="BG154" s="40"/>
      <c r="BH154" s="5"/>
      <c r="BJ154" s="40"/>
      <c r="BK154" s="5"/>
      <c r="BM154" s="40"/>
      <c r="BN154" s="5"/>
      <c r="BP154" s="40"/>
      <c r="BQ154" s="5"/>
      <c r="BS154" s="40"/>
      <c r="BT154" s="5"/>
      <c r="BV154" s="40"/>
      <c r="BW154" s="5"/>
      <c r="BY154" s="40"/>
      <c r="BZ154" s="5"/>
      <c r="CB154" s="40"/>
      <c r="CC154" s="5"/>
      <c r="CE154" s="40"/>
      <c r="CF154" s="5"/>
      <c r="CH154" s="40"/>
      <c r="CI154" s="5"/>
      <c r="CK154" s="40"/>
      <c r="CL154" s="5"/>
      <c r="CN154" s="40"/>
      <c r="CO154" s="5"/>
      <c r="CQ154" s="40"/>
      <c r="CR154" s="5"/>
    </row>
    <row r="155">
      <c r="AO155" s="40"/>
      <c r="AP155" s="5"/>
      <c r="AR155" s="40"/>
      <c r="AS155" s="5"/>
      <c r="AU155" s="40"/>
      <c r="AV155" s="5"/>
      <c r="AX155" s="40"/>
      <c r="AY155" s="5"/>
      <c r="BA155" s="40"/>
      <c r="BB155" s="5"/>
      <c r="BD155" s="40"/>
      <c r="BE155" s="5"/>
      <c r="BG155" s="40"/>
      <c r="BH155" s="5"/>
      <c r="BJ155" s="40"/>
      <c r="BK155" s="5"/>
      <c r="BM155" s="40"/>
      <c r="BN155" s="5"/>
      <c r="BP155" s="40"/>
      <c r="BQ155" s="5"/>
      <c r="BS155" s="40"/>
      <c r="BT155" s="5"/>
      <c r="BV155" s="40"/>
      <c r="BW155" s="5"/>
      <c r="BY155" s="40"/>
      <c r="BZ155" s="5"/>
      <c r="CB155" s="40"/>
      <c r="CC155" s="5"/>
      <c r="CE155" s="40"/>
      <c r="CF155" s="5"/>
      <c r="CH155" s="40"/>
      <c r="CI155" s="5"/>
      <c r="CK155" s="40"/>
      <c r="CL155" s="5"/>
      <c r="CN155" s="40"/>
      <c r="CO155" s="5"/>
      <c r="CQ155" s="40"/>
      <c r="CR155" s="5"/>
    </row>
    <row r="156">
      <c r="AO156" s="40"/>
      <c r="AP156" s="5"/>
      <c r="AR156" s="40"/>
      <c r="AS156" s="5"/>
      <c r="AU156" s="40"/>
      <c r="AV156" s="5"/>
      <c r="AX156" s="40"/>
      <c r="AY156" s="5"/>
      <c r="BA156" s="40"/>
      <c r="BB156" s="5"/>
      <c r="BD156" s="40"/>
      <c r="BE156" s="5"/>
      <c r="BG156" s="40"/>
      <c r="BH156" s="5"/>
      <c r="BJ156" s="40"/>
      <c r="BK156" s="5"/>
      <c r="BM156" s="40"/>
      <c r="BN156" s="5"/>
      <c r="BP156" s="40"/>
      <c r="BQ156" s="5"/>
      <c r="BS156" s="40"/>
      <c r="BT156" s="5"/>
      <c r="BV156" s="40"/>
      <c r="BW156" s="5"/>
      <c r="BY156" s="40"/>
      <c r="BZ156" s="5"/>
      <c r="CB156" s="40"/>
      <c r="CC156" s="5"/>
      <c r="CE156" s="40"/>
      <c r="CF156" s="5"/>
      <c r="CH156" s="40"/>
      <c r="CI156" s="5"/>
      <c r="CK156" s="40"/>
      <c r="CL156" s="5"/>
      <c r="CN156" s="40"/>
      <c r="CO156" s="5"/>
      <c r="CQ156" s="40"/>
      <c r="CR156" s="5"/>
    </row>
    <row r="157">
      <c r="AO157" s="40"/>
      <c r="AP157" s="5"/>
      <c r="AR157" s="40"/>
      <c r="AS157" s="5"/>
      <c r="AU157" s="40"/>
      <c r="AV157" s="5"/>
      <c r="AX157" s="40"/>
      <c r="AY157" s="5"/>
      <c r="BA157" s="40"/>
      <c r="BB157" s="5"/>
      <c r="BD157" s="40"/>
      <c r="BE157" s="5"/>
      <c r="BG157" s="40"/>
      <c r="BH157" s="5"/>
      <c r="BJ157" s="40"/>
      <c r="BK157" s="5"/>
      <c r="BM157" s="40"/>
      <c r="BN157" s="5"/>
      <c r="BP157" s="40"/>
      <c r="BQ157" s="5"/>
      <c r="BS157" s="40"/>
      <c r="BT157" s="5"/>
      <c r="BV157" s="40"/>
      <c r="BW157" s="5"/>
      <c r="BY157" s="40"/>
      <c r="BZ157" s="5"/>
      <c r="CB157" s="40"/>
      <c r="CC157" s="5"/>
      <c r="CE157" s="40"/>
      <c r="CF157" s="5"/>
      <c r="CH157" s="40"/>
      <c r="CI157" s="5"/>
      <c r="CK157" s="40"/>
      <c r="CL157" s="5"/>
      <c r="CN157" s="40"/>
      <c r="CO157" s="5"/>
      <c r="CQ157" s="40"/>
      <c r="CR157" s="5"/>
    </row>
    <row r="158">
      <c r="AO158" s="40"/>
      <c r="AP158" s="5"/>
      <c r="AR158" s="40"/>
      <c r="AS158" s="5"/>
      <c r="AU158" s="40"/>
      <c r="AV158" s="5"/>
      <c r="AX158" s="40"/>
      <c r="AY158" s="5"/>
      <c r="BA158" s="40"/>
      <c r="BB158" s="5"/>
      <c r="BD158" s="40"/>
      <c r="BE158" s="5"/>
      <c r="BG158" s="40"/>
      <c r="BH158" s="5"/>
      <c r="BJ158" s="40"/>
      <c r="BK158" s="5"/>
      <c r="BM158" s="40"/>
      <c r="BN158" s="5"/>
      <c r="BP158" s="40"/>
      <c r="BQ158" s="5"/>
      <c r="BS158" s="40"/>
      <c r="BT158" s="5"/>
      <c r="BV158" s="40"/>
      <c r="BW158" s="5"/>
      <c r="BY158" s="40"/>
      <c r="BZ158" s="5"/>
      <c r="CB158" s="40"/>
      <c r="CC158" s="5"/>
      <c r="CE158" s="40"/>
      <c r="CF158" s="5"/>
      <c r="CH158" s="40"/>
      <c r="CI158" s="5"/>
      <c r="CK158" s="40"/>
      <c r="CL158" s="5"/>
      <c r="CN158" s="40"/>
      <c r="CO158" s="5"/>
      <c r="CQ158" s="40"/>
      <c r="CR158" s="5"/>
    </row>
    <row r="159">
      <c r="AO159" s="40"/>
      <c r="AP159" s="5"/>
      <c r="AR159" s="40"/>
      <c r="AS159" s="5"/>
      <c r="AU159" s="40"/>
      <c r="AV159" s="5"/>
      <c r="AX159" s="40"/>
      <c r="AY159" s="5"/>
      <c r="BA159" s="40"/>
      <c r="BB159" s="5"/>
      <c r="BD159" s="40"/>
      <c r="BE159" s="5"/>
      <c r="BG159" s="40"/>
      <c r="BH159" s="5"/>
      <c r="BJ159" s="40"/>
      <c r="BK159" s="5"/>
      <c r="BM159" s="40"/>
      <c r="BN159" s="5"/>
      <c r="BP159" s="40"/>
      <c r="BQ159" s="5"/>
      <c r="BS159" s="40"/>
      <c r="BT159" s="5"/>
      <c r="BV159" s="40"/>
      <c r="BW159" s="5"/>
      <c r="BY159" s="40"/>
      <c r="BZ159" s="5"/>
      <c r="CB159" s="40"/>
      <c r="CC159" s="5"/>
      <c r="CE159" s="40"/>
      <c r="CF159" s="5"/>
      <c r="CH159" s="40"/>
      <c r="CI159" s="5"/>
      <c r="CK159" s="40"/>
      <c r="CL159" s="5"/>
      <c r="CN159" s="40"/>
      <c r="CO159" s="5"/>
      <c r="CQ159" s="40"/>
      <c r="CR159" s="5"/>
    </row>
    <row r="160">
      <c r="AO160" s="40"/>
      <c r="AP160" s="5"/>
      <c r="AR160" s="40"/>
      <c r="AS160" s="5"/>
      <c r="AU160" s="40"/>
      <c r="AV160" s="5"/>
      <c r="AX160" s="40"/>
      <c r="AY160" s="5"/>
      <c r="BA160" s="40"/>
      <c r="BB160" s="5"/>
      <c r="BD160" s="40"/>
      <c r="BE160" s="5"/>
      <c r="BG160" s="40"/>
      <c r="BH160" s="5"/>
      <c r="BJ160" s="40"/>
      <c r="BK160" s="5"/>
      <c r="BM160" s="40"/>
      <c r="BN160" s="5"/>
      <c r="BP160" s="40"/>
      <c r="BQ160" s="5"/>
      <c r="BS160" s="40"/>
      <c r="BT160" s="5"/>
      <c r="BV160" s="40"/>
      <c r="BW160" s="5"/>
      <c r="BY160" s="40"/>
      <c r="BZ160" s="5"/>
      <c r="CB160" s="40"/>
      <c r="CC160" s="5"/>
      <c r="CE160" s="40"/>
      <c r="CF160" s="5"/>
      <c r="CH160" s="40"/>
      <c r="CI160" s="5"/>
      <c r="CK160" s="40"/>
      <c r="CL160" s="5"/>
      <c r="CN160" s="40"/>
      <c r="CO160" s="5"/>
      <c r="CQ160" s="40"/>
      <c r="CR160" s="5"/>
    </row>
    <row r="161">
      <c r="AO161" s="40"/>
      <c r="AP161" s="5"/>
      <c r="AR161" s="40"/>
      <c r="AS161" s="5"/>
      <c r="AU161" s="40"/>
      <c r="AV161" s="5"/>
      <c r="AX161" s="40"/>
      <c r="AY161" s="5"/>
      <c r="BA161" s="40"/>
      <c r="BB161" s="5"/>
      <c r="BD161" s="40"/>
      <c r="BE161" s="5"/>
      <c r="BG161" s="40"/>
      <c r="BH161" s="5"/>
      <c r="BJ161" s="40"/>
      <c r="BK161" s="5"/>
      <c r="BM161" s="40"/>
      <c r="BN161" s="5"/>
      <c r="BP161" s="40"/>
      <c r="BQ161" s="5"/>
      <c r="BS161" s="40"/>
      <c r="BT161" s="5"/>
      <c r="BV161" s="40"/>
      <c r="BW161" s="5"/>
      <c r="BY161" s="40"/>
      <c r="BZ161" s="5"/>
      <c r="CB161" s="40"/>
      <c r="CC161" s="5"/>
      <c r="CE161" s="40"/>
      <c r="CF161" s="5"/>
      <c r="CH161" s="40"/>
      <c r="CI161" s="5"/>
      <c r="CK161" s="40"/>
      <c r="CL161" s="5"/>
      <c r="CN161" s="40"/>
      <c r="CO161" s="5"/>
      <c r="CQ161" s="40"/>
      <c r="CR161" s="5"/>
    </row>
    <row r="162">
      <c r="AO162" s="40"/>
      <c r="AP162" s="5"/>
      <c r="AR162" s="40"/>
      <c r="AS162" s="5"/>
      <c r="AU162" s="40"/>
      <c r="AV162" s="5"/>
      <c r="AX162" s="40"/>
      <c r="AY162" s="5"/>
      <c r="BA162" s="40"/>
      <c r="BB162" s="5"/>
      <c r="BD162" s="40"/>
      <c r="BE162" s="5"/>
      <c r="BG162" s="40"/>
      <c r="BH162" s="5"/>
      <c r="BJ162" s="40"/>
      <c r="BK162" s="5"/>
      <c r="BM162" s="40"/>
      <c r="BN162" s="5"/>
      <c r="BP162" s="40"/>
      <c r="BQ162" s="5"/>
      <c r="BS162" s="40"/>
      <c r="BT162" s="5"/>
      <c r="BV162" s="40"/>
      <c r="BW162" s="5"/>
      <c r="BY162" s="40"/>
      <c r="BZ162" s="5"/>
      <c r="CB162" s="40"/>
      <c r="CC162" s="5"/>
      <c r="CE162" s="40"/>
      <c r="CF162" s="5"/>
      <c r="CH162" s="40"/>
      <c r="CI162" s="5"/>
      <c r="CK162" s="40"/>
      <c r="CL162" s="5"/>
      <c r="CN162" s="40"/>
      <c r="CO162" s="5"/>
      <c r="CQ162" s="40"/>
      <c r="CR162" s="5"/>
    </row>
    <row r="163">
      <c r="AO163" s="40"/>
      <c r="AP163" s="5"/>
      <c r="AR163" s="40"/>
      <c r="AS163" s="5"/>
      <c r="AU163" s="40"/>
      <c r="AV163" s="5"/>
      <c r="AX163" s="40"/>
      <c r="AY163" s="5"/>
      <c r="BA163" s="40"/>
      <c r="BB163" s="5"/>
      <c r="BD163" s="40"/>
      <c r="BE163" s="5"/>
      <c r="BG163" s="40"/>
      <c r="BH163" s="5"/>
      <c r="BJ163" s="40"/>
      <c r="BK163" s="5"/>
      <c r="BM163" s="40"/>
      <c r="BN163" s="5"/>
      <c r="BP163" s="40"/>
      <c r="BQ163" s="5"/>
      <c r="BS163" s="40"/>
      <c r="BT163" s="5"/>
      <c r="BV163" s="40"/>
      <c r="BW163" s="5"/>
      <c r="BY163" s="40"/>
      <c r="BZ163" s="5"/>
      <c r="CB163" s="40"/>
      <c r="CC163" s="5"/>
      <c r="CE163" s="40"/>
      <c r="CF163" s="5"/>
      <c r="CH163" s="40"/>
      <c r="CI163" s="5"/>
      <c r="CK163" s="40"/>
      <c r="CL163" s="5"/>
      <c r="CN163" s="40"/>
      <c r="CO163" s="5"/>
      <c r="CQ163" s="40"/>
      <c r="CR163" s="5"/>
    </row>
    <row r="164">
      <c r="AO164" s="40"/>
      <c r="AP164" s="5"/>
      <c r="AR164" s="40"/>
      <c r="AS164" s="5"/>
      <c r="AU164" s="40"/>
      <c r="AV164" s="5"/>
      <c r="AX164" s="40"/>
      <c r="AY164" s="5"/>
      <c r="BA164" s="40"/>
      <c r="BB164" s="5"/>
      <c r="BD164" s="40"/>
      <c r="BE164" s="5"/>
      <c r="BG164" s="40"/>
      <c r="BH164" s="5"/>
      <c r="BJ164" s="40"/>
      <c r="BK164" s="5"/>
      <c r="BM164" s="40"/>
      <c r="BN164" s="5"/>
      <c r="BP164" s="40"/>
      <c r="BQ164" s="5"/>
      <c r="BS164" s="40"/>
      <c r="BT164" s="5"/>
      <c r="BV164" s="40"/>
      <c r="BW164" s="5"/>
      <c r="BY164" s="40"/>
      <c r="BZ164" s="5"/>
      <c r="CB164" s="40"/>
      <c r="CC164" s="5"/>
      <c r="CE164" s="40"/>
      <c r="CF164" s="5"/>
      <c r="CH164" s="40"/>
      <c r="CI164" s="5"/>
      <c r="CK164" s="40"/>
      <c r="CL164" s="5"/>
      <c r="CN164" s="40"/>
      <c r="CO164" s="5"/>
      <c r="CQ164" s="40"/>
      <c r="CR164" s="5"/>
    </row>
    <row r="165">
      <c r="AO165" s="40"/>
      <c r="AP165" s="5"/>
      <c r="AR165" s="40"/>
      <c r="AS165" s="5"/>
      <c r="AU165" s="40"/>
      <c r="AV165" s="5"/>
      <c r="AX165" s="40"/>
      <c r="AY165" s="5"/>
      <c r="BA165" s="40"/>
      <c r="BB165" s="5"/>
      <c r="BD165" s="40"/>
      <c r="BE165" s="5"/>
      <c r="BG165" s="40"/>
      <c r="BH165" s="5"/>
      <c r="BJ165" s="40"/>
      <c r="BK165" s="5"/>
      <c r="BM165" s="40"/>
      <c r="BN165" s="5"/>
      <c r="BP165" s="40"/>
      <c r="BQ165" s="5"/>
      <c r="BS165" s="40"/>
      <c r="BT165" s="5"/>
      <c r="BV165" s="40"/>
      <c r="BW165" s="5"/>
      <c r="BY165" s="40"/>
      <c r="BZ165" s="5"/>
      <c r="CB165" s="40"/>
      <c r="CC165" s="5"/>
      <c r="CE165" s="40"/>
      <c r="CF165" s="5"/>
      <c r="CH165" s="40"/>
      <c r="CI165" s="5"/>
      <c r="CK165" s="40"/>
      <c r="CL165" s="5"/>
      <c r="CN165" s="40"/>
      <c r="CO165" s="5"/>
      <c r="CQ165" s="40"/>
      <c r="CR165" s="5"/>
    </row>
    <row r="166">
      <c r="AO166" s="40"/>
      <c r="AP166" s="5"/>
      <c r="AR166" s="40"/>
      <c r="AS166" s="5"/>
      <c r="AU166" s="40"/>
      <c r="AV166" s="5"/>
      <c r="AX166" s="40"/>
      <c r="AY166" s="5"/>
      <c r="BA166" s="40"/>
      <c r="BB166" s="5"/>
      <c r="BD166" s="40"/>
      <c r="BE166" s="5"/>
      <c r="BG166" s="40"/>
      <c r="BH166" s="5"/>
      <c r="BJ166" s="40"/>
      <c r="BK166" s="5"/>
      <c r="BM166" s="40"/>
      <c r="BN166" s="5"/>
      <c r="BP166" s="40"/>
      <c r="BQ166" s="5"/>
      <c r="BS166" s="40"/>
      <c r="BT166" s="5"/>
      <c r="BV166" s="40"/>
      <c r="BW166" s="5"/>
      <c r="BY166" s="40"/>
      <c r="BZ166" s="5"/>
      <c r="CB166" s="40"/>
      <c r="CC166" s="5"/>
      <c r="CE166" s="40"/>
      <c r="CF166" s="5"/>
      <c r="CH166" s="40"/>
      <c r="CI166" s="5"/>
      <c r="CK166" s="40"/>
      <c r="CL166" s="5"/>
      <c r="CN166" s="40"/>
      <c r="CO166" s="5"/>
      <c r="CQ166" s="40"/>
      <c r="CR166" s="5"/>
    </row>
    <row r="167">
      <c r="AO167" s="40"/>
      <c r="AP167" s="5"/>
      <c r="AR167" s="40"/>
      <c r="AS167" s="5"/>
      <c r="AU167" s="40"/>
      <c r="AV167" s="5"/>
      <c r="AX167" s="40"/>
      <c r="AY167" s="5"/>
      <c r="BA167" s="40"/>
      <c r="BB167" s="5"/>
      <c r="BD167" s="40"/>
      <c r="BE167" s="5"/>
      <c r="BG167" s="40"/>
      <c r="BH167" s="5"/>
      <c r="BJ167" s="40"/>
      <c r="BK167" s="5"/>
      <c r="BM167" s="40"/>
      <c r="BN167" s="5"/>
      <c r="BP167" s="40"/>
      <c r="BQ167" s="5"/>
      <c r="BS167" s="40"/>
      <c r="BT167" s="5"/>
      <c r="BV167" s="40"/>
      <c r="BW167" s="5"/>
      <c r="BY167" s="40"/>
      <c r="BZ167" s="5"/>
      <c r="CB167" s="40"/>
      <c r="CC167" s="5"/>
      <c r="CE167" s="40"/>
      <c r="CF167" s="5"/>
      <c r="CH167" s="40"/>
      <c r="CI167" s="5"/>
      <c r="CK167" s="40"/>
      <c r="CL167" s="5"/>
      <c r="CN167" s="40"/>
      <c r="CO167" s="5"/>
      <c r="CQ167" s="40"/>
      <c r="CR167" s="5"/>
    </row>
    <row r="168">
      <c r="AO168" s="40"/>
      <c r="AP168" s="5"/>
      <c r="AR168" s="40"/>
      <c r="AS168" s="5"/>
      <c r="AU168" s="40"/>
      <c r="AV168" s="5"/>
      <c r="AX168" s="40"/>
      <c r="AY168" s="5"/>
      <c r="BA168" s="40"/>
      <c r="BB168" s="5"/>
      <c r="BD168" s="40"/>
      <c r="BE168" s="5"/>
      <c r="BG168" s="40"/>
      <c r="BH168" s="5"/>
      <c r="BJ168" s="40"/>
      <c r="BK168" s="5"/>
      <c r="BM168" s="40"/>
      <c r="BN168" s="5"/>
      <c r="BP168" s="40"/>
      <c r="BQ168" s="5"/>
      <c r="BS168" s="40"/>
      <c r="BT168" s="5"/>
      <c r="BV168" s="40"/>
      <c r="BW168" s="5"/>
      <c r="BY168" s="40"/>
      <c r="BZ168" s="5"/>
      <c r="CB168" s="40"/>
      <c r="CC168" s="5"/>
      <c r="CE168" s="40"/>
      <c r="CF168" s="5"/>
      <c r="CH168" s="40"/>
      <c r="CI168" s="5"/>
      <c r="CK168" s="40"/>
      <c r="CL168" s="5"/>
      <c r="CN168" s="40"/>
      <c r="CO168" s="5"/>
      <c r="CQ168" s="40"/>
      <c r="CR168" s="5"/>
    </row>
    <row r="169">
      <c r="AO169" s="40"/>
      <c r="AP169" s="5"/>
      <c r="AR169" s="40"/>
      <c r="AS169" s="5"/>
      <c r="AU169" s="40"/>
      <c r="AV169" s="5"/>
      <c r="AX169" s="40"/>
      <c r="AY169" s="5"/>
      <c r="BA169" s="40"/>
      <c r="BB169" s="5"/>
      <c r="BD169" s="40"/>
      <c r="BE169" s="5"/>
      <c r="BG169" s="40"/>
      <c r="BH169" s="5"/>
      <c r="BJ169" s="40"/>
      <c r="BK169" s="5"/>
      <c r="BM169" s="40"/>
      <c r="BN169" s="5"/>
      <c r="BP169" s="40"/>
      <c r="BQ169" s="5"/>
      <c r="BS169" s="40"/>
      <c r="BT169" s="5"/>
      <c r="BV169" s="40"/>
      <c r="BW169" s="5"/>
      <c r="BY169" s="40"/>
      <c r="BZ169" s="5"/>
      <c r="CB169" s="40"/>
      <c r="CC169" s="5"/>
      <c r="CE169" s="40"/>
      <c r="CF169" s="5"/>
      <c r="CH169" s="40"/>
      <c r="CI169" s="5"/>
      <c r="CK169" s="40"/>
      <c r="CL169" s="5"/>
      <c r="CN169" s="40"/>
      <c r="CO169" s="5"/>
      <c r="CQ169" s="40"/>
      <c r="CR169" s="5"/>
    </row>
    <row r="170">
      <c r="AO170" s="40"/>
      <c r="AP170" s="5"/>
      <c r="AR170" s="40"/>
      <c r="AS170" s="5"/>
      <c r="AU170" s="40"/>
      <c r="AV170" s="5"/>
      <c r="AX170" s="40"/>
      <c r="AY170" s="5"/>
      <c r="BA170" s="40"/>
      <c r="BB170" s="5"/>
      <c r="BD170" s="40"/>
      <c r="BE170" s="5"/>
      <c r="BG170" s="40"/>
      <c r="BH170" s="5"/>
      <c r="BJ170" s="40"/>
      <c r="BK170" s="5"/>
      <c r="BM170" s="40"/>
      <c r="BN170" s="5"/>
      <c r="BP170" s="40"/>
      <c r="BQ170" s="5"/>
      <c r="BS170" s="40"/>
      <c r="BT170" s="5"/>
      <c r="BV170" s="40"/>
      <c r="BW170" s="5"/>
      <c r="BY170" s="40"/>
      <c r="BZ170" s="5"/>
      <c r="CB170" s="40"/>
      <c r="CC170" s="5"/>
      <c r="CE170" s="40"/>
      <c r="CF170" s="5"/>
      <c r="CH170" s="40"/>
      <c r="CI170" s="5"/>
      <c r="CK170" s="40"/>
      <c r="CL170" s="5"/>
      <c r="CN170" s="40"/>
      <c r="CO170" s="5"/>
      <c r="CQ170" s="40"/>
      <c r="CR170" s="5"/>
    </row>
    <row r="171">
      <c r="AO171" s="40"/>
      <c r="AP171" s="5"/>
      <c r="AR171" s="40"/>
      <c r="AS171" s="5"/>
      <c r="AU171" s="40"/>
      <c r="AV171" s="5"/>
      <c r="AX171" s="40"/>
      <c r="AY171" s="5"/>
      <c r="BA171" s="40"/>
      <c r="BB171" s="5"/>
      <c r="BD171" s="40"/>
      <c r="BE171" s="5"/>
      <c r="BG171" s="40"/>
      <c r="BH171" s="5"/>
      <c r="BJ171" s="40"/>
      <c r="BK171" s="5"/>
      <c r="BM171" s="40"/>
      <c r="BN171" s="5"/>
      <c r="BP171" s="40"/>
      <c r="BQ171" s="5"/>
      <c r="BS171" s="40"/>
      <c r="BT171" s="5"/>
      <c r="BV171" s="40"/>
      <c r="BW171" s="5"/>
      <c r="BY171" s="40"/>
      <c r="BZ171" s="5"/>
      <c r="CB171" s="40"/>
      <c r="CC171" s="5"/>
      <c r="CE171" s="40"/>
      <c r="CF171" s="5"/>
      <c r="CH171" s="40"/>
      <c r="CI171" s="5"/>
      <c r="CK171" s="40"/>
      <c r="CL171" s="5"/>
      <c r="CN171" s="40"/>
      <c r="CO171" s="5"/>
      <c r="CQ171" s="40"/>
      <c r="CR171" s="5"/>
    </row>
    <row r="172">
      <c r="AO172" s="40"/>
      <c r="AP172" s="5"/>
      <c r="AR172" s="40"/>
      <c r="AS172" s="5"/>
      <c r="AU172" s="40"/>
      <c r="AV172" s="5"/>
      <c r="AX172" s="40"/>
      <c r="AY172" s="5"/>
      <c r="BA172" s="40"/>
      <c r="BB172" s="5"/>
      <c r="BD172" s="40"/>
      <c r="BE172" s="5"/>
      <c r="BG172" s="40"/>
      <c r="BH172" s="5"/>
      <c r="BJ172" s="40"/>
      <c r="BK172" s="5"/>
      <c r="BM172" s="40"/>
      <c r="BN172" s="5"/>
      <c r="BP172" s="40"/>
      <c r="BQ172" s="5"/>
      <c r="BS172" s="40"/>
      <c r="BT172" s="5"/>
      <c r="BV172" s="40"/>
      <c r="BW172" s="5"/>
      <c r="BY172" s="40"/>
      <c r="BZ172" s="5"/>
      <c r="CB172" s="40"/>
      <c r="CC172" s="5"/>
      <c r="CE172" s="40"/>
      <c r="CF172" s="5"/>
      <c r="CH172" s="40"/>
      <c r="CI172" s="5"/>
      <c r="CK172" s="40"/>
      <c r="CL172" s="5"/>
      <c r="CN172" s="40"/>
      <c r="CO172" s="5"/>
      <c r="CQ172" s="40"/>
      <c r="CR172" s="5"/>
    </row>
    <row r="173">
      <c r="AO173" s="40"/>
      <c r="AP173" s="5"/>
      <c r="AR173" s="40"/>
      <c r="AS173" s="5"/>
      <c r="AU173" s="40"/>
      <c r="AV173" s="5"/>
      <c r="AX173" s="40"/>
      <c r="AY173" s="5"/>
      <c r="BA173" s="40"/>
      <c r="BB173" s="5"/>
      <c r="BD173" s="40"/>
      <c r="BE173" s="5"/>
      <c r="BG173" s="40"/>
      <c r="BH173" s="5"/>
      <c r="BJ173" s="40"/>
      <c r="BK173" s="5"/>
      <c r="BM173" s="40"/>
      <c r="BN173" s="5"/>
      <c r="BP173" s="40"/>
      <c r="BQ173" s="5"/>
      <c r="BS173" s="40"/>
      <c r="BT173" s="5"/>
      <c r="BV173" s="40"/>
      <c r="BW173" s="5"/>
      <c r="BY173" s="40"/>
      <c r="BZ173" s="5"/>
      <c r="CB173" s="40"/>
      <c r="CC173" s="5"/>
      <c r="CE173" s="40"/>
      <c r="CF173" s="5"/>
      <c r="CH173" s="40"/>
      <c r="CI173" s="5"/>
      <c r="CK173" s="40"/>
      <c r="CL173" s="5"/>
      <c r="CN173" s="40"/>
      <c r="CO173" s="5"/>
      <c r="CQ173" s="40"/>
      <c r="CR173" s="5"/>
    </row>
    <row r="174">
      <c r="AO174" s="40"/>
      <c r="AP174" s="5"/>
      <c r="AR174" s="40"/>
      <c r="AS174" s="5"/>
      <c r="AU174" s="40"/>
      <c r="AV174" s="5"/>
      <c r="AX174" s="40"/>
      <c r="AY174" s="5"/>
      <c r="BA174" s="40"/>
      <c r="BB174" s="5"/>
      <c r="BD174" s="40"/>
      <c r="BE174" s="5"/>
      <c r="BG174" s="40"/>
      <c r="BH174" s="5"/>
      <c r="BJ174" s="40"/>
      <c r="BK174" s="5"/>
      <c r="BM174" s="40"/>
      <c r="BN174" s="5"/>
      <c r="BP174" s="40"/>
      <c r="BQ174" s="5"/>
      <c r="BS174" s="40"/>
      <c r="BT174" s="5"/>
      <c r="BV174" s="40"/>
      <c r="BW174" s="5"/>
      <c r="BY174" s="40"/>
      <c r="BZ174" s="5"/>
      <c r="CB174" s="40"/>
      <c r="CC174" s="5"/>
      <c r="CE174" s="40"/>
      <c r="CF174" s="5"/>
      <c r="CH174" s="40"/>
      <c r="CI174" s="5"/>
      <c r="CK174" s="40"/>
      <c r="CL174" s="5"/>
      <c r="CN174" s="40"/>
      <c r="CO174" s="5"/>
      <c r="CQ174" s="40"/>
      <c r="CR174" s="5"/>
    </row>
    <row r="175">
      <c r="AO175" s="40"/>
      <c r="AP175" s="5"/>
      <c r="AR175" s="40"/>
      <c r="AS175" s="5"/>
      <c r="AU175" s="40"/>
      <c r="AV175" s="5"/>
      <c r="AX175" s="40"/>
      <c r="AY175" s="5"/>
      <c r="BA175" s="40"/>
      <c r="BB175" s="5"/>
      <c r="BD175" s="40"/>
      <c r="BE175" s="5"/>
      <c r="BG175" s="40"/>
      <c r="BH175" s="5"/>
      <c r="BJ175" s="40"/>
      <c r="BK175" s="5"/>
      <c r="BM175" s="40"/>
      <c r="BN175" s="5"/>
      <c r="BP175" s="40"/>
      <c r="BQ175" s="5"/>
      <c r="BS175" s="40"/>
      <c r="BT175" s="5"/>
      <c r="BV175" s="40"/>
      <c r="BW175" s="5"/>
      <c r="BY175" s="40"/>
      <c r="BZ175" s="5"/>
      <c r="CB175" s="40"/>
      <c r="CC175" s="5"/>
      <c r="CE175" s="40"/>
      <c r="CF175" s="5"/>
      <c r="CH175" s="40"/>
      <c r="CI175" s="5"/>
      <c r="CK175" s="40"/>
      <c r="CL175" s="5"/>
      <c r="CN175" s="40"/>
      <c r="CO175" s="5"/>
      <c r="CQ175" s="40"/>
      <c r="CR175" s="5"/>
    </row>
    <row r="176">
      <c r="AO176" s="40"/>
      <c r="AP176" s="5"/>
      <c r="AR176" s="40"/>
      <c r="AS176" s="5"/>
      <c r="AU176" s="40"/>
      <c r="AV176" s="5"/>
      <c r="AX176" s="40"/>
      <c r="AY176" s="5"/>
      <c r="BA176" s="40"/>
      <c r="BB176" s="5"/>
      <c r="BD176" s="40"/>
      <c r="BE176" s="5"/>
      <c r="BG176" s="40"/>
      <c r="BH176" s="5"/>
      <c r="BJ176" s="40"/>
      <c r="BK176" s="5"/>
      <c r="BM176" s="40"/>
      <c r="BN176" s="5"/>
      <c r="BP176" s="40"/>
      <c r="BQ176" s="5"/>
      <c r="BS176" s="40"/>
      <c r="BT176" s="5"/>
      <c r="BV176" s="40"/>
      <c r="BW176" s="5"/>
      <c r="BY176" s="40"/>
      <c r="BZ176" s="5"/>
      <c r="CB176" s="40"/>
      <c r="CC176" s="5"/>
      <c r="CE176" s="40"/>
      <c r="CF176" s="5"/>
      <c r="CH176" s="40"/>
      <c r="CI176" s="5"/>
      <c r="CK176" s="40"/>
      <c r="CL176" s="5"/>
      <c r="CN176" s="40"/>
      <c r="CO176" s="5"/>
      <c r="CQ176" s="40"/>
      <c r="CR176" s="5"/>
    </row>
    <row r="177">
      <c r="AO177" s="40"/>
      <c r="AP177" s="5"/>
      <c r="AR177" s="40"/>
      <c r="AS177" s="5"/>
      <c r="AU177" s="40"/>
      <c r="AV177" s="5"/>
      <c r="AX177" s="40"/>
      <c r="AY177" s="5"/>
      <c r="BA177" s="40"/>
      <c r="BB177" s="5"/>
      <c r="BD177" s="40"/>
      <c r="BE177" s="5"/>
      <c r="BG177" s="40"/>
      <c r="BH177" s="5"/>
      <c r="BJ177" s="40"/>
      <c r="BK177" s="5"/>
      <c r="BM177" s="40"/>
      <c r="BN177" s="5"/>
      <c r="BP177" s="40"/>
      <c r="BQ177" s="5"/>
      <c r="BS177" s="40"/>
      <c r="BT177" s="5"/>
      <c r="BV177" s="40"/>
      <c r="BW177" s="5"/>
      <c r="BY177" s="40"/>
      <c r="BZ177" s="5"/>
      <c r="CB177" s="40"/>
      <c r="CC177" s="5"/>
      <c r="CE177" s="40"/>
      <c r="CF177" s="5"/>
      <c r="CH177" s="40"/>
      <c r="CI177" s="5"/>
      <c r="CK177" s="40"/>
      <c r="CL177" s="5"/>
      <c r="CN177" s="40"/>
      <c r="CO177" s="5"/>
      <c r="CQ177" s="40"/>
      <c r="CR177" s="5"/>
    </row>
    <row r="178">
      <c r="AO178" s="40"/>
      <c r="AP178" s="5"/>
      <c r="AR178" s="40"/>
      <c r="AS178" s="5"/>
      <c r="AU178" s="40"/>
      <c r="AV178" s="5"/>
      <c r="AX178" s="40"/>
      <c r="AY178" s="5"/>
      <c r="BA178" s="40"/>
      <c r="BB178" s="5"/>
      <c r="BD178" s="40"/>
      <c r="BE178" s="5"/>
      <c r="BG178" s="40"/>
      <c r="BH178" s="5"/>
      <c r="BJ178" s="40"/>
      <c r="BK178" s="5"/>
      <c r="BM178" s="40"/>
      <c r="BN178" s="5"/>
      <c r="BP178" s="40"/>
      <c r="BQ178" s="5"/>
      <c r="BS178" s="40"/>
      <c r="BT178" s="5"/>
      <c r="BV178" s="40"/>
      <c r="BW178" s="5"/>
      <c r="BY178" s="40"/>
      <c r="BZ178" s="5"/>
      <c r="CB178" s="40"/>
      <c r="CC178" s="5"/>
      <c r="CE178" s="40"/>
      <c r="CF178" s="5"/>
      <c r="CH178" s="40"/>
      <c r="CI178" s="5"/>
      <c r="CK178" s="40"/>
      <c r="CL178" s="5"/>
      <c r="CN178" s="40"/>
      <c r="CO178" s="5"/>
      <c r="CQ178" s="40"/>
      <c r="CR178" s="5"/>
    </row>
    <row r="179">
      <c r="AO179" s="40"/>
      <c r="AP179" s="5"/>
      <c r="AR179" s="40"/>
      <c r="AS179" s="5"/>
      <c r="AU179" s="40"/>
      <c r="AV179" s="5"/>
      <c r="AX179" s="40"/>
      <c r="AY179" s="5"/>
      <c r="BA179" s="40"/>
      <c r="BB179" s="5"/>
      <c r="BD179" s="40"/>
      <c r="BE179" s="5"/>
      <c r="BG179" s="40"/>
      <c r="BH179" s="5"/>
      <c r="BJ179" s="40"/>
      <c r="BK179" s="5"/>
      <c r="BM179" s="40"/>
      <c r="BN179" s="5"/>
      <c r="BP179" s="40"/>
      <c r="BQ179" s="5"/>
      <c r="BS179" s="40"/>
      <c r="BT179" s="5"/>
      <c r="BV179" s="40"/>
      <c r="BW179" s="5"/>
      <c r="BY179" s="40"/>
      <c r="BZ179" s="5"/>
      <c r="CB179" s="40"/>
      <c r="CC179" s="5"/>
      <c r="CE179" s="40"/>
      <c r="CF179" s="5"/>
      <c r="CH179" s="40"/>
      <c r="CI179" s="5"/>
      <c r="CK179" s="40"/>
      <c r="CL179" s="5"/>
      <c r="CN179" s="40"/>
      <c r="CO179" s="5"/>
      <c r="CQ179" s="40"/>
      <c r="CR179" s="5"/>
    </row>
    <row r="180">
      <c r="AO180" s="40"/>
      <c r="AP180" s="5"/>
      <c r="AR180" s="40"/>
      <c r="AS180" s="5"/>
      <c r="AU180" s="40"/>
      <c r="AV180" s="5"/>
      <c r="AX180" s="40"/>
      <c r="AY180" s="5"/>
      <c r="BA180" s="40"/>
      <c r="BB180" s="5"/>
      <c r="BD180" s="40"/>
      <c r="BE180" s="5"/>
      <c r="BG180" s="40"/>
      <c r="BH180" s="5"/>
      <c r="BJ180" s="40"/>
      <c r="BK180" s="5"/>
      <c r="BM180" s="40"/>
      <c r="BN180" s="5"/>
      <c r="BP180" s="40"/>
      <c r="BQ180" s="5"/>
      <c r="BS180" s="40"/>
      <c r="BT180" s="5"/>
      <c r="BV180" s="40"/>
      <c r="BW180" s="5"/>
      <c r="BY180" s="40"/>
      <c r="BZ180" s="5"/>
      <c r="CB180" s="40"/>
      <c r="CC180" s="5"/>
      <c r="CE180" s="40"/>
      <c r="CF180" s="5"/>
      <c r="CH180" s="40"/>
      <c r="CI180" s="5"/>
      <c r="CK180" s="40"/>
      <c r="CL180" s="5"/>
      <c r="CN180" s="40"/>
      <c r="CO180" s="5"/>
      <c r="CQ180" s="40"/>
      <c r="CR180" s="5"/>
    </row>
    <row r="181">
      <c r="AO181" s="40"/>
      <c r="AP181" s="5"/>
      <c r="AR181" s="40"/>
      <c r="AS181" s="5"/>
      <c r="AU181" s="40"/>
      <c r="AV181" s="5"/>
      <c r="AX181" s="40"/>
      <c r="AY181" s="5"/>
      <c r="BA181" s="40"/>
      <c r="BB181" s="5"/>
      <c r="BD181" s="40"/>
      <c r="BE181" s="5"/>
      <c r="BG181" s="40"/>
      <c r="BH181" s="5"/>
      <c r="BJ181" s="40"/>
      <c r="BK181" s="5"/>
      <c r="BM181" s="40"/>
      <c r="BN181" s="5"/>
      <c r="BP181" s="40"/>
      <c r="BQ181" s="5"/>
      <c r="BS181" s="40"/>
      <c r="BT181" s="5"/>
      <c r="BV181" s="40"/>
      <c r="BW181" s="5"/>
      <c r="BY181" s="40"/>
      <c r="BZ181" s="5"/>
      <c r="CB181" s="40"/>
      <c r="CC181" s="5"/>
      <c r="CE181" s="40"/>
      <c r="CF181" s="5"/>
      <c r="CH181" s="40"/>
      <c r="CI181" s="5"/>
      <c r="CK181" s="40"/>
      <c r="CL181" s="5"/>
      <c r="CN181" s="40"/>
      <c r="CO181" s="5"/>
      <c r="CQ181" s="40"/>
      <c r="CR181" s="5"/>
    </row>
    <row r="182">
      <c r="AO182" s="40"/>
      <c r="AP182" s="5"/>
      <c r="AR182" s="40"/>
      <c r="AS182" s="5"/>
      <c r="AU182" s="40"/>
      <c r="AV182" s="5"/>
      <c r="AX182" s="40"/>
      <c r="AY182" s="5"/>
      <c r="BA182" s="40"/>
      <c r="BB182" s="5"/>
      <c r="BD182" s="40"/>
      <c r="BE182" s="5"/>
      <c r="BG182" s="40"/>
      <c r="BH182" s="5"/>
      <c r="BJ182" s="40"/>
      <c r="BK182" s="5"/>
      <c r="BM182" s="40"/>
      <c r="BN182" s="5"/>
      <c r="BP182" s="40"/>
      <c r="BQ182" s="5"/>
      <c r="BS182" s="40"/>
      <c r="BT182" s="5"/>
      <c r="BV182" s="40"/>
      <c r="BW182" s="5"/>
      <c r="BY182" s="40"/>
      <c r="BZ182" s="5"/>
      <c r="CB182" s="40"/>
      <c r="CC182" s="5"/>
      <c r="CE182" s="40"/>
      <c r="CF182" s="5"/>
      <c r="CH182" s="40"/>
      <c r="CI182" s="5"/>
      <c r="CK182" s="40"/>
      <c r="CL182" s="5"/>
      <c r="CN182" s="40"/>
      <c r="CO182" s="5"/>
      <c r="CQ182" s="40"/>
      <c r="CR182" s="5"/>
    </row>
    <row r="183">
      <c r="AO183" s="40"/>
      <c r="AP183" s="5"/>
      <c r="AR183" s="40"/>
      <c r="AS183" s="5"/>
      <c r="AU183" s="40"/>
      <c r="AV183" s="5"/>
      <c r="AX183" s="40"/>
      <c r="AY183" s="5"/>
      <c r="BA183" s="40"/>
      <c r="BB183" s="5"/>
      <c r="BD183" s="40"/>
      <c r="BE183" s="5"/>
      <c r="BG183" s="40"/>
      <c r="BH183" s="5"/>
      <c r="BJ183" s="40"/>
      <c r="BK183" s="5"/>
      <c r="BM183" s="40"/>
      <c r="BN183" s="5"/>
      <c r="BP183" s="40"/>
      <c r="BQ183" s="5"/>
      <c r="BS183" s="40"/>
      <c r="BT183" s="5"/>
      <c r="BV183" s="40"/>
      <c r="BW183" s="5"/>
      <c r="BY183" s="40"/>
      <c r="BZ183" s="5"/>
      <c r="CB183" s="40"/>
      <c r="CC183" s="5"/>
      <c r="CE183" s="40"/>
      <c r="CF183" s="5"/>
      <c r="CH183" s="40"/>
      <c r="CI183" s="5"/>
      <c r="CK183" s="40"/>
      <c r="CL183" s="5"/>
      <c r="CN183" s="40"/>
      <c r="CO183" s="5"/>
      <c r="CQ183" s="40"/>
      <c r="CR183" s="5"/>
    </row>
    <row r="184">
      <c r="AO184" s="40"/>
      <c r="AP184" s="5"/>
      <c r="AR184" s="40"/>
      <c r="AS184" s="5"/>
      <c r="AU184" s="40"/>
      <c r="AV184" s="5"/>
      <c r="AX184" s="40"/>
      <c r="AY184" s="5"/>
      <c r="BA184" s="40"/>
      <c r="BB184" s="5"/>
      <c r="BD184" s="40"/>
      <c r="BE184" s="5"/>
      <c r="BG184" s="40"/>
      <c r="BH184" s="5"/>
      <c r="BJ184" s="40"/>
      <c r="BK184" s="5"/>
      <c r="BM184" s="40"/>
      <c r="BN184" s="5"/>
      <c r="BP184" s="40"/>
      <c r="BQ184" s="5"/>
      <c r="BS184" s="40"/>
      <c r="BT184" s="5"/>
      <c r="BV184" s="40"/>
      <c r="BW184" s="5"/>
      <c r="BY184" s="40"/>
      <c r="BZ184" s="5"/>
      <c r="CB184" s="40"/>
      <c r="CC184" s="5"/>
      <c r="CE184" s="40"/>
      <c r="CF184" s="5"/>
      <c r="CH184" s="40"/>
      <c r="CI184" s="5"/>
      <c r="CK184" s="40"/>
      <c r="CL184" s="5"/>
      <c r="CN184" s="40"/>
      <c r="CO184" s="5"/>
      <c r="CQ184" s="40"/>
      <c r="CR184" s="5"/>
    </row>
    <row r="185">
      <c r="AO185" s="40"/>
      <c r="AP185" s="5"/>
      <c r="AR185" s="40"/>
      <c r="AS185" s="5"/>
      <c r="AU185" s="40"/>
      <c r="AV185" s="5"/>
      <c r="AX185" s="40"/>
      <c r="AY185" s="5"/>
      <c r="BA185" s="40"/>
      <c r="BB185" s="5"/>
      <c r="BD185" s="40"/>
      <c r="BE185" s="5"/>
      <c r="BG185" s="40"/>
      <c r="BH185" s="5"/>
      <c r="BJ185" s="40"/>
      <c r="BK185" s="5"/>
      <c r="BM185" s="40"/>
      <c r="BN185" s="5"/>
      <c r="BP185" s="40"/>
      <c r="BQ185" s="5"/>
      <c r="BS185" s="40"/>
      <c r="BT185" s="5"/>
      <c r="BV185" s="40"/>
      <c r="BW185" s="5"/>
      <c r="BY185" s="40"/>
      <c r="BZ185" s="5"/>
      <c r="CB185" s="40"/>
      <c r="CC185" s="5"/>
      <c r="CE185" s="40"/>
      <c r="CF185" s="5"/>
      <c r="CH185" s="40"/>
      <c r="CI185" s="5"/>
      <c r="CK185" s="40"/>
      <c r="CL185" s="5"/>
      <c r="CN185" s="40"/>
      <c r="CO185" s="5"/>
      <c r="CQ185" s="40"/>
      <c r="CR185" s="5"/>
    </row>
    <row r="186">
      <c r="AO186" s="40"/>
      <c r="AP186" s="5"/>
      <c r="AR186" s="40"/>
      <c r="AS186" s="5"/>
      <c r="AU186" s="40"/>
      <c r="AV186" s="5"/>
      <c r="AX186" s="40"/>
      <c r="AY186" s="5"/>
      <c r="BA186" s="40"/>
      <c r="BB186" s="5"/>
      <c r="BD186" s="40"/>
      <c r="BE186" s="5"/>
      <c r="BG186" s="40"/>
      <c r="BH186" s="5"/>
      <c r="BJ186" s="40"/>
      <c r="BK186" s="5"/>
      <c r="BM186" s="40"/>
      <c r="BN186" s="5"/>
      <c r="BP186" s="40"/>
      <c r="BQ186" s="5"/>
      <c r="BS186" s="40"/>
      <c r="BT186" s="5"/>
      <c r="BV186" s="40"/>
      <c r="BW186" s="5"/>
      <c r="BY186" s="40"/>
      <c r="BZ186" s="5"/>
      <c r="CB186" s="40"/>
      <c r="CC186" s="5"/>
      <c r="CE186" s="40"/>
      <c r="CF186" s="5"/>
      <c r="CH186" s="40"/>
      <c r="CI186" s="5"/>
      <c r="CK186" s="40"/>
      <c r="CL186" s="5"/>
      <c r="CN186" s="40"/>
      <c r="CO186" s="5"/>
      <c r="CQ186" s="40"/>
      <c r="CR186" s="5"/>
    </row>
    <row r="187">
      <c r="AO187" s="40"/>
      <c r="AP187" s="5"/>
      <c r="AR187" s="40"/>
      <c r="AS187" s="5"/>
      <c r="AU187" s="40"/>
      <c r="AV187" s="5"/>
      <c r="AX187" s="40"/>
      <c r="AY187" s="5"/>
      <c r="BA187" s="40"/>
      <c r="BB187" s="5"/>
      <c r="BD187" s="40"/>
      <c r="BE187" s="5"/>
      <c r="BG187" s="40"/>
      <c r="BH187" s="5"/>
      <c r="BJ187" s="40"/>
      <c r="BK187" s="5"/>
      <c r="BM187" s="40"/>
      <c r="BN187" s="5"/>
      <c r="BP187" s="40"/>
      <c r="BQ187" s="5"/>
      <c r="BS187" s="40"/>
      <c r="BT187" s="5"/>
      <c r="BV187" s="40"/>
      <c r="BW187" s="5"/>
      <c r="BY187" s="40"/>
      <c r="BZ187" s="5"/>
      <c r="CB187" s="40"/>
      <c r="CC187" s="5"/>
      <c r="CE187" s="40"/>
      <c r="CF187" s="5"/>
      <c r="CH187" s="40"/>
      <c r="CI187" s="5"/>
      <c r="CK187" s="40"/>
      <c r="CL187" s="5"/>
      <c r="CN187" s="40"/>
      <c r="CO187" s="5"/>
      <c r="CQ187" s="40"/>
      <c r="CR187" s="5"/>
    </row>
    <row r="188">
      <c r="AO188" s="40"/>
      <c r="AP188" s="5"/>
      <c r="AR188" s="40"/>
      <c r="AS188" s="5"/>
      <c r="AU188" s="40"/>
      <c r="AV188" s="5"/>
      <c r="AX188" s="40"/>
      <c r="AY188" s="5"/>
      <c r="BA188" s="40"/>
      <c r="BB188" s="5"/>
      <c r="BD188" s="40"/>
      <c r="BE188" s="5"/>
      <c r="BG188" s="40"/>
      <c r="BH188" s="5"/>
      <c r="BJ188" s="40"/>
      <c r="BK188" s="5"/>
      <c r="BM188" s="40"/>
      <c r="BN188" s="5"/>
      <c r="BP188" s="40"/>
      <c r="BQ188" s="5"/>
      <c r="BS188" s="40"/>
      <c r="BT188" s="5"/>
      <c r="BV188" s="40"/>
      <c r="BW188" s="5"/>
      <c r="BY188" s="40"/>
      <c r="BZ188" s="5"/>
      <c r="CB188" s="40"/>
      <c r="CC188" s="5"/>
      <c r="CE188" s="40"/>
      <c r="CF188" s="5"/>
      <c r="CH188" s="40"/>
      <c r="CI188" s="5"/>
      <c r="CK188" s="40"/>
      <c r="CL188" s="5"/>
      <c r="CN188" s="40"/>
      <c r="CO188" s="5"/>
      <c r="CQ188" s="40"/>
      <c r="CR188" s="5"/>
    </row>
    <row r="189">
      <c r="AO189" s="40"/>
      <c r="AP189" s="5"/>
      <c r="AR189" s="40"/>
      <c r="AS189" s="5"/>
      <c r="AU189" s="40"/>
      <c r="AV189" s="5"/>
      <c r="AX189" s="40"/>
      <c r="AY189" s="5"/>
      <c r="BA189" s="40"/>
      <c r="BB189" s="5"/>
      <c r="BD189" s="40"/>
      <c r="BE189" s="5"/>
      <c r="BG189" s="40"/>
      <c r="BH189" s="5"/>
      <c r="BJ189" s="40"/>
      <c r="BK189" s="5"/>
      <c r="BM189" s="40"/>
      <c r="BN189" s="5"/>
      <c r="BP189" s="40"/>
      <c r="BQ189" s="5"/>
      <c r="BS189" s="40"/>
      <c r="BT189" s="5"/>
      <c r="BV189" s="40"/>
      <c r="BW189" s="5"/>
      <c r="BY189" s="40"/>
      <c r="BZ189" s="5"/>
      <c r="CB189" s="40"/>
      <c r="CC189" s="5"/>
      <c r="CE189" s="40"/>
      <c r="CF189" s="5"/>
      <c r="CH189" s="40"/>
      <c r="CI189" s="5"/>
      <c r="CK189" s="40"/>
      <c r="CL189" s="5"/>
      <c r="CN189" s="40"/>
      <c r="CO189" s="5"/>
      <c r="CQ189" s="40"/>
      <c r="CR189" s="5"/>
    </row>
    <row r="190">
      <c r="AO190" s="40"/>
      <c r="AP190" s="5"/>
      <c r="AR190" s="40"/>
      <c r="AS190" s="5"/>
      <c r="AU190" s="40"/>
      <c r="AV190" s="5"/>
      <c r="AX190" s="40"/>
      <c r="AY190" s="5"/>
      <c r="BA190" s="40"/>
      <c r="BB190" s="5"/>
      <c r="BD190" s="40"/>
      <c r="BE190" s="5"/>
      <c r="BG190" s="40"/>
      <c r="BH190" s="5"/>
      <c r="BJ190" s="40"/>
      <c r="BK190" s="5"/>
      <c r="BM190" s="40"/>
      <c r="BN190" s="5"/>
      <c r="BP190" s="40"/>
      <c r="BQ190" s="5"/>
      <c r="BS190" s="40"/>
      <c r="BT190" s="5"/>
      <c r="BV190" s="40"/>
      <c r="BW190" s="5"/>
      <c r="BY190" s="40"/>
      <c r="BZ190" s="5"/>
      <c r="CB190" s="40"/>
      <c r="CC190" s="5"/>
      <c r="CE190" s="40"/>
      <c r="CF190" s="5"/>
      <c r="CH190" s="40"/>
      <c r="CI190" s="5"/>
      <c r="CK190" s="40"/>
      <c r="CL190" s="5"/>
      <c r="CN190" s="40"/>
      <c r="CO190" s="5"/>
      <c r="CQ190" s="40"/>
      <c r="CR190" s="5"/>
    </row>
    <row r="191">
      <c r="AO191" s="40"/>
      <c r="AP191" s="5"/>
      <c r="AR191" s="40"/>
      <c r="AS191" s="5"/>
      <c r="AU191" s="40"/>
      <c r="AV191" s="5"/>
      <c r="AX191" s="40"/>
      <c r="AY191" s="5"/>
      <c r="BA191" s="40"/>
      <c r="BB191" s="5"/>
      <c r="BD191" s="40"/>
      <c r="BE191" s="5"/>
      <c r="BG191" s="40"/>
      <c r="BH191" s="5"/>
      <c r="BJ191" s="40"/>
      <c r="BK191" s="5"/>
      <c r="BM191" s="40"/>
      <c r="BN191" s="5"/>
      <c r="BP191" s="40"/>
      <c r="BQ191" s="5"/>
      <c r="BS191" s="40"/>
      <c r="BT191" s="5"/>
      <c r="BV191" s="40"/>
      <c r="BW191" s="5"/>
      <c r="BY191" s="40"/>
      <c r="BZ191" s="5"/>
      <c r="CB191" s="40"/>
      <c r="CC191" s="5"/>
      <c r="CE191" s="40"/>
      <c r="CF191" s="5"/>
      <c r="CH191" s="40"/>
      <c r="CI191" s="5"/>
      <c r="CK191" s="40"/>
      <c r="CL191" s="5"/>
      <c r="CN191" s="40"/>
      <c r="CO191" s="5"/>
      <c r="CQ191" s="40"/>
      <c r="CR191" s="5"/>
    </row>
    <row r="192">
      <c r="AO192" s="40"/>
      <c r="AP192" s="5"/>
      <c r="AR192" s="40"/>
      <c r="AS192" s="5"/>
      <c r="AU192" s="40"/>
      <c r="AV192" s="5"/>
      <c r="AX192" s="40"/>
      <c r="AY192" s="5"/>
      <c r="BA192" s="40"/>
      <c r="BB192" s="5"/>
      <c r="BD192" s="40"/>
      <c r="BE192" s="5"/>
      <c r="BG192" s="40"/>
      <c r="BH192" s="5"/>
      <c r="BJ192" s="40"/>
      <c r="BK192" s="5"/>
      <c r="BM192" s="40"/>
      <c r="BN192" s="5"/>
      <c r="BP192" s="40"/>
      <c r="BQ192" s="5"/>
      <c r="BS192" s="40"/>
      <c r="BT192" s="5"/>
      <c r="BV192" s="40"/>
      <c r="BW192" s="5"/>
      <c r="BY192" s="40"/>
      <c r="BZ192" s="5"/>
      <c r="CB192" s="40"/>
      <c r="CC192" s="5"/>
      <c r="CE192" s="40"/>
      <c r="CF192" s="5"/>
      <c r="CH192" s="40"/>
      <c r="CI192" s="5"/>
      <c r="CK192" s="40"/>
      <c r="CL192" s="5"/>
      <c r="CN192" s="40"/>
      <c r="CO192" s="5"/>
      <c r="CQ192" s="40"/>
      <c r="CR192" s="5"/>
    </row>
    <row r="193">
      <c r="AO193" s="40"/>
      <c r="AP193" s="5"/>
      <c r="AR193" s="40"/>
      <c r="AS193" s="5"/>
      <c r="AU193" s="40"/>
      <c r="AV193" s="5"/>
      <c r="AX193" s="40"/>
      <c r="AY193" s="5"/>
      <c r="BA193" s="40"/>
      <c r="BB193" s="5"/>
      <c r="BD193" s="40"/>
      <c r="BE193" s="5"/>
      <c r="BG193" s="40"/>
      <c r="BH193" s="5"/>
      <c r="BJ193" s="40"/>
      <c r="BK193" s="5"/>
      <c r="BM193" s="40"/>
      <c r="BN193" s="5"/>
      <c r="BP193" s="40"/>
      <c r="BQ193" s="5"/>
      <c r="BS193" s="40"/>
      <c r="BT193" s="5"/>
      <c r="BV193" s="40"/>
      <c r="BW193" s="5"/>
      <c r="BY193" s="40"/>
      <c r="BZ193" s="5"/>
      <c r="CB193" s="40"/>
      <c r="CC193" s="5"/>
      <c r="CE193" s="40"/>
      <c r="CF193" s="5"/>
      <c r="CH193" s="40"/>
      <c r="CI193" s="5"/>
      <c r="CK193" s="40"/>
      <c r="CL193" s="5"/>
      <c r="CN193" s="40"/>
      <c r="CO193" s="5"/>
      <c r="CQ193" s="40"/>
      <c r="CR193" s="5"/>
    </row>
    <row r="194">
      <c r="AO194" s="40"/>
      <c r="AP194" s="5"/>
      <c r="AR194" s="40"/>
      <c r="AS194" s="5"/>
      <c r="AU194" s="40"/>
      <c r="AV194" s="5"/>
      <c r="AX194" s="40"/>
      <c r="AY194" s="5"/>
      <c r="BA194" s="40"/>
      <c r="BB194" s="5"/>
      <c r="BD194" s="40"/>
      <c r="BE194" s="5"/>
      <c r="BG194" s="40"/>
      <c r="BH194" s="5"/>
      <c r="BJ194" s="40"/>
      <c r="BK194" s="5"/>
      <c r="BM194" s="40"/>
      <c r="BN194" s="5"/>
      <c r="BP194" s="40"/>
      <c r="BQ194" s="5"/>
      <c r="BS194" s="40"/>
      <c r="BT194" s="5"/>
      <c r="BV194" s="40"/>
      <c r="BW194" s="5"/>
      <c r="BY194" s="40"/>
      <c r="BZ194" s="5"/>
      <c r="CB194" s="40"/>
      <c r="CC194" s="5"/>
      <c r="CE194" s="40"/>
      <c r="CF194" s="5"/>
      <c r="CH194" s="40"/>
      <c r="CI194" s="5"/>
      <c r="CK194" s="40"/>
      <c r="CL194" s="5"/>
      <c r="CN194" s="40"/>
      <c r="CO194" s="5"/>
      <c r="CQ194" s="40"/>
      <c r="CR194" s="5"/>
    </row>
    <row r="195">
      <c r="AO195" s="40"/>
      <c r="AP195" s="5"/>
      <c r="AR195" s="40"/>
      <c r="AS195" s="5"/>
      <c r="AU195" s="40"/>
      <c r="AV195" s="5"/>
      <c r="AX195" s="40"/>
      <c r="AY195" s="5"/>
      <c r="BA195" s="40"/>
      <c r="BB195" s="5"/>
      <c r="BD195" s="40"/>
      <c r="BE195" s="5"/>
      <c r="BG195" s="40"/>
      <c r="BH195" s="5"/>
      <c r="BJ195" s="40"/>
      <c r="BK195" s="5"/>
      <c r="BM195" s="40"/>
      <c r="BN195" s="5"/>
      <c r="BP195" s="40"/>
      <c r="BQ195" s="5"/>
      <c r="BS195" s="40"/>
      <c r="BT195" s="5"/>
      <c r="BV195" s="40"/>
      <c r="BW195" s="5"/>
      <c r="BY195" s="40"/>
      <c r="BZ195" s="5"/>
      <c r="CB195" s="40"/>
      <c r="CC195" s="5"/>
      <c r="CE195" s="40"/>
      <c r="CF195" s="5"/>
      <c r="CH195" s="40"/>
      <c r="CI195" s="5"/>
      <c r="CK195" s="40"/>
      <c r="CL195" s="5"/>
      <c r="CN195" s="40"/>
      <c r="CO195" s="5"/>
      <c r="CQ195" s="40"/>
      <c r="CR195" s="5"/>
    </row>
    <row r="196">
      <c r="AO196" s="40"/>
      <c r="AP196" s="5"/>
      <c r="AR196" s="40"/>
      <c r="AS196" s="5"/>
      <c r="AU196" s="40"/>
      <c r="AV196" s="5"/>
      <c r="AX196" s="40"/>
      <c r="AY196" s="5"/>
      <c r="BA196" s="40"/>
      <c r="BB196" s="5"/>
      <c r="BD196" s="40"/>
      <c r="BE196" s="5"/>
      <c r="BG196" s="40"/>
      <c r="BH196" s="5"/>
      <c r="BJ196" s="40"/>
      <c r="BK196" s="5"/>
      <c r="BM196" s="40"/>
      <c r="BN196" s="5"/>
      <c r="BP196" s="40"/>
      <c r="BQ196" s="5"/>
      <c r="BS196" s="40"/>
      <c r="BT196" s="5"/>
      <c r="BV196" s="40"/>
      <c r="BW196" s="5"/>
      <c r="BY196" s="40"/>
      <c r="BZ196" s="5"/>
      <c r="CB196" s="40"/>
      <c r="CC196" s="5"/>
      <c r="CE196" s="40"/>
      <c r="CF196" s="5"/>
      <c r="CH196" s="40"/>
      <c r="CI196" s="5"/>
      <c r="CK196" s="40"/>
      <c r="CL196" s="5"/>
      <c r="CN196" s="40"/>
      <c r="CO196" s="5"/>
      <c r="CQ196" s="40"/>
      <c r="CR196" s="5"/>
    </row>
    <row r="197">
      <c r="AO197" s="40"/>
      <c r="AP197" s="5"/>
      <c r="AR197" s="40"/>
      <c r="AS197" s="5"/>
      <c r="AU197" s="40"/>
      <c r="AV197" s="5"/>
      <c r="AX197" s="40"/>
      <c r="AY197" s="5"/>
      <c r="BA197" s="40"/>
      <c r="BB197" s="5"/>
      <c r="BD197" s="40"/>
      <c r="BE197" s="5"/>
      <c r="BG197" s="40"/>
      <c r="BH197" s="5"/>
      <c r="BJ197" s="40"/>
      <c r="BK197" s="5"/>
      <c r="BM197" s="40"/>
      <c r="BN197" s="5"/>
      <c r="BP197" s="40"/>
      <c r="BQ197" s="5"/>
      <c r="BS197" s="40"/>
      <c r="BT197" s="5"/>
      <c r="BV197" s="40"/>
      <c r="BW197" s="5"/>
      <c r="BY197" s="40"/>
      <c r="BZ197" s="5"/>
      <c r="CB197" s="40"/>
      <c r="CC197" s="5"/>
      <c r="CE197" s="40"/>
      <c r="CF197" s="5"/>
      <c r="CH197" s="40"/>
      <c r="CI197" s="5"/>
      <c r="CK197" s="40"/>
      <c r="CL197" s="5"/>
      <c r="CN197" s="40"/>
      <c r="CO197" s="5"/>
      <c r="CQ197" s="40"/>
      <c r="CR197" s="5"/>
    </row>
    <row r="198">
      <c r="AO198" s="40"/>
      <c r="AP198" s="5"/>
      <c r="AR198" s="40"/>
      <c r="AS198" s="5"/>
      <c r="AU198" s="40"/>
      <c r="AV198" s="5"/>
      <c r="AX198" s="40"/>
      <c r="AY198" s="5"/>
      <c r="BA198" s="40"/>
      <c r="BB198" s="5"/>
      <c r="BD198" s="40"/>
      <c r="BE198" s="5"/>
      <c r="BG198" s="40"/>
      <c r="BH198" s="5"/>
      <c r="BJ198" s="40"/>
      <c r="BK198" s="5"/>
      <c r="BM198" s="40"/>
      <c r="BN198" s="5"/>
      <c r="BP198" s="40"/>
      <c r="BQ198" s="5"/>
      <c r="BS198" s="40"/>
      <c r="BT198" s="5"/>
      <c r="BV198" s="40"/>
      <c r="BW198" s="5"/>
      <c r="BY198" s="40"/>
      <c r="BZ198" s="5"/>
      <c r="CB198" s="40"/>
      <c r="CC198" s="5"/>
      <c r="CE198" s="40"/>
      <c r="CF198" s="5"/>
      <c r="CH198" s="40"/>
      <c r="CI198" s="5"/>
      <c r="CK198" s="40"/>
      <c r="CL198" s="5"/>
      <c r="CN198" s="40"/>
      <c r="CO198" s="5"/>
      <c r="CQ198" s="40"/>
      <c r="CR198" s="5"/>
    </row>
    <row r="199">
      <c r="AO199" s="40"/>
      <c r="AP199" s="5"/>
      <c r="AR199" s="40"/>
      <c r="AS199" s="5"/>
      <c r="AU199" s="40"/>
      <c r="AV199" s="5"/>
      <c r="AX199" s="40"/>
      <c r="AY199" s="5"/>
      <c r="BA199" s="40"/>
      <c r="BB199" s="5"/>
      <c r="BD199" s="40"/>
      <c r="BE199" s="5"/>
      <c r="BG199" s="40"/>
      <c r="BH199" s="5"/>
      <c r="BJ199" s="40"/>
      <c r="BK199" s="5"/>
      <c r="BM199" s="40"/>
      <c r="BN199" s="5"/>
      <c r="BP199" s="40"/>
      <c r="BQ199" s="5"/>
      <c r="BS199" s="40"/>
      <c r="BT199" s="5"/>
      <c r="BV199" s="40"/>
      <c r="BW199" s="5"/>
      <c r="BY199" s="40"/>
      <c r="BZ199" s="5"/>
      <c r="CB199" s="40"/>
      <c r="CC199" s="5"/>
      <c r="CE199" s="40"/>
      <c r="CF199" s="5"/>
      <c r="CH199" s="40"/>
      <c r="CI199" s="5"/>
      <c r="CK199" s="40"/>
      <c r="CL199" s="5"/>
      <c r="CN199" s="40"/>
      <c r="CO199" s="5"/>
      <c r="CQ199" s="40"/>
      <c r="CR199" s="5"/>
    </row>
    <row r="200">
      <c r="AO200" s="40"/>
      <c r="AP200" s="5"/>
      <c r="AR200" s="40"/>
      <c r="AS200" s="5"/>
      <c r="AU200" s="40"/>
      <c r="AV200" s="5"/>
      <c r="AX200" s="40"/>
      <c r="AY200" s="5"/>
      <c r="BA200" s="40"/>
      <c r="BB200" s="5"/>
      <c r="BD200" s="40"/>
      <c r="BE200" s="5"/>
      <c r="BG200" s="40"/>
      <c r="BH200" s="5"/>
      <c r="BJ200" s="40"/>
      <c r="BK200" s="5"/>
      <c r="BM200" s="40"/>
      <c r="BN200" s="5"/>
      <c r="BP200" s="40"/>
      <c r="BQ200" s="5"/>
      <c r="BS200" s="40"/>
      <c r="BT200" s="5"/>
      <c r="BV200" s="40"/>
      <c r="BW200" s="5"/>
      <c r="BY200" s="40"/>
      <c r="BZ200" s="5"/>
      <c r="CB200" s="40"/>
      <c r="CC200" s="5"/>
      <c r="CE200" s="40"/>
      <c r="CF200" s="5"/>
      <c r="CH200" s="40"/>
      <c r="CI200" s="5"/>
      <c r="CK200" s="40"/>
      <c r="CL200" s="5"/>
      <c r="CN200" s="40"/>
      <c r="CO200" s="5"/>
      <c r="CQ200" s="40"/>
      <c r="CR200" s="5"/>
    </row>
    <row r="201">
      <c r="AO201" s="40"/>
      <c r="AP201" s="5"/>
      <c r="AR201" s="40"/>
      <c r="AS201" s="5"/>
      <c r="AU201" s="40"/>
      <c r="AV201" s="5"/>
      <c r="AX201" s="40"/>
      <c r="AY201" s="5"/>
      <c r="BA201" s="40"/>
      <c r="BB201" s="5"/>
      <c r="BD201" s="40"/>
      <c r="BE201" s="5"/>
      <c r="BG201" s="40"/>
      <c r="BH201" s="5"/>
      <c r="BJ201" s="40"/>
      <c r="BK201" s="5"/>
      <c r="BM201" s="40"/>
      <c r="BN201" s="5"/>
      <c r="BP201" s="40"/>
      <c r="BQ201" s="5"/>
      <c r="BS201" s="40"/>
      <c r="BT201" s="5"/>
      <c r="BV201" s="40"/>
      <c r="BW201" s="5"/>
      <c r="BY201" s="40"/>
      <c r="BZ201" s="5"/>
      <c r="CB201" s="40"/>
      <c r="CC201" s="5"/>
      <c r="CE201" s="40"/>
      <c r="CF201" s="5"/>
      <c r="CH201" s="40"/>
      <c r="CI201" s="5"/>
      <c r="CK201" s="40"/>
      <c r="CL201" s="5"/>
      <c r="CN201" s="40"/>
      <c r="CO201" s="5"/>
      <c r="CQ201" s="40"/>
      <c r="CR201" s="5"/>
    </row>
    <row r="202">
      <c r="AO202" s="40"/>
      <c r="AP202" s="5"/>
      <c r="AR202" s="40"/>
      <c r="AS202" s="5"/>
      <c r="AU202" s="40"/>
      <c r="AV202" s="5"/>
      <c r="AX202" s="40"/>
      <c r="AY202" s="5"/>
      <c r="BA202" s="40"/>
      <c r="BB202" s="5"/>
      <c r="BD202" s="40"/>
      <c r="BE202" s="5"/>
      <c r="BG202" s="40"/>
      <c r="BH202" s="5"/>
      <c r="BJ202" s="40"/>
      <c r="BK202" s="5"/>
      <c r="BM202" s="40"/>
      <c r="BN202" s="5"/>
      <c r="BP202" s="40"/>
      <c r="BQ202" s="5"/>
      <c r="BS202" s="40"/>
      <c r="BT202" s="5"/>
      <c r="BV202" s="40"/>
      <c r="BW202" s="5"/>
      <c r="BY202" s="40"/>
      <c r="BZ202" s="5"/>
      <c r="CB202" s="40"/>
      <c r="CC202" s="5"/>
      <c r="CE202" s="40"/>
      <c r="CF202" s="5"/>
      <c r="CH202" s="40"/>
      <c r="CI202" s="5"/>
      <c r="CK202" s="40"/>
      <c r="CL202" s="5"/>
      <c r="CN202" s="40"/>
      <c r="CO202" s="5"/>
      <c r="CQ202" s="40"/>
      <c r="CR202" s="5"/>
    </row>
    <row r="203">
      <c r="AO203" s="40"/>
      <c r="AP203" s="5"/>
      <c r="AR203" s="40"/>
      <c r="AS203" s="5"/>
      <c r="AU203" s="40"/>
      <c r="AV203" s="5"/>
      <c r="AX203" s="40"/>
      <c r="AY203" s="5"/>
      <c r="BA203" s="40"/>
      <c r="BB203" s="5"/>
      <c r="BD203" s="40"/>
      <c r="BE203" s="5"/>
      <c r="BG203" s="40"/>
      <c r="BH203" s="5"/>
      <c r="BJ203" s="40"/>
      <c r="BK203" s="5"/>
      <c r="BM203" s="40"/>
      <c r="BN203" s="5"/>
      <c r="BP203" s="40"/>
      <c r="BQ203" s="5"/>
      <c r="BS203" s="40"/>
      <c r="BT203" s="5"/>
      <c r="BV203" s="40"/>
      <c r="BW203" s="5"/>
      <c r="BY203" s="40"/>
      <c r="BZ203" s="5"/>
      <c r="CB203" s="40"/>
      <c r="CC203" s="5"/>
      <c r="CE203" s="40"/>
      <c r="CF203" s="5"/>
      <c r="CH203" s="40"/>
      <c r="CI203" s="5"/>
      <c r="CK203" s="40"/>
      <c r="CL203" s="5"/>
      <c r="CN203" s="40"/>
      <c r="CO203" s="5"/>
      <c r="CQ203" s="40"/>
      <c r="CR203" s="5"/>
    </row>
    <row r="204">
      <c r="AO204" s="40"/>
      <c r="AP204" s="5"/>
      <c r="AR204" s="40"/>
      <c r="AS204" s="5"/>
      <c r="AU204" s="40"/>
      <c r="AV204" s="5"/>
      <c r="AX204" s="40"/>
      <c r="AY204" s="5"/>
      <c r="BA204" s="40"/>
      <c r="BB204" s="5"/>
      <c r="BD204" s="40"/>
      <c r="BE204" s="5"/>
      <c r="BG204" s="40"/>
      <c r="BH204" s="5"/>
      <c r="BJ204" s="40"/>
      <c r="BK204" s="5"/>
      <c r="BM204" s="40"/>
      <c r="BN204" s="5"/>
      <c r="BP204" s="40"/>
      <c r="BQ204" s="5"/>
      <c r="BS204" s="40"/>
      <c r="BT204" s="5"/>
      <c r="BV204" s="40"/>
      <c r="BW204" s="5"/>
      <c r="BY204" s="40"/>
      <c r="BZ204" s="5"/>
      <c r="CB204" s="40"/>
      <c r="CC204" s="5"/>
      <c r="CE204" s="40"/>
      <c r="CF204" s="5"/>
      <c r="CH204" s="40"/>
      <c r="CI204" s="5"/>
      <c r="CK204" s="40"/>
      <c r="CL204" s="5"/>
      <c r="CN204" s="40"/>
      <c r="CO204" s="5"/>
      <c r="CQ204" s="40"/>
      <c r="CR204" s="5"/>
    </row>
    <row r="205">
      <c r="AO205" s="40"/>
      <c r="AP205" s="5"/>
      <c r="AR205" s="40"/>
      <c r="AS205" s="5"/>
      <c r="AU205" s="40"/>
      <c r="AV205" s="5"/>
      <c r="AX205" s="40"/>
      <c r="AY205" s="5"/>
      <c r="BA205" s="40"/>
      <c r="BB205" s="5"/>
      <c r="BD205" s="40"/>
      <c r="BE205" s="5"/>
      <c r="BG205" s="40"/>
      <c r="BH205" s="5"/>
      <c r="BJ205" s="40"/>
      <c r="BK205" s="5"/>
      <c r="BM205" s="40"/>
      <c r="BN205" s="5"/>
      <c r="BP205" s="40"/>
      <c r="BQ205" s="5"/>
      <c r="BS205" s="40"/>
      <c r="BT205" s="5"/>
      <c r="BV205" s="40"/>
      <c r="BW205" s="5"/>
      <c r="BY205" s="40"/>
      <c r="BZ205" s="5"/>
      <c r="CB205" s="40"/>
      <c r="CC205" s="5"/>
      <c r="CE205" s="40"/>
      <c r="CF205" s="5"/>
      <c r="CH205" s="40"/>
      <c r="CI205" s="5"/>
      <c r="CK205" s="40"/>
      <c r="CL205" s="5"/>
      <c r="CN205" s="40"/>
      <c r="CO205" s="5"/>
      <c r="CQ205" s="40"/>
      <c r="CR205" s="5"/>
    </row>
    <row r="206">
      <c r="AO206" s="40"/>
      <c r="AP206" s="5"/>
      <c r="AR206" s="40"/>
      <c r="AS206" s="5"/>
      <c r="AU206" s="40"/>
      <c r="AV206" s="5"/>
      <c r="AX206" s="40"/>
      <c r="AY206" s="5"/>
      <c r="BA206" s="40"/>
      <c r="BB206" s="5"/>
      <c r="BD206" s="40"/>
      <c r="BE206" s="5"/>
      <c r="BG206" s="40"/>
      <c r="BH206" s="5"/>
      <c r="BJ206" s="40"/>
      <c r="BK206" s="5"/>
      <c r="BM206" s="40"/>
      <c r="BN206" s="5"/>
      <c r="BP206" s="40"/>
      <c r="BQ206" s="5"/>
      <c r="BS206" s="40"/>
      <c r="BT206" s="5"/>
      <c r="BV206" s="40"/>
      <c r="BW206" s="5"/>
      <c r="BY206" s="40"/>
      <c r="BZ206" s="5"/>
      <c r="CB206" s="40"/>
      <c r="CC206" s="5"/>
      <c r="CE206" s="40"/>
      <c r="CF206" s="5"/>
      <c r="CH206" s="40"/>
      <c r="CI206" s="5"/>
      <c r="CK206" s="40"/>
      <c r="CL206" s="5"/>
      <c r="CN206" s="40"/>
      <c r="CO206" s="5"/>
      <c r="CQ206" s="40"/>
      <c r="CR206" s="5"/>
    </row>
    <row r="207">
      <c r="AO207" s="40"/>
      <c r="AP207" s="5"/>
      <c r="AR207" s="40"/>
      <c r="AS207" s="5"/>
      <c r="AU207" s="40"/>
      <c r="AV207" s="5"/>
      <c r="AX207" s="40"/>
      <c r="AY207" s="5"/>
      <c r="BA207" s="40"/>
      <c r="BB207" s="5"/>
      <c r="BD207" s="40"/>
      <c r="BE207" s="5"/>
      <c r="BG207" s="40"/>
      <c r="BH207" s="5"/>
      <c r="BJ207" s="40"/>
      <c r="BK207" s="5"/>
      <c r="BM207" s="40"/>
      <c r="BN207" s="5"/>
      <c r="BP207" s="40"/>
      <c r="BQ207" s="5"/>
      <c r="BS207" s="40"/>
      <c r="BT207" s="5"/>
      <c r="BV207" s="40"/>
      <c r="BW207" s="5"/>
      <c r="BY207" s="40"/>
      <c r="BZ207" s="5"/>
      <c r="CB207" s="40"/>
      <c r="CC207" s="5"/>
      <c r="CE207" s="40"/>
      <c r="CF207" s="5"/>
      <c r="CH207" s="40"/>
      <c r="CI207" s="5"/>
      <c r="CK207" s="40"/>
      <c r="CL207" s="5"/>
      <c r="CN207" s="40"/>
      <c r="CO207" s="5"/>
      <c r="CQ207" s="40"/>
      <c r="CR207" s="5"/>
    </row>
    <row r="208">
      <c r="AO208" s="40"/>
      <c r="AP208" s="5"/>
      <c r="AR208" s="40"/>
      <c r="AS208" s="5"/>
      <c r="AU208" s="40"/>
      <c r="AV208" s="5"/>
      <c r="AX208" s="40"/>
      <c r="AY208" s="5"/>
      <c r="BA208" s="40"/>
      <c r="BB208" s="5"/>
      <c r="BD208" s="40"/>
      <c r="BE208" s="5"/>
      <c r="BG208" s="40"/>
      <c r="BH208" s="5"/>
      <c r="BJ208" s="40"/>
      <c r="BK208" s="5"/>
      <c r="BM208" s="40"/>
      <c r="BN208" s="5"/>
      <c r="BP208" s="40"/>
      <c r="BQ208" s="5"/>
      <c r="BS208" s="40"/>
      <c r="BT208" s="5"/>
      <c r="BV208" s="40"/>
      <c r="BW208" s="5"/>
      <c r="BY208" s="40"/>
      <c r="BZ208" s="5"/>
      <c r="CB208" s="40"/>
      <c r="CC208" s="5"/>
      <c r="CE208" s="40"/>
      <c r="CF208" s="5"/>
      <c r="CH208" s="40"/>
      <c r="CI208" s="5"/>
      <c r="CK208" s="40"/>
      <c r="CL208" s="5"/>
      <c r="CN208" s="40"/>
      <c r="CO208" s="5"/>
      <c r="CQ208" s="40"/>
      <c r="CR208" s="5"/>
    </row>
    <row r="209">
      <c r="AO209" s="40"/>
      <c r="AP209" s="5"/>
      <c r="AR209" s="40"/>
      <c r="AS209" s="5"/>
      <c r="AU209" s="40"/>
      <c r="AV209" s="5"/>
      <c r="AX209" s="40"/>
      <c r="AY209" s="5"/>
      <c r="BA209" s="40"/>
      <c r="BB209" s="5"/>
      <c r="BD209" s="40"/>
      <c r="BE209" s="5"/>
      <c r="BG209" s="40"/>
      <c r="BH209" s="5"/>
      <c r="BJ209" s="40"/>
      <c r="BK209" s="5"/>
      <c r="BM209" s="40"/>
      <c r="BN209" s="5"/>
      <c r="BP209" s="40"/>
      <c r="BQ209" s="5"/>
      <c r="BS209" s="40"/>
      <c r="BT209" s="5"/>
      <c r="BV209" s="40"/>
      <c r="BW209" s="5"/>
      <c r="BY209" s="40"/>
      <c r="BZ209" s="5"/>
      <c r="CB209" s="40"/>
      <c r="CC209" s="5"/>
      <c r="CE209" s="40"/>
      <c r="CF209" s="5"/>
      <c r="CH209" s="40"/>
      <c r="CI209" s="5"/>
      <c r="CK209" s="40"/>
      <c r="CL209" s="5"/>
      <c r="CN209" s="40"/>
      <c r="CO209" s="5"/>
      <c r="CQ209" s="40"/>
      <c r="CR209" s="5"/>
    </row>
    <row r="210">
      <c r="AO210" s="40"/>
      <c r="AP210" s="5"/>
      <c r="AR210" s="40"/>
      <c r="AS210" s="5"/>
      <c r="AU210" s="40"/>
      <c r="AV210" s="5"/>
      <c r="AX210" s="40"/>
      <c r="AY210" s="5"/>
      <c r="BA210" s="40"/>
      <c r="BB210" s="5"/>
      <c r="BD210" s="40"/>
      <c r="BE210" s="5"/>
      <c r="BG210" s="40"/>
      <c r="BH210" s="5"/>
      <c r="BJ210" s="40"/>
      <c r="BK210" s="5"/>
      <c r="BM210" s="40"/>
      <c r="BN210" s="5"/>
      <c r="BP210" s="40"/>
      <c r="BQ210" s="5"/>
      <c r="BS210" s="40"/>
      <c r="BT210" s="5"/>
      <c r="BV210" s="40"/>
      <c r="BW210" s="5"/>
      <c r="BY210" s="40"/>
      <c r="BZ210" s="5"/>
      <c r="CB210" s="40"/>
      <c r="CC210" s="5"/>
      <c r="CE210" s="40"/>
      <c r="CF210" s="5"/>
      <c r="CH210" s="40"/>
      <c r="CI210" s="5"/>
      <c r="CK210" s="40"/>
      <c r="CL210" s="5"/>
      <c r="CN210" s="40"/>
      <c r="CO210" s="5"/>
      <c r="CQ210" s="40"/>
      <c r="CR210" s="5"/>
    </row>
    <row r="211">
      <c r="AO211" s="40"/>
      <c r="AP211" s="5"/>
      <c r="AR211" s="40"/>
      <c r="AS211" s="5"/>
      <c r="AU211" s="40"/>
      <c r="AV211" s="5"/>
      <c r="AX211" s="40"/>
      <c r="AY211" s="5"/>
      <c r="BA211" s="40"/>
      <c r="BB211" s="5"/>
      <c r="BD211" s="40"/>
      <c r="BE211" s="5"/>
      <c r="BG211" s="40"/>
      <c r="BH211" s="5"/>
      <c r="BJ211" s="40"/>
      <c r="BK211" s="5"/>
      <c r="BM211" s="40"/>
      <c r="BN211" s="5"/>
      <c r="BP211" s="40"/>
      <c r="BQ211" s="5"/>
      <c r="BS211" s="40"/>
      <c r="BT211" s="5"/>
      <c r="BV211" s="40"/>
      <c r="BW211" s="5"/>
      <c r="BY211" s="40"/>
      <c r="BZ211" s="5"/>
      <c r="CB211" s="40"/>
      <c r="CC211" s="5"/>
      <c r="CE211" s="40"/>
      <c r="CF211" s="5"/>
      <c r="CH211" s="40"/>
      <c r="CI211" s="5"/>
      <c r="CK211" s="40"/>
      <c r="CL211" s="5"/>
      <c r="CN211" s="40"/>
      <c r="CO211" s="5"/>
      <c r="CQ211" s="40"/>
      <c r="CR211" s="5"/>
    </row>
    <row r="212">
      <c r="AO212" s="40"/>
      <c r="AP212" s="5"/>
      <c r="AR212" s="40"/>
      <c r="AS212" s="5"/>
      <c r="AU212" s="40"/>
      <c r="AV212" s="5"/>
      <c r="AX212" s="40"/>
      <c r="AY212" s="5"/>
      <c r="BA212" s="40"/>
      <c r="BB212" s="5"/>
      <c r="BD212" s="40"/>
      <c r="BE212" s="5"/>
      <c r="BG212" s="40"/>
      <c r="BH212" s="5"/>
      <c r="BJ212" s="40"/>
      <c r="BK212" s="5"/>
      <c r="BM212" s="40"/>
      <c r="BN212" s="5"/>
      <c r="BP212" s="40"/>
      <c r="BQ212" s="5"/>
      <c r="BS212" s="40"/>
      <c r="BT212" s="5"/>
      <c r="BV212" s="40"/>
      <c r="BW212" s="5"/>
      <c r="BY212" s="40"/>
      <c r="BZ212" s="5"/>
      <c r="CB212" s="40"/>
      <c r="CC212" s="5"/>
      <c r="CE212" s="40"/>
      <c r="CF212" s="5"/>
      <c r="CH212" s="40"/>
      <c r="CI212" s="5"/>
      <c r="CK212" s="40"/>
      <c r="CL212" s="5"/>
      <c r="CN212" s="40"/>
      <c r="CO212" s="5"/>
      <c r="CQ212" s="40"/>
      <c r="CR212" s="5"/>
    </row>
    <row r="213">
      <c r="AO213" s="40"/>
      <c r="AP213" s="5"/>
      <c r="AR213" s="40"/>
      <c r="AS213" s="5"/>
      <c r="AU213" s="40"/>
      <c r="AV213" s="5"/>
      <c r="AX213" s="40"/>
      <c r="AY213" s="5"/>
      <c r="BA213" s="40"/>
      <c r="BB213" s="5"/>
      <c r="BD213" s="40"/>
      <c r="BE213" s="5"/>
      <c r="BG213" s="40"/>
      <c r="BH213" s="5"/>
      <c r="BJ213" s="40"/>
      <c r="BK213" s="5"/>
      <c r="BM213" s="40"/>
      <c r="BN213" s="5"/>
      <c r="BP213" s="40"/>
      <c r="BQ213" s="5"/>
      <c r="BS213" s="40"/>
      <c r="BT213" s="5"/>
      <c r="BV213" s="40"/>
      <c r="BW213" s="5"/>
      <c r="BY213" s="40"/>
      <c r="BZ213" s="5"/>
      <c r="CB213" s="40"/>
      <c r="CC213" s="5"/>
      <c r="CE213" s="40"/>
      <c r="CF213" s="5"/>
      <c r="CH213" s="40"/>
      <c r="CI213" s="5"/>
      <c r="CK213" s="40"/>
      <c r="CL213" s="5"/>
      <c r="CN213" s="40"/>
      <c r="CO213" s="5"/>
      <c r="CQ213" s="40"/>
      <c r="CR213" s="5"/>
    </row>
    <row r="214">
      <c r="AO214" s="40"/>
      <c r="AP214" s="5"/>
      <c r="AR214" s="40"/>
      <c r="AS214" s="5"/>
      <c r="AU214" s="40"/>
      <c r="AV214" s="5"/>
      <c r="AX214" s="40"/>
      <c r="AY214" s="5"/>
      <c r="BA214" s="40"/>
      <c r="BB214" s="5"/>
      <c r="BD214" s="40"/>
      <c r="BE214" s="5"/>
      <c r="BG214" s="40"/>
      <c r="BH214" s="5"/>
      <c r="BJ214" s="40"/>
      <c r="BK214" s="5"/>
      <c r="BM214" s="40"/>
      <c r="BN214" s="5"/>
      <c r="BP214" s="40"/>
      <c r="BQ214" s="5"/>
      <c r="BS214" s="40"/>
      <c r="BT214" s="5"/>
      <c r="BV214" s="40"/>
      <c r="BW214" s="5"/>
      <c r="BY214" s="40"/>
      <c r="BZ214" s="5"/>
      <c r="CB214" s="40"/>
      <c r="CC214" s="5"/>
      <c r="CE214" s="40"/>
      <c r="CF214" s="5"/>
      <c r="CH214" s="40"/>
      <c r="CI214" s="5"/>
      <c r="CK214" s="40"/>
      <c r="CL214" s="5"/>
      <c r="CN214" s="40"/>
      <c r="CO214" s="5"/>
      <c r="CQ214" s="40"/>
      <c r="CR214" s="5"/>
    </row>
    <row r="215">
      <c r="AO215" s="40"/>
      <c r="AP215" s="5"/>
      <c r="AR215" s="40"/>
      <c r="AS215" s="5"/>
      <c r="AU215" s="40"/>
      <c r="AV215" s="5"/>
      <c r="AX215" s="40"/>
      <c r="AY215" s="5"/>
      <c r="BA215" s="40"/>
      <c r="BB215" s="5"/>
      <c r="BD215" s="40"/>
      <c r="BE215" s="5"/>
      <c r="BG215" s="40"/>
      <c r="BH215" s="5"/>
      <c r="BJ215" s="40"/>
      <c r="BK215" s="5"/>
      <c r="BM215" s="40"/>
      <c r="BN215" s="5"/>
      <c r="BP215" s="40"/>
      <c r="BQ215" s="5"/>
      <c r="BS215" s="40"/>
      <c r="BT215" s="5"/>
      <c r="BV215" s="40"/>
      <c r="BW215" s="5"/>
      <c r="BY215" s="40"/>
      <c r="BZ215" s="5"/>
      <c r="CB215" s="40"/>
      <c r="CC215" s="5"/>
      <c r="CE215" s="40"/>
      <c r="CF215" s="5"/>
      <c r="CH215" s="40"/>
      <c r="CI215" s="5"/>
      <c r="CK215" s="40"/>
      <c r="CL215" s="5"/>
      <c r="CN215" s="40"/>
      <c r="CO215" s="5"/>
      <c r="CQ215" s="40"/>
      <c r="CR215" s="5"/>
    </row>
    <row r="216">
      <c r="AO216" s="40"/>
      <c r="AP216" s="5"/>
      <c r="AR216" s="40"/>
      <c r="AS216" s="5"/>
      <c r="AU216" s="40"/>
      <c r="AV216" s="5"/>
      <c r="AX216" s="40"/>
      <c r="AY216" s="5"/>
      <c r="BA216" s="40"/>
      <c r="BB216" s="5"/>
      <c r="BD216" s="40"/>
      <c r="BE216" s="5"/>
      <c r="BG216" s="40"/>
      <c r="BH216" s="5"/>
      <c r="BJ216" s="40"/>
      <c r="BK216" s="5"/>
      <c r="BM216" s="40"/>
      <c r="BN216" s="5"/>
      <c r="BP216" s="40"/>
      <c r="BQ216" s="5"/>
      <c r="BS216" s="40"/>
      <c r="BT216" s="5"/>
      <c r="BV216" s="40"/>
      <c r="BW216" s="5"/>
      <c r="BY216" s="40"/>
      <c r="BZ216" s="5"/>
      <c r="CB216" s="40"/>
      <c r="CC216" s="5"/>
      <c r="CE216" s="40"/>
      <c r="CF216" s="5"/>
      <c r="CH216" s="40"/>
      <c r="CI216" s="5"/>
      <c r="CK216" s="40"/>
      <c r="CL216" s="5"/>
      <c r="CN216" s="40"/>
      <c r="CO216" s="5"/>
      <c r="CQ216" s="40"/>
      <c r="CR216" s="5"/>
    </row>
    <row r="217">
      <c r="AO217" s="40"/>
      <c r="AP217" s="5"/>
      <c r="AR217" s="40"/>
      <c r="AS217" s="5"/>
      <c r="AU217" s="40"/>
      <c r="AV217" s="5"/>
      <c r="AX217" s="40"/>
      <c r="AY217" s="5"/>
      <c r="BA217" s="40"/>
      <c r="BB217" s="5"/>
      <c r="BD217" s="40"/>
      <c r="BE217" s="5"/>
      <c r="BG217" s="40"/>
      <c r="BH217" s="5"/>
      <c r="BJ217" s="40"/>
      <c r="BK217" s="5"/>
      <c r="BM217" s="40"/>
      <c r="BN217" s="5"/>
      <c r="BP217" s="40"/>
      <c r="BQ217" s="5"/>
      <c r="BS217" s="40"/>
      <c r="BT217" s="5"/>
      <c r="BV217" s="40"/>
      <c r="BW217" s="5"/>
      <c r="BY217" s="40"/>
      <c r="BZ217" s="5"/>
      <c r="CB217" s="40"/>
      <c r="CC217" s="5"/>
      <c r="CE217" s="40"/>
      <c r="CF217" s="5"/>
      <c r="CH217" s="40"/>
      <c r="CI217" s="5"/>
      <c r="CK217" s="40"/>
      <c r="CL217" s="5"/>
      <c r="CN217" s="40"/>
      <c r="CO217" s="5"/>
      <c r="CQ217" s="40"/>
      <c r="CR217" s="5"/>
    </row>
    <row r="218">
      <c r="AO218" s="40"/>
      <c r="AP218" s="5"/>
      <c r="AR218" s="40"/>
      <c r="AS218" s="5"/>
      <c r="AU218" s="40"/>
      <c r="AV218" s="5"/>
      <c r="AX218" s="40"/>
      <c r="AY218" s="5"/>
      <c r="BA218" s="40"/>
      <c r="BB218" s="5"/>
      <c r="BD218" s="40"/>
      <c r="BE218" s="5"/>
      <c r="BG218" s="40"/>
      <c r="BH218" s="5"/>
      <c r="BJ218" s="40"/>
      <c r="BK218" s="5"/>
      <c r="BM218" s="40"/>
      <c r="BN218" s="5"/>
      <c r="BP218" s="40"/>
      <c r="BQ218" s="5"/>
      <c r="BS218" s="40"/>
      <c r="BT218" s="5"/>
      <c r="BV218" s="40"/>
      <c r="BW218" s="5"/>
      <c r="BY218" s="40"/>
      <c r="BZ218" s="5"/>
      <c r="CB218" s="40"/>
      <c r="CC218" s="5"/>
      <c r="CE218" s="40"/>
      <c r="CF218" s="5"/>
      <c r="CH218" s="40"/>
      <c r="CI218" s="5"/>
      <c r="CK218" s="40"/>
      <c r="CL218" s="5"/>
      <c r="CN218" s="40"/>
      <c r="CO218" s="5"/>
      <c r="CQ218" s="40"/>
      <c r="CR218" s="5"/>
    </row>
    <row r="219">
      <c r="AO219" s="40"/>
      <c r="AP219" s="5"/>
      <c r="AR219" s="40"/>
      <c r="AS219" s="5"/>
      <c r="AU219" s="40"/>
      <c r="AV219" s="5"/>
      <c r="AX219" s="40"/>
      <c r="AY219" s="5"/>
      <c r="BA219" s="40"/>
      <c r="BB219" s="5"/>
      <c r="BD219" s="40"/>
      <c r="BE219" s="5"/>
      <c r="BG219" s="40"/>
      <c r="BH219" s="5"/>
      <c r="BJ219" s="40"/>
      <c r="BK219" s="5"/>
      <c r="BM219" s="40"/>
      <c r="BN219" s="5"/>
      <c r="BP219" s="40"/>
      <c r="BQ219" s="5"/>
      <c r="BS219" s="40"/>
      <c r="BT219" s="5"/>
      <c r="BV219" s="40"/>
      <c r="BW219" s="5"/>
      <c r="BY219" s="40"/>
      <c r="BZ219" s="5"/>
      <c r="CB219" s="40"/>
      <c r="CC219" s="5"/>
      <c r="CE219" s="40"/>
      <c r="CF219" s="5"/>
      <c r="CH219" s="40"/>
      <c r="CI219" s="5"/>
      <c r="CK219" s="40"/>
      <c r="CL219" s="5"/>
      <c r="CN219" s="40"/>
      <c r="CO219" s="5"/>
      <c r="CQ219" s="40"/>
      <c r="CR219" s="5"/>
    </row>
    <row r="220">
      <c r="AO220" s="40"/>
      <c r="AP220" s="5"/>
      <c r="AR220" s="40"/>
      <c r="AS220" s="5"/>
      <c r="AU220" s="40"/>
      <c r="AV220" s="5"/>
      <c r="AX220" s="40"/>
      <c r="AY220" s="5"/>
      <c r="BA220" s="40"/>
      <c r="BB220" s="5"/>
      <c r="BD220" s="40"/>
      <c r="BE220" s="5"/>
      <c r="BG220" s="40"/>
      <c r="BH220" s="5"/>
      <c r="BJ220" s="40"/>
      <c r="BK220" s="5"/>
      <c r="BM220" s="40"/>
      <c r="BN220" s="5"/>
      <c r="BP220" s="40"/>
      <c r="BQ220" s="5"/>
      <c r="BS220" s="40"/>
      <c r="BT220" s="5"/>
      <c r="BV220" s="40"/>
      <c r="BW220" s="5"/>
      <c r="BY220" s="40"/>
      <c r="BZ220" s="5"/>
      <c r="CB220" s="40"/>
      <c r="CC220" s="5"/>
      <c r="CE220" s="40"/>
      <c r="CF220" s="5"/>
      <c r="CH220" s="40"/>
      <c r="CI220" s="5"/>
      <c r="CK220" s="40"/>
      <c r="CL220" s="5"/>
      <c r="CN220" s="40"/>
      <c r="CO220" s="5"/>
      <c r="CQ220" s="40"/>
      <c r="CR220" s="5"/>
    </row>
    <row r="221">
      <c r="AO221" s="40"/>
      <c r="AP221" s="5"/>
      <c r="AR221" s="40"/>
      <c r="AS221" s="5"/>
      <c r="AU221" s="40"/>
      <c r="AV221" s="5"/>
      <c r="AX221" s="40"/>
      <c r="AY221" s="5"/>
      <c r="BA221" s="40"/>
      <c r="BB221" s="5"/>
      <c r="BD221" s="40"/>
      <c r="BE221" s="5"/>
      <c r="BG221" s="40"/>
      <c r="BH221" s="5"/>
      <c r="BJ221" s="40"/>
      <c r="BK221" s="5"/>
      <c r="BM221" s="40"/>
      <c r="BN221" s="5"/>
      <c r="BP221" s="40"/>
      <c r="BQ221" s="5"/>
      <c r="BS221" s="40"/>
      <c r="BT221" s="5"/>
      <c r="BV221" s="40"/>
      <c r="BW221" s="5"/>
      <c r="BY221" s="40"/>
      <c r="BZ221" s="5"/>
      <c r="CB221" s="40"/>
      <c r="CC221" s="5"/>
      <c r="CE221" s="40"/>
      <c r="CF221" s="5"/>
      <c r="CH221" s="40"/>
      <c r="CI221" s="5"/>
      <c r="CK221" s="40"/>
      <c r="CL221" s="5"/>
      <c r="CN221" s="40"/>
      <c r="CO221" s="5"/>
      <c r="CQ221" s="40"/>
      <c r="CR221" s="5"/>
    </row>
    <row r="222">
      <c r="AO222" s="40"/>
      <c r="AP222" s="5"/>
      <c r="AR222" s="40"/>
      <c r="AS222" s="5"/>
      <c r="AU222" s="40"/>
      <c r="AV222" s="5"/>
      <c r="AX222" s="40"/>
      <c r="AY222" s="5"/>
      <c r="BA222" s="40"/>
      <c r="BB222" s="5"/>
      <c r="BD222" s="40"/>
      <c r="BE222" s="5"/>
      <c r="BG222" s="40"/>
      <c r="BH222" s="5"/>
      <c r="BJ222" s="40"/>
      <c r="BK222" s="5"/>
      <c r="BM222" s="40"/>
      <c r="BN222" s="5"/>
      <c r="BP222" s="40"/>
      <c r="BQ222" s="5"/>
      <c r="BS222" s="40"/>
      <c r="BT222" s="5"/>
      <c r="BV222" s="40"/>
      <c r="BW222" s="5"/>
      <c r="BY222" s="40"/>
      <c r="BZ222" s="5"/>
      <c r="CB222" s="40"/>
      <c r="CC222" s="5"/>
      <c r="CE222" s="40"/>
      <c r="CF222" s="5"/>
      <c r="CH222" s="40"/>
      <c r="CI222" s="5"/>
      <c r="CK222" s="40"/>
      <c r="CL222" s="5"/>
      <c r="CN222" s="40"/>
      <c r="CO222" s="5"/>
      <c r="CQ222" s="40"/>
      <c r="CR222" s="5"/>
    </row>
    <row r="223">
      <c r="AO223" s="40"/>
      <c r="AP223" s="5"/>
      <c r="AR223" s="40"/>
      <c r="AS223" s="5"/>
      <c r="AU223" s="40"/>
      <c r="AV223" s="5"/>
      <c r="AX223" s="40"/>
      <c r="AY223" s="5"/>
      <c r="BA223" s="40"/>
      <c r="BB223" s="5"/>
      <c r="BD223" s="40"/>
      <c r="BE223" s="5"/>
      <c r="BG223" s="40"/>
      <c r="BH223" s="5"/>
      <c r="BJ223" s="40"/>
      <c r="BK223" s="5"/>
      <c r="BM223" s="40"/>
      <c r="BN223" s="5"/>
      <c r="BP223" s="40"/>
      <c r="BQ223" s="5"/>
      <c r="BS223" s="40"/>
      <c r="BT223" s="5"/>
      <c r="BV223" s="40"/>
      <c r="BW223" s="5"/>
      <c r="BY223" s="40"/>
      <c r="BZ223" s="5"/>
      <c r="CB223" s="40"/>
      <c r="CC223" s="5"/>
      <c r="CE223" s="40"/>
      <c r="CF223" s="5"/>
      <c r="CH223" s="40"/>
      <c r="CI223" s="5"/>
      <c r="CK223" s="40"/>
      <c r="CL223" s="5"/>
      <c r="CN223" s="40"/>
      <c r="CO223" s="5"/>
      <c r="CQ223" s="40"/>
      <c r="CR223" s="5"/>
    </row>
    <row r="224">
      <c r="AO224" s="40"/>
      <c r="AP224" s="5"/>
      <c r="AR224" s="40"/>
      <c r="AS224" s="5"/>
      <c r="AU224" s="40"/>
      <c r="AV224" s="5"/>
      <c r="AX224" s="40"/>
      <c r="AY224" s="5"/>
      <c r="BA224" s="40"/>
      <c r="BB224" s="5"/>
      <c r="BD224" s="40"/>
      <c r="BE224" s="5"/>
      <c r="BG224" s="40"/>
      <c r="BH224" s="5"/>
      <c r="BJ224" s="40"/>
      <c r="BK224" s="5"/>
      <c r="BM224" s="40"/>
      <c r="BN224" s="5"/>
      <c r="BP224" s="40"/>
      <c r="BQ224" s="5"/>
      <c r="BS224" s="40"/>
      <c r="BT224" s="5"/>
      <c r="BV224" s="40"/>
      <c r="BW224" s="5"/>
      <c r="BY224" s="40"/>
      <c r="BZ224" s="5"/>
      <c r="CB224" s="40"/>
      <c r="CC224" s="5"/>
      <c r="CE224" s="40"/>
      <c r="CF224" s="5"/>
      <c r="CH224" s="40"/>
      <c r="CI224" s="5"/>
      <c r="CK224" s="40"/>
      <c r="CL224" s="5"/>
      <c r="CN224" s="40"/>
      <c r="CO224" s="5"/>
      <c r="CQ224" s="40"/>
      <c r="CR224" s="5"/>
    </row>
    <row r="225">
      <c r="AO225" s="40"/>
      <c r="AP225" s="5"/>
      <c r="AR225" s="40"/>
      <c r="AS225" s="5"/>
      <c r="AU225" s="40"/>
      <c r="AV225" s="5"/>
      <c r="AX225" s="40"/>
      <c r="AY225" s="5"/>
      <c r="BA225" s="40"/>
      <c r="BB225" s="5"/>
      <c r="BD225" s="40"/>
      <c r="BE225" s="5"/>
      <c r="BG225" s="40"/>
      <c r="BH225" s="5"/>
      <c r="BJ225" s="40"/>
      <c r="BK225" s="5"/>
      <c r="BM225" s="40"/>
      <c r="BN225" s="5"/>
      <c r="BP225" s="40"/>
      <c r="BQ225" s="5"/>
      <c r="BS225" s="40"/>
      <c r="BT225" s="5"/>
      <c r="BV225" s="40"/>
      <c r="BW225" s="5"/>
      <c r="BY225" s="40"/>
      <c r="BZ225" s="5"/>
      <c r="CB225" s="40"/>
      <c r="CC225" s="5"/>
      <c r="CE225" s="40"/>
      <c r="CF225" s="5"/>
      <c r="CH225" s="40"/>
      <c r="CI225" s="5"/>
      <c r="CK225" s="40"/>
      <c r="CL225" s="5"/>
      <c r="CN225" s="40"/>
      <c r="CO225" s="5"/>
      <c r="CQ225" s="40"/>
      <c r="CR225" s="5"/>
    </row>
    <row r="226">
      <c r="AO226" s="40"/>
      <c r="AP226" s="5"/>
      <c r="AR226" s="40"/>
      <c r="AS226" s="5"/>
      <c r="AU226" s="40"/>
      <c r="AV226" s="5"/>
      <c r="AX226" s="40"/>
      <c r="AY226" s="5"/>
      <c r="BA226" s="40"/>
      <c r="BB226" s="5"/>
      <c r="BD226" s="40"/>
      <c r="BE226" s="5"/>
      <c r="BG226" s="40"/>
      <c r="BH226" s="5"/>
      <c r="BJ226" s="40"/>
      <c r="BK226" s="5"/>
      <c r="BM226" s="40"/>
      <c r="BN226" s="5"/>
      <c r="BP226" s="40"/>
      <c r="BQ226" s="5"/>
      <c r="BS226" s="40"/>
      <c r="BT226" s="5"/>
      <c r="BV226" s="40"/>
      <c r="BW226" s="5"/>
      <c r="BY226" s="40"/>
      <c r="BZ226" s="5"/>
      <c r="CB226" s="40"/>
      <c r="CC226" s="5"/>
      <c r="CE226" s="40"/>
      <c r="CF226" s="5"/>
      <c r="CH226" s="40"/>
      <c r="CI226" s="5"/>
      <c r="CK226" s="40"/>
      <c r="CL226" s="5"/>
      <c r="CN226" s="40"/>
      <c r="CO226" s="5"/>
      <c r="CQ226" s="40"/>
      <c r="CR226" s="5"/>
    </row>
    <row r="227">
      <c r="AO227" s="40"/>
      <c r="AP227" s="5"/>
      <c r="AR227" s="40"/>
      <c r="AS227" s="5"/>
      <c r="AU227" s="40"/>
      <c r="AV227" s="5"/>
      <c r="AX227" s="40"/>
      <c r="AY227" s="5"/>
      <c r="BA227" s="40"/>
      <c r="BB227" s="5"/>
      <c r="BD227" s="40"/>
      <c r="BE227" s="5"/>
      <c r="BG227" s="40"/>
      <c r="BH227" s="5"/>
      <c r="BJ227" s="40"/>
      <c r="BK227" s="5"/>
      <c r="BM227" s="40"/>
      <c r="BN227" s="5"/>
      <c r="BP227" s="40"/>
      <c r="BQ227" s="5"/>
      <c r="BS227" s="40"/>
      <c r="BT227" s="5"/>
      <c r="BV227" s="40"/>
      <c r="BW227" s="5"/>
      <c r="BY227" s="40"/>
      <c r="BZ227" s="5"/>
      <c r="CB227" s="40"/>
      <c r="CC227" s="5"/>
      <c r="CE227" s="40"/>
      <c r="CF227" s="5"/>
      <c r="CH227" s="40"/>
      <c r="CI227" s="5"/>
      <c r="CK227" s="40"/>
      <c r="CL227" s="5"/>
      <c r="CN227" s="40"/>
      <c r="CO227" s="5"/>
      <c r="CQ227" s="40"/>
      <c r="CR227" s="5"/>
    </row>
    <row r="228">
      <c r="AO228" s="40"/>
      <c r="AP228" s="5"/>
      <c r="AR228" s="40"/>
      <c r="AS228" s="5"/>
      <c r="AU228" s="40"/>
      <c r="AV228" s="5"/>
      <c r="AX228" s="40"/>
      <c r="AY228" s="5"/>
      <c r="BA228" s="40"/>
      <c r="BB228" s="5"/>
      <c r="BD228" s="40"/>
      <c r="BE228" s="5"/>
      <c r="BG228" s="40"/>
      <c r="BH228" s="5"/>
      <c r="BJ228" s="40"/>
      <c r="BK228" s="5"/>
      <c r="BM228" s="40"/>
      <c r="BN228" s="5"/>
      <c r="BP228" s="40"/>
      <c r="BQ228" s="5"/>
      <c r="BS228" s="40"/>
      <c r="BT228" s="5"/>
      <c r="BV228" s="40"/>
      <c r="BW228" s="5"/>
      <c r="BY228" s="40"/>
      <c r="BZ228" s="5"/>
      <c r="CB228" s="40"/>
      <c r="CC228" s="5"/>
      <c r="CE228" s="40"/>
      <c r="CF228" s="5"/>
      <c r="CH228" s="40"/>
      <c r="CI228" s="5"/>
      <c r="CK228" s="40"/>
      <c r="CL228" s="5"/>
      <c r="CN228" s="40"/>
      <c r="CO228" s="5"/>
      <c r="CQ228" s="40"/>
      <c r="CR228" s="5"/>
    </row>
    <row r="229">
      <c r="AO229" s="40"/>
      <c r="AP229" s="5"/>
      <c r="AR229" s="40"/>
      <c r="AS229" s="5"/>
      <c r="AU229" s="40"/>
      <c r="AV229" s="5"/>
      <c r="AX229" s="40"/>
      <c r="AY229" s="5"/>
      <c r="BA229" s="40"/>
      <c r="BB229" s="5"/>
      <c r="BD229" s="40"/>
      <c r="BE229" s="5"/>
      <c r="BG229" s="40"/>
      <c r="BH229" s="5"/>
      <c r="BJ229" s="40"/>
      <c r="BK229" s="5"/>
      <c r="BM229" s="40"/>
      <c r="BN229" s="5"/>
      <c r="BP229" s="40"/>
      <c r="BQ229" s="5"/>
      <c r="BS229" s="40"/>
      <c r="BT229" s="5"/>
      <c r="BV229" s="40"/>
      <c r="BW229" s="5"/>
      <c r="BY229" s="40"/>
      <c r="BZ229" s="5"/>
      <c r="CB229" s="40"/>
      <c r="CC229" s="5"/>
      <c r="CE229" s="40"/>
      <c r="CF229" s="5"/>
      <c r="CH229" s="40"/>
      <c r="CI229" s="5"/>
      <c r="CK229" s="40"/>
      <c r="CL229" s="5"/>
      <c r="CN229" s="40"/>
      <c r="CO229" s="5"/>
      <c r="CQ229" s="40"/>
      <c r="CR229" s="5"/>
    </row>
    <row r="230">
      <c r="AO230" s="40"/>
      <c r="AP230" s="5"/>
      <c r="AR230" s="40"/>
      <c r="AS230" s="5"/>
      <c r="AU230" s="40"/>
      <c r="AV230" s="5"/>
      <c r="AX230" s="40"/>
      <c r="AY230" s="5"/>
      <c r="BA230" s="40"/>
      <c r="BB230" s="5"/>
      <c r="BD230" s="40"/>
      <c r="BE230" s="5"/>
      <c r="BG230" s="40"/>
      <c r="BH230" s="5"/>
      <c r="BJ230" s="40"/>
      <c r="BK230" s="5"/>
      <c r="BM230" s="40"/>
      <c r="BN230" s="5"/>
      <c r="BP230" s="40"/>
      <c r="BQ230" s="5"/>
      <c r="BS230" s="40"/>
      <c r="BT230" s="5"/>
      <c r="BV230" s="40"/>
      <c r="BW230" s="5"/>
      <c r="BY230" s="40"/>
      <c r="BZ230" s="5"/>
      <c r="CB230" s="40"/>
      <c r="CC230" s="5"/>
      <c r="CE230" s="40"/>
      <c r="CF230" s="5"/>
      <c r="CH230" s="40"/>
      <c r="CI230" s="5"/>
      <c r="CK230" s="40"/>
      <c r="CL230" s="5"/>
      <c r="CN230" s="40"/>
      <c r="CO230" s="5"/>
      <c r="CQ230" s="40"/>
      <c r="CR230" s="5"/>
    </row>
    <row r="231">
      <c r="AO231" s="40"/>
      <c r="AP231" s="5"/>
      <c r="AR231" s="40"/>
      <c r="AS231" s="5"/>
      <c r="AU231" s="40"/>
      <c r="AV231" s="5"/>
      <c r="AX231" s="40"/>
      <c r="AY231" s="5"/>
      <c r="BA231" s="40"/>
      <c r="BB231" s="5"/>
      <c r="BD231" s="40"/>
      <c r="BE231" s="5"/>
      <c r="BG231" s="40"/>
      <c r="BH231" s="5"/>
      <c r="BJ231" s="40"/>
      <c r="BK231" s="5"/>
      <c r="BM231" s="40"/>
      <c r="BN231" s="5"/>
      <c r="BP231" s="40"/>
      <c r="BQ231" s="5"/>
      <c r="BS231" s="40"/>
      <c r="BT231" s="5"/>
      <c r="BV231" s="40"/>
      <c r="BW231" s="5"/>
      <c r="BY231" s="40"/>
      <c r="BZ231" s="5"/>
      <c r="CB231" s="40"/>
      <c r="CC231" s="5"/>
      <c r="CE231" s="40"/>
      <c r="CF231" s="5"/>
      <c r="CH231" s="40"/>
      <c r="CI231" s="5"/>
      <c r="CK231" s="40"/>
      <c r="CL231" s="5"/>
      <c r="CN231" s="40"/>
      <c r="CO231" s="5"/>
      <c r="CQ231" s="40"/>
      <c r="CR231" s="5"/>
    </row>
    <row r="232">
      <c r="AO232" s="40"/>
      <c r="AP232" s="5"/>
      <c r="AR232" s="40"/>
      <c r="AS232" s="5"/>
      <c r="AU232" s="40"/>
      <c r="AV232" s="5"/>
      <c r="AX232" s="40"/>
      <c r="AY232" s="5"/>
      <c r="BA232" s="40"/>
      <c r="BB232" s="5"/>
      <c r="BD232" s="40"/>
      <c r="BE232" s="5"/>
      <c r="BG232" s="40"/>
      <c r="BH232" s="5"/>
      <c r="BJ232" s="40"/>
      <c r="BK232" s="5"/>
      <c r="BM232" s="40"/>
      <c r="BN232" s="5"/>
      <c r="BP232" s="40"/>
      <c r="BQ232" s="5"/>
      <c r="BS232" s="40"/>
      <c r="BT232" s="5"/>
      <c r="BV232" s="40"/>
      <c r="BW232" s="5"/>
      <c r="BY232" s="40"/>
      <c r="BZ232" s="5"/>
      <c r="CB232" s="40"/>
      <c r="CC232" s="5"/>
      <c r="CE232" s="40"/>
      <c r="CF232" s="5"/>
      <c r="CH232" s="40"/>
      <c r="CI232" s="5"/>
      <c r="CK232" s="40"/>
      <c r="CL232" s="5"/>
      <c r="CN232" s="40"/>
      <c r="CO232" s="5"/>
      <c r="CQ232" s="40"/>
      <c r="CR232" s="5"/>
    </row>
    <row r="233">
      <c r="AO233" s="40"/>
      <c r="AP233" s="5"/>
      <c r="AR233" s="40"/>
      <c r="AS233" s="5"/>
      <c r="AU233" s="40"/>
      <c r="AV233" s="5"/>
      <c r="AX233" s="40"/>
      <c r="AY233" s="5"/>
      <c r="BA233" s="40"/>
      <c r="BB233" s="5"/>
      <c r="BD233" s="40"/>
      <c r="BE233" s="5"/>
      <c r="BG233" s="40"/>
      <c r="BH233" s="5"/>
      <c r="BJ233" s="40"/>
      <c r="BK233" s="5"/>
      <c r="BM233" s="40"/>
      <c r="BN233" s="5"/>
      <c r="BP233" s="40"/>
      <c r="BQ233" s="5"/>
      <c r="BS233" s="40"/>
      <c r="BT233" s="5"/>
      <c r="BV233" s="40"/>
      <c r="BW233" s="5"/>
      <c r="BY233" s="40"/>
      <c r="BZ233" s="5"/>
      <c r="CB233" s="40"/>
      <c r="CC233" s="5"/>
      <c r="CE233" s="40"/>
      <c r="CF233" s="5"/>
      <c r="CH233" s="40"/>
      <c r="CI233" s="5"/>
      <c r="CK233" s="40"/>
      <c r="CL233" s="5"/>
      <c r="CN233" s="40"/>
      <c r="CO233" s="5"/>
      <c r="CQ233" s="40"/>
      <c r="CR233" s="5"/>
    </row>
    <row r="234">
      <c r="AO234" s="40"/>
      <c r="AP234" s="5"/>
      <c r="AR234" s="40"/>
      <c r="AS234" s="5"/>
      <c r="AU234" s="40"/>
      <c r="AV234" s="5"/>
      <c r="AX234" s="40"/>
      <c r="AY234" s="5"/>
      <c r="BA234" s="40"/>
      <c r="BB234" s="5"/>
      <c r="BD234" s="40"/>
      <c r="BE234" s="5"/>
      <c r="BG234" s="40"/>
      <c r="BH234" s="5"/>
      <c r="BJ234" s="40"/>
      <c r="BK234" s="5"/>
      <c r="BM234" s="40"/>
      <c r="BN234" s="5"/>
      <c r="BP234" s="40"/>
      <c r="BQ234" s="5"/>
      <c r="BS234" s="40"/>
      <c r="BT234" s="5"/>
      <c r="BV234" s="40"/>
      <c r="BW234" s="5"/>
      <c r="BY234" s="40"/>
      <c r="BZ234" s="5"/>
      <c r="CB234" s="40"/>
      <c r="CC234" s="5"/>
      <c r="CE234" s="40"/>
      <c r="CF234" s="5"/>
      <c r="CH234" s="40"/>
      <c r="CI234" s="5"/>
      <c r="CK234" s="40"/>
      <c r="CL234" s="5"/>
      <c r="CN234" s="40"/>
      <c r="CO234" s="5"/>
      <c r="CQ234" s="40"/>
      <c r="CR234" s="5"/>
    </row>
    <row r="235">
      <c r="AO235" s="40"/>
      <c r="AP235" s="5"/>
      <c r="AR235" s="40"/>
      <c r="AS235" s="5"/>
      <c r="AU235" s="40"/>
      <c r="AV235" s="5"/>
      <c r="AX235" s="40"/>
      <c r="AY235" s="5"/>
      <c r="BA235" s="40"/>
      <c r="BB235" s="5"/>
      <c r="BD235" s="40"/>
      <c r="BE235" s="5"/>
      <c r="BG235" s="40"/>
      <c r="BH235" s="5"/>
      <c r="BJ235" s="40"/>
      <c r="BK235" s="5"/>
      <c r="BM235" s="40"/>
      <c r="BN235" s="5"/>
      <c r="BP235" s="40"/>
      <c r="BQ235" s="5"/>
      <c r="BS235" s="40"/>
      <c r="BT235" s="5"/>
      <c r="BV235" s="40"/>
      <c r="BW235" s="5"/>
      <c r="BY235" s="40"/>
      <c r="BZ235" s="5"/>
      <c r="CB235" s="40"/>
      <c r="CC235" s="5"/>
      <c r="CE235" s="40"/>
      <c r="CF235" s="5"/>
      <c r="CH235" s="40"/>
      <c r="CI235" s="5"/>
      <c r="CK235" s="40"/>
      <c r="CL235" s="5"/>
      <c r="CN235" s="40"/>
      <c r="CO235" s="5"/>
      <c r="CQ235" s="40"/>
      <c r="CR235" s="5"/>
    </row>
    <row r="236">
      <c r="AO236" s="40"/>
      <c r="AP236" s="5"/>
      <c r="AR236" s="40"/>
      <c r="AS236" s="5"/>
      <c r="AU236" s="40"/>
      <c r="AV236" s="5"/>
      <c r="AX236" s="40"/>
      <c r="AY236" s="5"/>
      <c r="BA236" s="40"/>
      <c r="BB236" s="5"/>
      <c r="BD236" s="40"/>
      <c r="BE236" s="5"/>
      <c r="BG236" s="40"/>
      <c r="BH236" s="5"/>
      <c r="BJ236" s="40"/>
      <c r="BK236" s="5"/>
      <c r="BM236" s="40"/>
      <c r="BN236" s="5"/>
      <c r="BP236" s="40"/>
      <c r="BQ236" s="5"/>
      <c r="BS236" s="40"/>
      <c r="BT236" s="5"/>
      <c r="BV236" s="40"/>
      <c r="BW236" s="5"/>
      <c r="BY236" s="40"/>
      <c r="BZ236" s="5"/>
      <c r="CB236" s="40"/>
      <c r="CC236" s="5"/>
      <c r="CE236" s="40"/>
      <c r="CF236" s="5"/>
      <c r="CH236" s="40"/>
      <c r="CI236" s="5"/>
      <c r="CK236" s="40"/>
      <c r="CL236" s="5"/>
      <c r="CN236" s="40"/>
      <c r="CO236" s="5"/>
      <c r="CQ236" s="40"/>
      <c r="CR236" s="5"/>
    </row>
    <row r="237">
      <c r="AO237" s="40"/>
      <c r="AP237" s="5"/>
      <c r="AR237" s="40"/>
      <c r="AS237" s="5"/>
      <c r="AU237" s="40"/>
      <c r="AV237" s="5"/>
      <c r="AX237" s="40"/>
      <c r="AY237" s="5"/>
      <c r="BA237" s="40"/>
      <c r="BB237" s="5"/>
      <c r="BD237" s="40"/>
      <c r="BE237" s="5"/>
      <c r="BG237" s="40"/>
      <c r="BH237" s="5"/>
      <c r="BJ237" s="40"/>
      <c r="BK237" s="5"/>
      <c r="BM237" s="40"/>
      <c r="BN237" s="5"/>
      <c r="BP237" s="40"/>
      <c r="BQ237" s="5"/>
      <c r="BS237" s="40"/>
      <c r="BT237" s="5"/>
      <c r="BV237" s="40"/>
      <c r="BW237" s="5"/>
      <c r="BY237" s="40"/>
      <c r="BZ237" s="5"/>
      <c r="CB237" s="40"/>
      <c r="CC237" s="5"/>
      <c r="CE237" s="40"/>
      <c r="CF237" s="5"/>
      <c r="CH237" s="40"/>
      <c r="CI237" s="5"/>
      <c r="CK237" s="40"/>
      <c r="CL237" s="5"/>
      <c r="CN237" s="40"/>
      <c r="CO237" s="5"/>
      <c r="CQ237" s="40"/>
      <c r="CR237" s="5"/>
    </row>
    <row r="238">
      <c r="AO238" s="40"/>
      <c r="AP238" s="5"/>
      <c r="AR238" s="40"/>
      <c r="AS238" s="5"/>
      <c r="AU238" s="40"/>
      <c r="AV238" s="5"/>
      <c r="AX238" s="40"/>
      <c r="AY238" s="5"/>
      <c r="BA238" s="40"/>
      <c r="BB238" s="5"/>
      <c r="BD238" s="40"/>
      <c r="BE238" s="5"/>
      <c r="BG238" s="40"/>
      <c r="BH238" s="5"/>
      <c r="BJ238" s="40"/>
      <c r="BK238" s="5"/>
      <c r="BM238" s="40"/>
      <c r="BN238" s="5"/>
      <c r="BP238" s="40"/>
      <c r="BQ238" s="5"/>
      <c r="BS238" s="40"/>
      <c r="BT238" s="5"/>
      <c r="BV238" s="40"/>
      <c r="BW238" s="5"/>
      <c r="BY238" s="40"/>
      <c r="BZ238" s="5"/>
      <c r="CB238" s="40"/>
      <c r="CC238" s="5"/>
      <c r="CE238" s="40"/>
      <c r="CF238" s="5"/>
      <c r="CH238" s="40"/>
      <c r="CI238" s="5"/>
      <c r="CK238" s="40"/>
      <c r="CL238" s="5"/>
      <c r="CN238" s="40"/>
      <c r="CO238" s="5"/>
      <c r="CQ238" s="40"/>
      <c r="CR238" s="5"/>
    </row>
    <row r="239">
      <c r="AO239" s="40"/>
      <c r="AP239" s="5"/>
      <c r="AR239" s="40"/>
      <c r="AS239" s="5"/>
      <c r="AU239" s="40"/>
      <c r="AV239" s="5"/>
      <c r="AX239" s="40"/>
      <c r="AY239" s="5"/>
      <c r="BA239" s="40"/>
      <c r="BB239" s="5"/>
      <c r="BD239" s="40"/>
      <c r="BE239" s="5"/>
      <c r="BG239" s="40"/>
      <c r="BH239" s="5"/>
      <c r="BJ239" s="40"/>
      <c r="BK239" s="5"/>
      <c r="BM239" s="40"/>
      <c r="BN239" s="5"/>
      <c r="BP239" s="40"/>
      <c r="BQ239" s="5"/>
      <c r="BS239" s="40"/>
      <c r="BT239" s="5"/>
      <c r="BV239" s="40"/>
      <c r="BW239" s="5"/>
      <c r="BY239" s="40"/>
      <c r="BZ239" s="5"/>
      <c r="CB239" s="40"/>
      <c r="CC239" s="5"/>
      <c r="CE239" s="40"/>
      <c r="CF239" s="5"/>
      <c r="CH239" s="40"/>
      <c r="CI239" s="5"/>
      <c r="CK239" s="40"/>
      <c r="CL239" s="5"/>
      <c r="CN239" s="40"/>
      <c r="CO239" s="5"/>
      <c r="CQ239" s="40"/>
      <c r="CR239" s="5"/>
    </row>
    <row r="240">
      <c r="AO240" s="40"/>
      <c r="AP240" s="5"/>
      <c r="AR240" s="40"/>
      <c r="AS240" s="5"/>
      <c r="AU240" s="40"/>
      <c r="AV240" s="5"/>
      <c r="AX240" s="40"/>
      <c r="AY240" s="5"/>
      <c r="BA240" s="40"/>
      <c r="BB240" s="5"/>
      <c r="BD240" s="40"/>
      <c r="BE240" s="5"/>
      <c r="BG240" s="40"/>
      <c r="BH240" s="5"/>
      <c r="BJ240" s="40"/>
      <c r="BK240" s="5"/>
      <c r="BM240" s="40"/>
      <c r="BN240" s="5"/>
      <c r="BP240" s="40"/>
      <c r="BQ240" s="5"/>
      <c r="BS240" s="40"/>
      <c r="BT240" s="5"/>
      <c r="BV240" s="40"/>
      <c r="BW240" s="5"/>
      <c r="BY240" s="40"/>
      <c r="BZ240" s="5"/>
      <c r="CB240" s="40"/>
      <c r="CC240" s="5"/>
      <c r="CE240" s="40"/>
      <c r="CF240" s="5"/>
      <c r="CH240" s="40"/>
      <c r="CI240" s="5"/>
      <c r="CK240" s="40"/>
      <c r="CL240" s="5"/>
      <c r="CN240" s="40"/>
      <c r="CO240" s="5"/>
      <c r="CQ240" s="40"/>
      <c r="CR240" s="5"/>
    </row>
    <row r="241">
      <c r="AO241" s="40"/>
      <c r="AP241" s="5"/>
      <c r="AR241" s="40"/>
      <c r="AS241" s="5"/>
      <c r="AU241" s="40"/>
      <c r="AV241" s="5"/>
      <c r="AX241" s="40"/>
      <c r="AY241" s="5"/>
      <c r="BA241" s="40"/>
      <c r="BB241" s="5"/>
      <c r="BD241" s="40"/>
      <c r="BE241" s="5"/>
      <c r="BG241" s="40"/>
      <c r="BH241" s="5"/>
      <c r="BJ241" s="40"/>
      <c r="BK241" s="5"/>
      <c r="BM241" s="40"/>
      <c r="BN241" s="5"/>
      <c r="BP241" s="40"/>
      <c r="BQ241" s="5"/>
      <c r="BS241" s="40"/>
      <c r="BT241" s="5"/>
      <c r="BV241" s="40"/>
      <c r="BW241" s="5"/>
      <c r="BY241" s="40"/>
      <c r="BZ241" s="5"/>
      <c r="CB241" s="40"/>
      <c r="CC241" s="5"/>
      <c r="CE241" s="40"/>
      <c r="CF241" s="5"/>
      <c r="CH241" s="40"/>
      <c r="CI241" s="5"/>
      <c r="CK241" s="40"/>
      <c r="CL241" s="5"/>
      <c r="CN241" s="40"/>
      <c r="CO241" s="5"/>
      <c r="CQ241" s="40"/>
      <c r="CR241" s="5"/>
    </row>
    <row r="242">
      <c r="AO242" s="40"/>
      <c r="AP242" s="5"/>
      <c r="AR242" s="40"/>
      <c r="AS242" s="5"/>
      <c r="AU242" s="40"/>
      <c r="AV242" s="5"/>
      <c r="AX242" s="40"/>
      <c r="AY242" s="5"/>
      <c r="BA242" s="40"/>
      <c r="BB242" s="5"/>
      <c r="BD242" s="40"/>
      <c r="BE242" s="5"/>
      <c r="BG242" s="40"/>
      <c r="BH242" s="5"/>
      <c r="BJ242" s="40"/>
      <c r="BK242" s="5"/>
      <c r="BM242" s="40"/>
      <c r="BN242" s="5"/>
      <c r="BP242" s="40"/>
      <c r="BQ242" s="5"/>
      <c r="BS242" s="40"/>
      <c r="BT242" s="5"/>
      <c r="BV242" s="40"/>
      <c r="BW242" s="5"/>
      <c r="BY242" s="40"/>
      <c r="BZ242" s="5"/>
      <c r="CB242" s="40"/>
      <c r="CC242" s="5"/>
      <c r="CE242" s="40"/>
      <c r="CF242" s="5"/>
      <c r="CH242" s="40"/>
      <c r="CI242" s="5"/>
      <c r="CK242" s="40"/>
      <c r="CL242" s="5"/>
      <c r="CN242" s="40"/>
      <c r="CO242" s="5"/>
      <c r="CQ242" s="40"/>
      <c r="CR242" s="5"/>
    </row>
    <row r="243">
      <c r="AO243" s="40"/>
      <c r="AP243" s="5"/>
      <c r="AR243" s="40"/>
      <c r="AS243" s="5"/>
      <c r="AU243" s="40"/>
      <c r="AV243" s="5"/>
      <c r="AX243" s="40"/>
      <c r="AY243" s="5"/>
      <c r="BA243" s="40"/>
      <c r="BB243" s="5"/>
      <c r="BD243" s="40"/>
      <c r="BE243" s="5"/>
      <c r="BG243" s="40"/>
      <c r="BH243" s="5"/>
      <c r="BJ243" s="40"/>
      <c r="BK243" s="5"/>
      <c r="BM243" s="40"/>
      <c r="BN243" s="5"/>
      <c r="BP243" s="40"/>
      <c r="BQ243" s="5"/>
      <c r="BS243" s="40"/>
      <c r="BT243" s="5"/>
      <c r="BV243" s="40"/>
      <c r="BW243" s="5"/>
      <c r="BY243" s="40"/>
      <c r="BZ243" s="5"/>
      <c r="CB243" s="40"/>
      <c r="CC243" s="5"/>
      <c r="CE243" s="40"/>
      <c r="CF243" s="5"/>
      <c r="CH243" s="40"/>
      <c r="CI243" s="5"/>
      <c r="CK243" s="40"/>
      <c r="CL243" s="5"/>
      <c r="CN243" s="40"/>
      <c r="CO243" s="5"/>
      <c r="CQ243" s="40"/>
      <c r="CR243" s="5"/>
    </row>
    <row r="244">
      <c r="AO244" s="40"/>
      <c r="AP244" s="5"/>
      <c r="AR244" s="40"/>
      <c r="AS244" s="5"/>
      <c r="AU244" s="40"/>
      <c r="AV244" s="5"/>
      <c r="AX244" s="40"/>
      <c r="AY244" s="5"/>
      <c r="BA244" s="40"/>
      <c r="BB244" s="5"/>
      <c r="BD244" s="40"/>
      <c r="BE244" s="5"/>
      <c r="BG244" s="40"/>
      <c r="BH244" s="5"/>
      <c r="BJ244" s="40"/>
      <c r="BK244" s="5"/>
      <c r="BM244" s="40"/>
      <c r="BN244" s="5"/>
      <c r="BP244" s="40"/>
      <c r="BQ244" s="5"/>
      <c r="BS244" s="40"/>
      <c r="BT244" s="5"/>
      <c r="BV244" s="40"/>
      <c r="BW244" s="5"/>
      <c r="BY244" s="40"/>
      <c r="BZ244" s="5"/>
      <c r="CB244" s="40"/>
      <c r="CC244" s="5"/>
      <c r="CE244" s="40"/>
      <c r="CF244" s="5"/>
      <c r="CH244" s="40"/>
      <c r="CI244" s="5"/>
      <c r="CK244" s="40"/>
      <c r="CL244" s="5"/>
      <c r="CN244" s="40"/>
      <c r="CO244" s="5"/>
      <c r="CQ244" s="40"/>
      <c r="CR244" s="5"/>
    </row>
    <row r="245">
      <c r="AO245" s="40"/>
      <c r="AP245" s="5"/>
      <c r="AR245" s="40"/>
      <c r="AS245" s="5"/>
      <c r="AU245" s="40"/>
      <c r="AV245" s="5"/>
      <c r="AX245" s="40"/>
      <c r="AY245" s="5"/>
      <c r="BA245" s="40"/>
      <c r="BB245" s="5"/>
      <c r="BD245" s="40"/>
      <c r="BE245" s="5"/>
      <c r="BG245" s="40"/>
      <c r="BH245" s="5"/>
      <c r="BJ245" s="40"/>
      <c r="BK245" s="5"/>
      <c r="BM245" s="40"/>
      <c r="BN245" s="5"/>
      <c r="BP245" s="40"/>
      <c r="BQ245" s="5"/>
      <c r="BS245" s="40"/>
      <c r="BT245" s="5"/>
      <c r="BV245" s="40"/>
      <c r="BW245" s="5"/>
      <c r="BY245" s="40"/>
      <c r="BZ245" s="5"/>
      <c r="CB245" s="40"/>
      <c r="CC245" s="5"/>
      <c r="CE245" s="40"/>
      <c r="CF245" s="5"/>
      <c r="CH245" s="40"/>
      <c r="CI245" s="5"/>
      <c r="CK245" s="40"/>
      <c r="CL245" s="5"/>
      <c r="CN245" s="40"/>
      <c r="CO245" s="5"/>
      <c r="CQ245" s="40"/>
      <c r="CR245" s="5"/>
    </row>
    <row r="246">
      <c r="AO246" s="40"/>
      <c r="AP246" s="5"/>
      <c r="AR246" s="40"/>
      <c r="AS246" s="5"/>
      <c r="AU246" s="40"/>
      <c r="AV246" s="5"/>
      <c r="AX246" s="40"/>
      <c r="AY246" s="5"/>
      <c r="BA246" s="40"/>
      <c r="BB246" s="5"/>
      <c r="BD246" s="40"/>
      <c r="BE246" s="5"/>
      <c r="BG246" s="40"/>
      <c r="BH246" s="5"/>
      <c r="BJ246" s="40"/>
      <c r="BK246" s="5"/>
      <c r="BM246" s="40"/>
      <c r="BN246" s="5"/>
      <c r="BP246" s="40"/>
      <c r="BQ246" s="5"/>
      <c r="BS246" s="40"/>
      <c r="BT246" s="5"/>
      <c r="BV246" s="40"/>
      <c r="BW246" s="5"/>
      <c r="BY246" s="40"/>
      <c r="BZ246" s="5"/>
      <c r="CB246" s="40"/>
      <c r="CC246" s="5"/>
      <c r="CE246" s="40"/>
      <c r="CF246" s="5"/>
      <c r="CH246" s="40"/>
      <c r="CI246" s="5"/>
      <c r="CK246" s="40"/>
      <c r="CL246" s="5"/>
      <c r="CN246" s="40"/>
      <c r="CO246" s="5"/>
      <c r="CQ246" s="40"/>
      <c r="CR246" s="5"/>
    </row>
    <row r="247">
      <c r="AO247" s="40"/>
      <c r="AP247" s="5"/>
      <c r="AR247" s="40"/>
      <c r="AS247" s="5"/>
      <c r="AU247" s="40"/>
      <c r="AV247" s="5"/>
      <c r="AX247" s="40"/>
      <c r="AY247" s="5"/>
      <c r="BA247" s="40"/>
      <c r="BB247" s="5"/>
      <c r="BD247" s="40"/>
      <c r="BE247" s="5"/>
      <c r="BG247" s="40"/>
      <c r="BH247" s="5"/>
      <c r="BJ247" s="40"/>
      <c r="BK247" s="5"/>
      <c r="BM247" s="40"/>
      <c r="BN247" s="5"/>
      <c r="BP247" s="40"/>
      <c r="BQ247" s="5"/>
      <c r="BS247" s="40"/>
      <c r="BT247" s="5"/>
      <c r="BV247" s="40"/>
      <c r="BW247" s="5"/>
      <c r="BY247" s="40"/>
      <c r="BZ247" s="5"/>
      <c r="CB247" s="40"/>
      <c r="CC247" s="5"/>
      <c r="CE247" s="40"/>
      <c r="CF247" s="5"/>
      <c r="CH247" s="40"/>
      <c r="CI247" s="5"/>
      <c r="CK247" s="40"/>
      <c r="CL247" s="5"/>
      <c r="CN247" s="40"/>
      <c r="CO247" s="5"/>
      <c r="CQ247" s="40"/>
      <c r="CR247" s="5"/>
    </row>
    <row r="248">
      <c r="AO248" s="40"/>
      <c r="AP248" s="5"/>
      <c r="AR248" s="40"/>
      <c r="AS248" s="5"/>
      <c r="AU248" s="40"/>
      <c r="AV248" s="5"/>
      <c r="AX248" s="40"/>
      <c r="AY248" s="5"/>
      <c r="BA248" s="40"/>
      <c r="BB248" s="5"/>
      <c r="BD248" s="40"/>
      <c r="BE248" s="5"/>
      <c r="BG248" s="40"/>
      <c r="BH248" s="5"/>
      <c r="BJ248" s="40"/>
      <c r="BK248" s="5"/>
      <c r="BM248" s="40"/>
      <c r="BN248" s="5"/>
      <c r="BP248" s="40"/>
      <c r="BQ248" s="5"/>
      <c r="BS248" s="40"/>
      <c r="BT248" s="5"/>
      <c r="BV248" s="40"/>
      <c r="BW248" s="5"/>
      <c r="BY248" s="40"/>
      <c r="BZ248" s="5"/>
      <c r="CB248" s="40"/>
      <c r="CC248" s="5"/>
      <c r="CE248" s="40"/>
      <c r="CF248" s="5"/>
      <c r="CH248" s="40"/>
      <c r="CI248" s="5"/>
      <c r="CK248" s="40"/>
      <c r="CL248" s="5"/>
      <c r="CN248" s="40"/>
      <c r="CO248" s="5"/>
      <c r="CQ248" s="40"/>
      <c r="CR248" s="5"/>
    </row>
    <row r="249">
      <c r="AO249" s="40"/>
      <c r="AP249" s="5"/>
      <c r="AR249" s="40"/>
      <c r="AS249" s="5"/>
      <c r="AU249" s="40"/>
      <c r="AV249" s="5"/>
      <c r="AX249" s="40"/>
      <c r="AY249" s="5"/>
      <c r="BA249" s="40"/>
      <c r="BB249" s="5"/>
      <c r="BD249" s="40"/>
      <c r="BE249" s="5"/>
      <c r="BG249" s="40"/>
      <c r="BH249" s="5"/>
      <c r="BJ249" s="40"/>
      <c r="BK249" s="5"/>
      <c r="BM249" s="40"/>
      <c r="BN249" s="5"/>
      <c r="BP249" s="40"/>
      <c r="BQ249" s="5"/>
      <c r="BS249" s="40"/>
      <c r="BT249" s="5"/>
      <c r="BV249" s="40"/>
      <c r="BW249" s="5"/>
      <c r="BY249" s="40"/>
      <c r="BZ249" s="5"/>
      <c r="CB249" s="40"/>
      <c r="CC249" s="5"/>
      <c r="CE249" s="40"/>
      <c r="CF249" s="5"/>
      <c r="CH249" s="40"/>
      <c r="CI249" s="5"/>
      <c r="CK249" s="40"/>
      <c r="CL249" s="5"/>
      <c r="CN249" s="40"/>
      <c r="CO249" s="5"/>
      <c r="CQ249" s="40"/>
      <c r="CR249" s="5"/>
    </row>
    <row r="250">
      <c r="AO250" s="40"/>
      <c r="AP250" s="5"/>
      <c r="AR250" s="40"/>
      <c r="AS250" s="5"/>
      <c r="AU250" s="40"/>
      <c r="AV250" s="5"/>
      <c r="AX250" s="40"/>
      <c r="AY250" s="5"/>
      <c r="BA250" s="40"/>
      <c r="BB250" s="5"/>
      <c r="BD250" s="40"/>
      <c r="BE250" s="5"/>
      <c r="BG250" s="40"/>
      <c r="BH250" s="5"/>
      <c r="BJ250" s="40"/>
      <c r="BK250" s="5"/>
      <c r="BM250" s="40"/>
      <c r="BN250" s="5"/>
      <c r="BP250" s="40"/>
      <c r="BQ250" s="5"/>
      <c r="BS250" s="40"/>
      <c r="BT250" s="5"/>
      <c r="BV250" s="40"/>
      <c r="BW250" s="5"/>
      <c r="BY250" s="40"/>
      <c r="BZ250" s="5"/>
      <c r="CB250" s="40"/>
      <c r="CC250" s="5"/>
      <c r="CE250" s="40"/>
      <c r="CF250" s="5"/>
      <c r="CH250" s="40"/>
      <c r="CI250" s="5"/>
      <c r="CK250" s="40"/>
      <c r="CL250" s="5"/>
      <c r="CN250" s="40"/>
      <c r="CO250" s="5"/>
      <c r="CQ250" s="40"/>
      <c r="CR250" s="5"/>
    </row>
    <row r="251">
      <c r="AO251" s="40"/>
      <c r="AP251" s="5"/>
      <c r="AR251" s="40"/>
      <c r="AS251" s="5"/>
      <c r="AU251" s="40"/>
      <c r="AV251" s="5"/>
      <c r="AX251" s="40"/>
      <c r="AY251" s="5"/>
      <c r="BA251" s="40"/>
      <c r="BB251" s="5"/>
      <c r="BD251" s="40"/>
      <c r="BE251" s="5"/>
      <c r="BG251" s="40"/>
      <c r="BH251" s="5"/>
      <c r="BJ251" s="40"/>
      <c r="BK251" s="5"/>
      <c r="BM251" s="40"/>
      <c r="BN251" s="5"/>
      <c r="BP251" s="40"/>
      <c r="BQ251" s="5"/>
      <c r="BS251" s="40"/>
      <c r="BT251" s="5"/>
      <c r="BV251" s="40"/>
      <c r="BW251" s="5"/>
      <c r="BY251" s="40"/>
      <c r="BZ251" s="5"/>
      <c r="CB251" s="40"/>
      <c r="CC251" s="5"/>
      <c r="CE251" s="40"/>
      <c r="CF251" s="5"/>
      <c r="CH251" s="40"/>
      <c r="CI251" s="5"/>
      <c r="CK251" s="40"/>
      <c r="CL251" s="5"/>
      <c r="CN251" s="40"/>
      <c r="CO251" s="5"/>
      <c r="CQ251" s="40"/>
      <c r="CR251" s="5"/>
    </row>
    <row r="252">
      <c r="AO252" s="40"/>
      <c r="AP252" s="5"/>
      <c r="AR252" s="40"/>
      <c r="AS252" s="5"/>
      <c r="AU252" s="40"/>
      <c r="AV252" s="5"/>
      <c r="AX252" s="40"/>
      <c r="AY252" s="5"/>
      <c r="BA252" s="40"/>
      <c r="BB252" s="5"/>
      <c r="BD252" s="40"/>
      <c r="BE252" s="5"/>
      <c r="BG252" s="40"/>
      <c r="BH252" s="5"/>
      <c r="BJ252" s="40"/>
      <c r="BK252" s="5"/>
      <c r="BM252" s="40"/>
      <c r="BN252" s="5"/>
      <c r="BP252" s="40"/>
      <c r="BQ252" s="5"/>
      <c r="BS252" s="40"/>
      <c r="BT252" s="5"/>
      <c r="BV252" s="40"/>
      <c r="BW252" s="5"/>
      <c r="BY252" s="40"/>
      <c r="BZ252" s="5"/>
      <c r="CB252" s="40"/>
      <c r="CC252" s="5"/>
      <c r="CE252" s="40"/>
      <c r="CF252" s="5"/>
      <c r="CH252" s="40"/>
      <c r="CI252" s="5"/>
      <c r="CK252" s="40"/>
      <c r="CL252" s="5"/>
      <c r="CN252" s="40"/>
      <c r="CO252" s="5"/>
      <c r="CQ252" s="40"/>
      <c r="CR252" s="5"/>
    </row>
    <row r="253">
      <c r="AO253" s="40"/>
      <c r="AP253" s="5"/>
      <c r="AR253" s="40"/>
      <c r="AS253" s="5"/>
      <c r="AU253" s="40"/>
      <c r="AV253" s="5"/>
      <c r="AX253" s="40"/>
      <c r="AY253" s="5"/>
      <c r="BA253" s="40"/>
      <c r="BB253" s="5"/>
      <c r="BD253" s="40"/>
      <c r="BE253" s="5"/>
      <c r="BG253" s="40"/>
      <c r="BH253" s="5"/>
      <c r="BJ253" s="40"/>
      <c r="BK253" s="5"/>
      <c r="BM253" s="40"/>
      <c r="BN253" s="5"/>
      <c r="BP253" s="40"/>
      <c r="BQ253" s="5"/>
      <c r="BS253" s="40"/>
      <c r="BT253" s="5"/>
      <c r="BV253" s="40"/>
      <c r="BW253" s="5"/>
      <c r="BY253" s="40"/>
      <c r="BZ253" s="5"/>
      <c r="CB253" s="40"/>
      <c r="CC253" s="5"/>
      <c r="CE253" s="40"/>
      <c r="CF253" s="5"/>
      <c r="CH253" s="40"/>
      <c r="CI253" s="5"/>
      <c r="CK253" s="40"/>
      <c r="CL253" s="5"/>
      <c r="CN253" s="40"/>
      <c r="CO253" s="5"/>
      <c r="CQ253" s="40"/>
      <c r="CR253" s="5"/>
    </row>
    <row r="254">
      <c r="AO254" s="40"/>
      <c r="AP254" s="5"/>
      <c r="AR254" s="40"/>
      <c r="AS254" s="5"/>
      <c r="AU254" s="40"/>
      <c r="AV254" s="5"/>
      <c r="AX254" s="40"/>
      <c r="AY254" s="5"/>
      <c r="BA254" s="40"/>
      <c r="BB254" s="5"/>
      <c r="BD254" s="40"/>
      <c r="BE254" s="5"/>
      <c r="BG254" s="40"/>
      <c r="BH254" s="5"/>
      <c r="BJ254" s="40"/>
      <c r="BK254" s="5"/>
      <c r="BM254" s="40"/>
      <c r="BN254" s="5"/>
      <c r="BP254" s="40"/>
      <c r="BQ254" s="5"/>
      <c r="BS254" s="40"/>
      <c r="BT254" s="5"/>
      <c r="BV254" s="40"/>
      <c r="BW254" s="5"/>
      <c r="BY254" s="40"/>
      <c r="BZ254" s="5"/>
      <c r="CB254" s="40"/>
      <c r="CC254" s="5"/>
      <c r="CE254" s="40"/>
      <c r="CF254" s="5"/>
      <c r="CH254" s="40"/>
      <c r="CI254" s="5"/>
      <c r="CK254" s="40"/>
      <c r="CL254" s="5"/>
      <c r="CN254" s="40"/>
      <c r="CO254" s="5"/>
      <c r="CQ254" s="40"/>
      <c r="CR254" s="5"/>
    </row>
    <row r="255">
      <c r="AO255" s="40"/>
      <c r="AP255" s="5"/>
      <c r="AR255" s="40"/>
      <c r="AS255" s="5"/>
      <c r="AU255" s="40"/>
      <c r="AV255" s="5"/>
      <c r="AX255" s="40"/>
      <c r="AY255" s="5"/>
      <c r="BA255" s="40"/>
      <c r="BB255" s="5"/>
      <c r="BD255" s="40"/>
      <c r="BE255" s="5"/>
      <c r="BG255" s="40"/>
      <c r="BH255" s="5"/>
      <c r="BJ255" s="40"/>
      <c r="BK255" s="5"/>
      <c r="BM255" s="40"/>
      <c r="BN255" s="5"/>
      <c r="BP255" s="40"/>
      <c r="BQ255" s="5"/>
      <c r="BS255" s="40"/>
      <c r="BT255" s="5"/>
      <c r="BV255" s="40"/>
      <c r="BW255" s="5"/>
      <c r="BY255" s="40"/>
      <c r="BZ255" s="5"/>
      <c r="CB255" s="40"/>
      <c r="CC255" s="5"/>
      <c r="CE255" s="40"/>
      <c r="CF255" s="5"/>
      <c r="CH255" s="40"/>
      <c r="CI255" s="5"/>
      <c r="CK255" s="40"/>
      <c r="CL255" s="5"/>
      <c r="CN255" s="40"/>
      <c r="CO255" s="5"/>
      <c r="CQ255" s="40"/>
      <c r="CR255" s="5"/>
    </row>
    <row r="256">
      <c r="AO256" s="40"/>
      <c r="AP256" s="5"/>
      <c r="AR256" s="40"/>
      <c r="AS256" s="5"/>
      <c r="AU256" s="40"/>
      <c r="AV256" s="5"/>
      <c r="AX256" s="40"/>
      <c r="AY256" s="5"/>
      <c r="BA256" s="40"/>
      <c r="BB256" s="5"/>
      <c r="BD256" s="40"/>
      <c r="BE256" s="5"/>
      <c r="BG256" s="40"/>
      <c r="BH256" s="5"/>
      <c r="BJ256" s="40"/>
      <c r="BK256" s="5"/>
      <c r="BM256" s="40"/>
      <c r="BN256" s="5"/>
      <c r="BP256" s="40"/>
      <c r="BQ256" s="5"/>
      <c r="BS256" s="40"/>
      <c r="BT256" s="5"/>
      <c r="BV256" s="40"/>
      <c r="BW256" s="5"/>
      <c r="BY256" s="40"/>
      <c r="BZ256" s="5"/>
      <c r="CB256" s="40"/>
      <c r="CC256" s="5"/>
      <c r="CE256" s="40"/>
      <c r="CF256" s="5"/>
      <c r="CH256" s="40"/>
      <c r="CI256" s="5"/>
      <c r="CK256" s="40"/>
      <c r="CL256" s="5"/>
      <c r="CN256" s="40"/>
      <c r="CO256" s="5"/>
      <c r="CQ256" s="40"/>
      <c r="CR256" s="5"/>
    </row>
    <row r="257">
      <c r="AO257" s="40"/>
      <c r="AP257" s="5"/>
      <c r="AR257" s="40"/>
      <c r="AS257" s="5"/>
      <c r="AU257" s="40"/>
      <c r="AV257" s="5"/>
      <c r="AX257" s="40"/>
      <c r="AY257" s="5"/>
      <c r="BA257" s="40"/>
      <c r="BB257" s="5"/>
      <c r="BD257" s="40"/>
      <c r="BE257" s="5"/>
      <c r="BG257" s="40"/>
      <c r="BH257" s="5"/>
      <c r="BJ257" s="40"/>
      <c r="BK257" s="5"/>
      <c r="BM257" s="40"/>
      <c r="BN257" s="5"/>
      <c r="BP257" s="40"/>
      <c r="BQ257" s="5"/>
      <c r="BS257" s="40"/>
      <c r="BT257" s="5"/>
      <c r="BV257" s="40"/>
      <c r="BW257" s="5"/>
      <c r="BY257" s="40"/>
      <c r="BZ257" s="5"/>
      <c r="CB257" s="40"/>
      <c r="CC257" s="5"/>
      <c r="CE257" s="40"/>
      <c r="CF257" s="5"/>
      <c r="CH257" s="40"/>
      <c r="CI257" s="5"/>
      <c r="CK257" s="40"/>
      <c r="CL257" s="5"/>
      <c r="CN257" s="40"/>
      <c r="CO257" s="5"/>
      <c r="CQ257" s="40"/>
      <c r="CR257" s="5"/>
    </row>
    <row r="258">
      <c r="AO258" s="40"/>
      <c r="AP258" s="5"/>
      <c r="AR258" s="40"/>
      <c r="AS258" s="5"/>
      <c r="AU258" s="40"/>
      <c r="AV258" s="5"/>
      <c r="AX258" s="40"/>
      <c r="AY258" s="5"/>
      <c r="BA258" s="40"/>
      <c r="BB258" s="5"/>
      <c r="BD258" s="40"/>
      <c r="BE258" s="5"/>
      <c r="BG258" s="40"/>
      <c r="BH258" s="5"/>
      <c r="BJ258" s="40"/>
      <c r="BK258" s="5"/>
      <c r="BM258" s="40"/>
      <c r="BN258" s="5"/>
      <c r="BP258" s="40"/>
      <c r="BQ258" s="5"/>
      <c r="BS258" s="40"/>
      <c r="BT258" s="5"/>
      <c r="BV258" s="40"/>
      <c r="BW258" s="5"/>
      <c r="BY258" s="40"/>
      <c r="BZ258" s="5"/>
      <c r="CB258" s="40"/>
      <c r="CC258" s="5"/>
      <c r="CE258" s="40"/>
      <c r="CF258" s="5"/>
      <c r="CH258" s="40"/>
      <c r="CI258" s="5"/>
      <c r="CK258" s="40"/>
      <c r="CL258" s="5"/>
      <c r="CN258" s="40"/>
      <c r="CO258" s="5"/>
      <c r="CQ258" s="40"/>
      <c r="CR258" s="5"/>
    </row>
    <row r="259">
      <c r="AO259" s="40"/>
      <c r="AP259" s="5"/>
      <c r="AR259" s="40"/>
      <c r="AS259" s="5"/>
      <c r="AU259" s="40"/>
      <c r="AV259" s="5"/>
      <c r="AX259" s="40"/>
      <c r="AY259" s="5"/>
      <c r="BA259" s="40"/>
      <c r="BB259" s="5"/>
      <c r="BD259" s="40"/>
      <c r="BE259" s="5"/>
      <c r="BG259" s="40"/>
      <c r="BH259" s="5"/>
      <c r="BJ259" s="40"/>
      <c r="BK259" s="5"/>
      <c r="BM259" s="40"/>
      <c r="BN259" s="5"/>
      <c r="BP259" s="40"/>
      <c r="BQ259" s="5"/>
      <c r="BS259" s="40"/>
      <c r="BT259" s="5"/>
      <c r="BV259" s="40"/>
      <c r="BW259" s="5"/>
      <c r="BY259" s="40"/>
      <c r="BZ259" s="5"/>
      <c r="CB259" s="40"/>
      <c r="CC259" s="5"/>
      <c r="CE259" s="40"/>
      <c r="CF259" s="5"/>
      <c r="CH259" s="40"/>
      <c r="CI259" s="5"/>
      <c r="CK259" s="40"/>
      <c r="CL259" s="5"/>
      <c r="CN259" s="40"/>
      <c r="CO259" s="5"/>
      <c r="CQ259" s="40"/>
      <c r="CR259" s="5"/>
    </row>
    <row r="260">
      <c r="AO260" s="40"/>
      <c r="AP260" s="5"/>
      <c r="AR260" s="40"/>
      <c r="AS260" s="5"/>
      <c r="AU260" s="40"/>
      <c r="AV260" s="5"/>
      <c r="AX260" s="40"/>
      <c r="AY260" s="5"/>
      <c r="BA260" s="40"/>
      <c r="BB260" s="5"/>
      <c r="BD260" s="40"/>
      <c r="BE260" s="5"/>
      <c r="BG260" s="40"/>
      <c r="BH260" s="5"/>
      <c r="BJ260" s="40"/>
      <c r="BK260" s="5"/>
      <c r="BM260" s="40"/>
      <c r="BN260" s="5"/>
      <c r="BP260" s="40"/>
      <c r="BQ260" s="5"/>
      <c r="BS260" s="40"/>
      <c r="BT260" s="5"/>
      <c r="BV260" s="40"/>
      <c r="BW260" s="5"/>
      <c r="BY260" s="40"/>
      <c r="BZ260" s="5"/>
      <c r="CB260" s="40"/>
      <c r="CC260" s="5"/>
      <c r="CE260" s="40"/>
      <c r="CF260" s="5"/>
      <c r="CH260" s="40"/>
      <c r="CI260" s="5"/>
      <c r="CK260" s="40"/>
      <c r="CL260" s="5"/>
      <c r="CN260" s="40"/>
      <c r="CO260" s="5"/>
      <c r="CQ260" s="40"/>
      <c r="CR260" s="5"/>
    </row>
    <row r="261">
      <c r="AO261" s="40"/>
      <c r="AP261" s="5"/>
      <c r="AR261" s="40"/>
      <c r="AS261" s="5"/>
      <c r="AU261" s="40"/>
      <c r="AV261" s="5"/>
      <c r="AX261" s="40"/>
      <c r="AY261" s="5"/>
      <c r="BA261" s="40"/>
      <c r="BB261" s="5"/>
      <c r="BD261" s="40"/>
      <c r="BE261" s="5"/>
      <c r="BG261" s="40"/>
      <c r="BH261" s="5"/>
      <c r="BJ261" s="40"/>
      <c r="BK261" s="5"/>
      <c r="BM261" s="40"/>
      <c r="BN261" s="5"/>
      <c r="BP261" s="40"/>
      <c r="BQ261" s="5"/>
      <c r="BS261" s="40"/>
      <c r="BT261" s="5"/>
      <c r="BV261" s="40"/>
      <c r="BW261" s="5"/>
      <c r="BY261" s="40"/>
      <c r="BZ261" s="5"/>
      <c r="CB261" s="40"/>
      <c r="CC261" s="5"/>
      <c r="CE261" s="40"/>
      <c r="CF261" s="5"/>
      <c r="CH261" s="40"/>
      <c r="CI261" s="5"/>
      <c r="CK261" s="40"/>
      <c r="CL261" s="5"/>
      <c r="CN261" s="40"/>
      <c r="CO261" s="5"/>
      <c r="CQ261" s="40"/>
      <c r="CR261" s="5"/>
    </row>
    <row r="262">
      <c r="AO262" s="40"/>
      <c r="AP262" s="5"/>
      <c r="AR262" s="40"/>
      <c r="AS262" s="5"/>
      <c r="AU262" s="40"/>
      <c r="AV262" s="5"/>
      <c r="AX262" s="40"/>
      <c r="AY262" s="5"/>
      <c r="BA262" s="40"/>
      <c r="BB262" s="5"/>
      <c r="BD262" s="40"/>
      <c r="BE262" s="5"/>
      <c r="BG262" s="40"/>
      <c r="BH262" s="5"/>
      <c r="BJ262" s="40"/>
      <c r="BK262" s="5"/>
      <c r="BM262" s="40"/>
      <c r="BN262" s="5"/>
      <c r="BP262" s="40"/>
      <c r="BQ262" s="5"/>
      <c r="BS262" s="40"/>
      <c r="BT262" s="5"/>
      <c r="BV262" s="40"/>
      <c r="BW262" s="5"/>
      <c r="BY262" s="40"/>
      <c r="BZ262" s="5"/>
      <c r="CB262" s="40"/>
      <c r="CC262" s="5"/>
      <c r="CE262" s="40"/>
      <c r="CF262" s="5"/>
      <c r="CH262" s="40"/>
      <c r="CI262" s="5"/>
      <c r="CK262" s="40"/>
      <c r="CL262" s="5"/>
      <c r="CN262" s="40"/>
      <c r="CO262" s="5"/>
      <c r="CQ262" s="40"/>
      <c r="CR262" s="5"/>
    </row>
    <row r="263">
      <c r="AO263" s="40"/>
      <c r="AP263" s="5"/>
      <c r="AR263" s="40"/>
      <c r="AS263" s="5"/>
      <c r="AU263" s="40"/>
      <c r="AV263" s="5"/>
      <c r="AX263" s="40"/>
      <c r="AY263" s="5"/>
      <c r="BA263" s="40"/>
      <c r="BB263" s="5"/>
      <c r="BD263" s="40"/>
      <c r="BE263" s="5"/>
      <c r="BG263" s="40"/>
      <c r="BH263" s="5"/>
      <c r="BJ263" s="40"/>
      <c r="BK263" s="5"/>
      <c r="BM263" s="40"/>
      <c r="BN263" s="5"/>
      <c r="BP263" s="40"/>
      <c r="BQ263" s="5"/>
      <c r="BS263" s="40"/>
      <c r="BT263" s="5"/>
      <c r="BV263" s="40"/>
      <c r="BW263" s="5"/>
      <c r="BY263" s="40"/>
      <c r="BZ263" s="5"/>
      <c r="CB263" s="40"/>
      <c r="CC263" s="5"/>
      <c r="CE263" s="40"/>
      <c r="CF263" s="5"/>
      <c r="CH263" s="40"/>
      <c r="CI263" s="5"/>
      <c r="CK263" s="40"/>
      <c r="CL263" s="5"/>
      <c r="CN263" s="40"/>
      <c r="CO263" s="5"/>
      <c r="CQ263" s="40"/>
      <c r="CR263" s="5"/>
    </row>
    <row r="264">
      <c r="AO264" s="40"/>
      <c r="AP264" s="5"/>
      <c r="AR264" s="40"/>
      <c r="AS264" s="5"/>
      <c r="AU264" s="40"/>
      <c r="AV264" s="5"/>
      <c r="AX264" s="40"/>
      <c r="AY264" s="5"/>
      <c r="BA264" s="40"/>
      <c r="BB264" s="5"/>
      <c r="BD264" s="40"/>
      <c r="BE264" s="5"/>
      <c r="BG264" s="40"/>
      <c r="BH264" s="5"/>
      <c r="BJ264" s="40"/>
      <c r="BK264" s="5"/>
      <c r="BM264" s="40"/>
      <c r="BN264" s="5"/>
      <c r="BP264" s="40"/>
      <c r="BQ264" s="5"/>
      <c r="BS264" s="40"/>
      <c r="BT264" s="5"/>
      <c r="BV264" s="40"/>
      <c r="BW264" s="5"/>
      <c r="BY264" s="40"/>
      <c r="BZ264" s="5"/>
      <c r="CB264" s="40"/>
      <c r="CC264" s="5"/>
      <c r="CE264" s="40"/>
      <c r="CF264" s="5"/>
      <c r="CH264" s="40"/>
      <c r="CI264" s="5"/>
      <c r="CK264" s="40"/>
      <c r="CL264" s="5"/>
      <c r="CN264" s="40"/>
      <c r="CO264" s="5"/>
      <c r="CQ264" s="40"/>
      <c r="CR264" s="5"/>
    </row>
    <row r="265">
      <c r="AO265" s="40"/>
      <c r="AP265" s="5"/>
      <c r="AR265" s="40"/>
      <c r="AS265" s="5"/>
      <c r="AU265" s="40"/>
      <c r="AV265" s="5"/>
      <c r="AX265" s="40"/>
      <c r="AY265" s="5"/>
      <c r="BA265" s="40"/>
      <c r="BB265" s="5"/>
      <c r="BD265" s="40"/>
      <c r="BE265" s="5"/>
      <c r="BG265" s="40"/>
      <c r="BH265" s="5"/>
      <c r="BJ265" s="40"/>
      <c r="BK265" s="5"/>
      <c r="BM265" s="40"/>
      <c r="BN265" s="5"/>
      <c r="BP265" s="40"/>
      <c r="BQ265" s="5"/>
      <c r="BS265" s="40"/>
      <c r="BT265" s="5"/>
      <c r="BV265" s="40"/>
      <c r="BW265" s="5"/>
      <c r="BY265" s="40"/>
      <c r="BZ265" s="5"/>
      <c r="CB265" s="40"/>
      <c r="CC265" s="5"/>
      <c r="CE265" s="40"/>
      <c r="CF265" s="5"/>
      <c r="CH265" s="40"/>
      <c r="CI265" s="5"/>
      <c r="CK265" s="40"/>
      <c r="CL265" s="5"/>
      <c r="CN265" s="40"/>
      <c r="CO265" s="5"/>
      <c r="CQ265" s="40"/>
      <c r="CR265" s="5"/>
    </row>
    <row r="266">
      <c r="AO266" s="40"/>
      <c r="AP266" s="5"/>
      <c r="AR266" s="40"/>
      <c r="AS266" s="5"/>
      <c r="AU266" s="40"/>
      <c r="AV266" s="5"/>
      <c r="AX266" s="40"/>
      <c r="AY266" s="5"/>
      <c r="BA266" s="40"/>
      <c r="BB266" s="5"/>
      <c r="BD266" s="40"/>
      <c r="BE266" s="5"/>
      <c r="BG266" s="40"/>
      <c r="BH266" s="5"/>
      <c r="BJ266" s="40"/>
      <c r="BK266" s="5"/>
      <c r="BM266" s="40"/>
      <c r="BN266" s="5"/>
      <c r="BP266" s="40"/>
      <c r="BQ266" s="5"/>
      <c r="BS266" s="40"/>
      <c r="BT266" s="5"/>
      <c r="BV266" s="40"/>
      <c r="BW266" s="5"/>
      <c r="BY266" s="40"/>
      <c r="BZ266" s="5"/>
      <c r="CB266" s="40"/>
      <c r="CC266" s="5"/>
      <c r="CE266" s="40"/>
      <c r="CF266" s="5"/>
      <c r="CH266" s="40"/>
      <c r="CI266" s="5"/>
      <c r="CK266" s="40"/>
      <c r="CL266" s="5"/>
      <c r="CN266" s="40"/>
      <c r="CO266" s="5"/>
      <c r="CQ266" s="40"/>
      <c r="CR266" s="5"/>
    </row>
    <row r="267">
      <c r="AO267" s="40"/>
      <c r="AP267" s="5"/>
      <c r="AR267" s="40"/>
      <c r="AS267" s="5"/>
      <c r="AU267" s="40"/>
      <c r="AV267" s="5"/>
      <c r="AX267" s="40"/>
      <c r="AY267" s="5"/>
      <c r="BA267" s="40"/>
      <c r="BB267" s="5"/>
      <c r="BD267" s="40"/>
      <c r="BE267" s="5"/>
      <c r="BG267" s="40"/>
      <c r="BH267" s="5"/>
      <c r="BJ267" s="40"/>
      <c r="BK267" s="5"/>
      <c r="BM267" s="40"/>
      <c r="BN267" s="5"/>
      <c r="BP267" s="40"/>
      <c r="BQ267" s="5"/>
      <c r="BS267" s="40"/>
      <c r="BT267" s="5"/>
      <c r="BV267" s="40"/>
      <c r="BW267" s="5"/>
      <c r="BY267" s="40"/>
      <c r="BZ267" s="5"/>
      <c r="CB267" s="40"/>
      <c r="CC267" s="5"/>
      <c r="CE267" s="40"/>
      <c r="CF267" s="5"/>
      <c r="CH267" s="40"/>
      <c r="CI267" s="5"/>
      <c r="CK267" s="40"/>
      <c r="CL267" s="5"/>
      <c r="CN267" s="40"/>
      <c r="CO267" s="5"/>
      <c r="CQ267" s="40"/>
      <c r="CR267" s="5"/>
    </row>
    <row r="268">
      <c r="AO268" s="40"/>
      <c r="AP268" s="5"/>
      <c r="AR268" s="40"/>
      <c r="AS268" s="5"/>
      <c r="AU268" s="40"/>
      <c r="AV268" s="5"/>
      <c r="AX268" s="40"/>
      <c r="AY268" s="5"/>
      <c r="BA268" s="40"/>
      <c r="BB268" s="5"/>
      <c r="BD268" s="40"/>
      <c r="BE268" s="5"/>
      <c r="BG268" s="40"/>
      <c r="BH268" s="5"/>
      <c r="BJ268" s="40"/>
      <c r="BK268" s="5"/>
      <c r="BM268" s="40"/>
      <c r="BN268" s="5"/>
      <c r="BP268" s="40"/>
      <c r="BQ268" s="5"/>
      <c r="BS268" s="40"/>
      <c r="BT268" s="5"/>
      <c r="BV268" s="40"/>
      <c r="BW268" s="5"/>
      <c r="BY268" s="40"/>
      <c r="BZ268" s="5"/>
      <c r="CB268" s="40"/>
      <c r="CC268" s="5"/>
      <c r="CE268" s="40"/>
      <c r="CF268" s="5"/>
      <c r="CH268" s="40"/>
      <c r="CI268" s="5"/>
      <c r="CK268" s="40"/>
      <c r="CL268" s="5"/>
      <c r="CN268" s="40"/>
      <c r="CO268" s="5"/>
      <c r="CQ268" s="40"/>
      <c r="CR268" s="5"/>
    </row>
    <row r="269">
      <c r="AO269" s="40"/>
      <c r="AP269" s="5"/>
      <c r="AR269" s="40"/>
      <c r="AS269" s="5"/>
      <c r="AU269" s="40"/>
      <c r="AV269" s="5"/>
      <c r="AX269" s="40"/>
      <c r="AY269" s="5"/>
      <c r="BA269" s="40"/>
      <c r="BB269" s="5"/>
      <c r="BD269" s="40"/>
      <c r="BE269" s="5"/>
      <c r="BG269" s="40"/>
      <c r="BH269" s="5"/>
      <c r="BJ269" s="40"/>
      <c r="BK269" s="5"/>
      <c r="BM269" s="40"/>
      <c r="BN269" s="5"/>
      <c r="BP269" s="40"/>
      <c r="BQ269" s="5"/>
      <c r="BS269" s="40"/>
      <c r="BT269" s="5"/>
      <c r="BV269" s="40"/>
      <c r="BW269" s="5"/>
      <c r="BY269" s="40"/>
      <c r="BZ269" s="5"/>
      <c r="CB269" s="40"/>
      <c r="CC269" s="5"/>
      <c r="CE269" s="40"/>
      <c r="CF269" s="5"/>
      <c r="CH269" s="40"/>
      <c r="CI269" s="5"/>
      <c r="CK269" s="40"/>
      <c r="CL269" s="5"/>
      <c r="CN269" s="40"/>
      <c r="CO269" s="5"/>
      <c r="CQ269" s="40"/>
      <c r="CR269" s="5"/>
    </row>
    <row r="270">
      <c r="AO270" s="40"/>
      <c r="AP270" s="5"/>
      <c r="AR270" s="40"/>
      <c r="AS270" s="5"/>
      <c r="AU270" s="40"/>
      <c r="AV270" s="5"/>
      <c r="AX270" s="40"/>
      <c r="AY270" s="5"/>
      <c r="BA270" s="40"/>
      <c r="BB270" s="5"/>
      <c r="BD270" s="40"/>
      <c r="BE270" s="5"/>
      <c r="BG270" s="40"/>
      <c r="BH270" s="5"/>
      <c r="BJ270" s="40"/>
      <c r="BK270" s="5"/>
      <c r="BM270" s="40"/>
      <c r="BN270" s="5"/>
      <c r="BP270" s="40"/>
      <c r="BQ270" s="5"/>
      <c r="BS270" s="40"/>
      <c r="BT270" s="5"/>
      <c r="BV270" s="40"/>
      <c r="BW270" s="5"/>
      <c r="BY270" s="40"/>
      <c r="BZ270" s="5"/>
      <c r="CB270" s="40"/>
      <c r="CC270" s="5"/>
      <c r="CE270" s="40"/>
      <c r="CF270" s="5"/>
      <c r="CH270" s="40"/>
      <c r="CI270" s="5"/>
      <c r="CK270" s="40"/>
      <c r="CL270" s="5"/>
      <c r="CN270" s="40"/>
      <c r="CO270" s="5"/>
      <c r="CQ270" s="40"/>
      <c r="CR270" s="5"/>
    </row>
    <row r="271">
      <c r="AO271" s="40"/>
      <c r="AP271" s="5"/>
      <c r="AR271" s="40"/>
      <c r="AS271" s="5"/>
      <c r="AU271" s="40"/>
      <c r="AV271" s="5"/>
      <c r="AX271" s="40"/>
      <c r="AY271" s="5"/>
      <c r="BA271" s="40"/>
      <c r="BB271" s="5"/>
      <c r="BD271" s="40"/>
      <c r="BE271" s="5"/>
      <c r="BG271" s="40"/>
      <c r="BH271" s="5"/>
      <c r="BJ271" s="40"/>
      <c r="BK271" s="5"/>
      <c r="BM271" s="40"/>
      <c r="BN271" s="5"/>
      <c r="BP271" s="40"/>
      <c r="BQ271" s="5"/>
      <c r="BS271" s="40"/>
      <c r="BT271" s="5"/>
      <c r="BV271" s="40"/>
      <c r="BW271" s="5"/>
      <c r="BY271" s="40"/>
      <c r="BZ271" s="5"/>
      <c r="CB271" s="40"/>
      <c r="CC271" s="5"/>
      <c r="CE271" s="40"/>
      <c r="CF271" s="5"/>
      <c r="CH271" s="40"/>
      <c r="CI271" s="5"/>
      <c r="CK271" s="40"/>
      <c r="CL271" s="5"/>
      <c r="CN271" s="40"/>
      <c r="CO271" s="5"/>
      <c r="CQ271" s="40"/>
      <c r="CR271" s="5"/>
    </row>
    <row r="272">
      <c r="AO272" s="40"/>
      <c r="AP272" s="5"/>
      <c r="AR272" s="40"/>
      <c r="AS272" s="5"/>
      <c r="AU272" s="40"/>
      <c r="AV272" s="5"/>
      <c r="AX272" s="40"/>
      <c r="AY272" s="5"/>
      <c r="BA272" s="40"/>
      <c r="BB272" s="5"/>
      <c r="BD272" s="40"/>
      <c r="BE272" s="5"/>
      <c r="BG272" s="40"/>
      <c r="BH272" s="5"/>
      <c r="BJ272" s="40"/>
      <c r="BK272" s="5"/>
      <c r="BM272" s="40"/>
      <c r="BN272" s="5"/>
      <c r="BP272" s="40"/>
      <c r="BQ272" s="5"/>
      <c r="BS272" s="40"/>
      <c r="BT272" s="5"/>
      <c r="BV272" s="40"/>
      <c r="BW272" s="5"/>
      <c r="BY272" s="40"/>
      <c r="BZ272" s="5"/>
      <c r="CB272" s="40"/>
      <c r="CC272" s="5"/>
      <c r="CE272" s="40"/>
      <c r="CF272" s="5"/>
      <c r="CH272" s="40"/>
      <c r="CI272" s="5"/>
      <c r="CK272" s="40"/>
      <c r="CL272" s="5"/>
      <c r="CN272" s="40"/>
      <c r="CO272" s="5"/>
      <c r="CQ272" s="40"/>
      <c r="CR272" s="5"/>
    </row>
    <row r="273">
      <c r="AO273" s="40"/>
      <c r="AP273" s="5"/>
      <c r="AR273" s="40"/>
      <c r="AS273" s="5"/>
      <c r="AU273" s="40"/>
      <c r="AV273" s="5"/>
      <c r="AX273" s="40"/>
      <c r="AY273" s="5"/>
      <c r="BA273" s="40"/>
      <c r="BB273" s="5"/>
      <c r="BD273" s="40"/>
      <c r="BE273" s="5"/>
      <c r="BG273" s="40"/>
      <c r="BH273" s="5"/>
      <c r="BJ273" s="40"/>
      <c r="BK273" s="5"/>
      <c r="BM273" s="40"/>
      <c r="BN273" s="5"/>
      <c r="BP273" s="40"/>
      <c r="BQ273" s="5"/>
      <c r="BS273" s="40"/>
      <c r="BT273" s="5"/>
      <c r="BV273" s="40"/>
      <c r="BW273" s="5"/>
      <c r="BY273" s="40"/>
      <c r="BZ273" s="5"/>
      <c r="CB273" s="40"/>
      <c r="CC273" s="5"/>
      <c r="CE273" s="40"/>
      <c r="CF273" s="5"/>
      <c r="CH273" s="40"/>
      <c r="CI273" s="5"/>
      <c r="CK273" s="40"/>
      <c r="CL273" s="5"/>
      <c r="CN273" s="40"/>
      <c r="CO273" s="5"/>
      <c r="CQ273" s="40"/>
      <c r="CR273" s="5"/>
    </row>
    <row r="274">
      <c r="AO274" s="40"/>
      <c r="AP274" s="5"/>
      <c r="AR274" s="40"/>
      <c r="AS274" s="5"/>
      <c r="AU274" s="40"/>
      <c r="AV274" s="5"/>
      <c r="AX274" s="40"/>
      <c r="AY274" s="5"/>
      <c r="BA274" s="40"/>
      <c r="BB274" s="5"/>
      <c r="BD274" s="40"/>
      <c r="BE274" s="5"/>
      <c r="BG274" s="40"/>
      <c r="BH274" s="5"/>
      <c r="BJ274" s="40"/>
      <c r="BK274" s="5"/>
      <c r="BM274" s="40"/>
      <c r="BN274" s="5"/>
      <c r="BP274" s="40"/>
      <c r="BQ274" s="5"/>
      <c r="BS274" s="40"/>
      <c r="BT274" s="5"/>
      <c r="BV274" s="40"/>
      <c r="BW274" s="5"/>
      <c r="BY274" s="40"/>
      <c r="BZ274" s="5"/>
      <c r="CB274" s="40"/>
      <c r="CC274" s="5"/>
      <c r="CE274" s="40"/>
      <c r="CF274" s="5"/>
      <c r="CH274" s="40"/>
      <c r="CI274" s="5"/>
      <c r="CK274" s="40"/>
      <c r="CL274" s="5"/>
      <c r="CN274" s="40"/>
      <c r="CO274" s="5"/>
      <c r="CQ274" s="40"/>
      <c r="CR274" s="5"/>
    </row>
    <row r="275">
      <c r="AO275" s="40"/>
      <c r="AP275" s="5"/>
      <c r="AR275" s="40"/>
      <c r="AS275" s="5"/>
      <c r="AU275" s="40"/>
      <c r="AV275" s="5"/>
      <c r="AX275" s="40"/>
      <c r="AY275" s="5"/>
      <c r="BA275" s="40"/>
      <c r="BB275" s="5"/>
      <c r="BD275" s="40"/>
      <c r="BE275" s="5"/>
      <c r="BG275" s="40"/>
      <c r="BH275" s="5"/>
      <c r="BJ275" s="40"/>
      <c r="BK275" s="5"/>
      <c r="BM275" s="40"/>
      <c r="BN275" s="5"/>
      <c r="BP275" s="40"/>
      <c r="BQ275" s="5"/>
      <c r="BS275" s="40"/>
      <c r="BT275" s="5"/>
      <c r="BV275" s="40"/>
      <c r="BW275" s="5"/>
      <c r="BY275" s="40"/>
      <c r="BZ275" s="5"/>
      <c r="CB275" s="40"/>
      <c r="CC275" s="5"/>
      <c r="CE275" s="40"/>
      <c r="CF275" s="5"/>
      <c r="CH275" s="40"/>
      <c r="CI275" s="5"/>
      <c r="CK275" s="40"/>
      <c r="CL275" s="5"/>
      <c r="CN275" s="40"/>
      <c r="CO275" s="5"/>
      <c r="CQ275" s="40"/>
      <c r="CR275" s="5"/>
    </row>
    <row r="276">
      <c r="AO276" s="40"/>
      <c r="AP276" s="5"/>
      <c r="AR276" s="40"/>
      <c r="AS276" s="5"/>
      <c r="AU276" s="40"/>
      <c r="AV276" s="5"/>
      <c r="AX276" s="40"/>
      <c r="AY276" s="5"/>
      <c r="BA276" s="40"/>
      <c r="BB276" s="5"/>
      <c r="BD276" s="40"/>
      <c r="BE276" s="5"/>
      <c r="BG276" s="40"/>
      <c r="BH276" s="5"/>
      <c r="BJ276" s="40"/>
      <c r="BK276" s="5"/>
      <c r="BM276" s="40"/>
      <c r="BN276" s="5"/>
      <c r="BP276" s="40"/>
      <c r="BQ276" s="5"/>
      <c r="BS276" s="40"/>
      <c r="BT276" s="5"/>
      <c r="BV276" s="40"/>
      <c r="BW276" s="5"/>
      <c r="BY276" s="40"/>
      <c r="BZ276" s="5"/>
      <c r="CB276" s="40"/>
      <c r="CC276" s="5"/>
      <c r="CE276" s="40"/>
      <c r="CF276" s="5"/>
      <c r="CH276" s="40"/>
      <c r="CI276" s="5"/>
      <c r="CK276" s="40"/>
      <c r="CL276" s="5"/>
      <c r="CN276" s="40"/>
      <c r="CO276" s="5"/>
      <c r="CQ276" s="40"/>
      <c r="CR276" s="5"/>
    </row>
    <row r="277">
      <c r="AO277" s="40"/>
      <c r="AP277" s="5"/>
      <c r="AR277" s="40"/>
      <c r="AS277" s="5"/>
      <c r="AU277" s="40"/>
      <c r="AV277" s="5"/>
      <c r="AX277" s="40"/>
      <c r="AY277" s="5"/>
      <c r="BA277" s="40"/>
      <c r="BB277" s="5"/>
      <c r="BD277" s="40"/>
      <c r="BE277" s="5"/>
      <c r="BG277" s="40"/>
      <c r="BH277" s="5"/>
      <c r="BJ277" s="40"/>
      <c r="BK277" s="5"/>
      <c r="BM277" s="40"/>
      <c r="BN277" s="5"/>
      <c r="BP277" s="40"/>
      <c r="BQ277" s="5"/>
      <c r="BS277" s="40"/>
      <c r="BT277" s="5"/>
      <c r="BV277" s="40"/>
      <c r="BW277" s="5"/>
      <c r="BY277" s="40"/>
      <c r="BZ277" s="5"/>
      <c r="CB277" s="40"/>
      <c r="CC277" s="5"/>
      <c r="CE277" s="40"/>
      <c r="CF277" s="5"/>
      <c r="CH277" s="40"/>
      <c r="CI277" s="5"/>
      <c r="CK277" s="40"/>
      <c r="CL277" s="5"/>
      <c r="CN277" s="40"/>
      <c r="CO277" s="5"/>
      <c r="CQ277" s="40"/>
      <c r="CR277" s="5"/>
    </row>
    <row r="278">
      <c r="AO278" s="40"/>
      <c r="AP278" s="5"/>
      <c r="AR278" s="40"/>
      <c r="AS278" s="5"/>
      <c r="AU278" s="40"/>
      <c r="AV278" s="5"/>
      <c r="AX278" s="40"/>
      <c r="AY278" s="5"/>
      <c r="BA278" s="40"/>
      <c r="BB278" s="5"/>
      <c r="BD278" s="40"/>
      <c r="BE278" s="5"/>
      <c r="BG278" s="40"/>
      <c r="BH278" s="5"/>
      <c r="BJ278" s="40"/>
      <c r="BK278" s="5"/>
      <c r="BM278" s="40"/>
      <c r="BN278" s="5"/>
      <c r="BP278" s="40"/>
      <c r="BQ278" s="5"/>
      <c r="BS278" s="40"/>
      <c r="BT278" s="5"/>
      <c r="BV278" s="40"/>
      <c r="BW278" s="5"/>
      <c r="BY278" s="40"/>
      <c r="BZ278" s="5"/>
      <c r="CB278" s="40"/>
      <c r="CC278" s="5"/>
      <c r="CE278" s="40"/>
      <c r="CF278" s="5"/>
      <c r="CH278" s="40"/>
      <c r="CI278" s="5"/>
      <c r="CK278" s="40"/>
      <c r="CL278" s="5"/>
      <c r="CN278" s="40"/>
      <c r="CO278" s="5"/>
      <c r="CQ278" s="40"/>
      <c r="CR278" s="5"/>
    </row>
    <row r="279">
      <c r="AO279" s="40"/>
      <c r="AP279" s="5"/>
      <c r="AR279" s="40"/>
      <c r="AS279" s="5"/>
      <c r="AU279" s="40"/>
      <c r="AV279" s="5"/>
      <c r="AX279" s="40"/>
      <c r="AY279" s="5"/>
      <c r="BA279" s="40"/>
      <c r="BB279" s="5"/>
      <c r="BD279" s="40"/>
      <c r="BE279" s="5"/>
      <c r="BG279" s="40"/>
      <c r="BH279" s="5"/>
      <c r="BJ279" s="40"/>
      <c r="BK279" s="5"/>
      <c r="BM279" s="40"/>
      <c r="BN279" s="5"/>
      <c r="BP279" s="40"/>
      <c r="BQ279" s="5"/>
      <c r="BS279" s="40"/>
      <c r="BT279" s="5"/>
      <c r="BV279" s="40"/>
      <c r="BW279" s="5"/>
      <c r="BY279" s="40"/>
      <c r="BZ279" s="5"/>
      <c r="CB279" s="40"/>
      <c r="CC279" s="5"/>
      <c r="CE279" s="40"/>
      <c r="CF279" s="5"/>
      <c r="CH279" s="40"/>
      <c r="CI279" s="5"/>
      <c r="CK279" s="40"/>
      <c r="CL279" s="5"/>
      <c r="CN279" s="40"/>
      <c r="CO279" s="5"/>
      <c r="CQ279" s="40"/>
      <c r="CR279" s="5"/>
    </row>
    <row r="280">
      <c r="AO280" s="40"/>
      <c r="AP280" s="5"/>
      <c r="AR280" s="40"/>
      <c r="AS280" s="5"/>
      <c r="AU280" s="40"/>
      <c r="AV280" s="5"/>
      <c r="AX280" s="40"/>
      <c r="AY280" s="5"/>
      <c r="BA280" s="40"/>
      <c r="BB280" s="5"/>
      <c r="BD280" s="40"/>
      <c r="BE280" s="5"/>
      <c r="BG280" s="40"/>
      <c r="BH280" s="5"/>
      <c r="BJ280" s="40"/>
      <c r="BK280" s="5"/>
      <c r="BM280" s="40"/>
      <c r="BN280" s="5"/>
      <c r="BP280" s="40"/>
      <c r="BQ280" s="5"/>
      <c r="BS280" s="40"/>
      <c r="BT280" s="5"/>
      <c r="BV280" s="40"/>
      <c r="BW280" s="5"/>
      <c r="BY280" s="40"/>
      <c r="BZ280" s="5"/>
      <c r="CB280" s="40"/>
      <c r="CC280" s="5"/>
      <c r="CE280" s="40"/>
      <c r="CF280" s="5"/>
      <c r="CH280" s="40"/>
      <c r="CI280" s="5"/>
      <c r="CK280" s="40"/>
      <c r="CL280" s="5"/>
      <c r="CN280" s="40"/>
      <c r="CO280" s="5"/>
      <c r="CQ280" s="40"/>
      <c r="CR280" s="5"/>
    </row>
    <row r="281">
      <c r="AO281" s="40"/>
      <c r="AP281" s="5"/>
      <c r="AR281" s="40"/>
      <c r="AS281" s="5"/>
      <c r="AU281" s="40"/>
      <c r="AV281" s="5"/>
      <c r="AX281" s="40"/>
      <c r="AY281" s="5"/>
      <c r="BA281" s="40"/>
      <c r="BB281" s="5"/>
      <c r="BD281" s="40"/>
      <c r="BE281" s="5"/>
      <c r="BG281" s="40"/>
      <c r="BH281" s="5"/>
      <c r="BJ281" s="40"/>
      <c r="BK281" s="5"/>
      <c r="BM281" s="40"/>
      <c r="BN281" s="5"/>
      <c r="BP281" s="40"/>
      <c r="BQ281" s="5"/>
      <c r="BS281" s="40"/>
      <c r="BT281" s="5"/>
      <c r="BV281" s="40"/>
      <c r="BW281" s="5"/>
      <c r="BY281" s="40"/>
      <c r="BZ281" s="5"/>
      <c r="CB281" s="40"/>
      <c r="CC281" s="5"/>
      <c r="CE281" s="40"/>
      <c r="CF281" s="5"/>
      <c r="CH281" s="40"/>
      <c r="CI281" s="5"/>
      <c r="CK281" s="40"/>
      <c r="CL281" s="5"/>
      <c r="CN281" s="40"/>
      <c r="CO281" s="5"/>
      <c r="CQ281" s="40"/>
      <c r="CR281" s="5"/>
    </row>
    <row r="282">
      <c r="AO282" s="40"/>
      <c r="AP282" s="5"/>
      <c r="AR282" s="40"/>
      <c r="AS282" s="5"/>
      <c r="AU282" s="40"/>
      <c r="AV282" s="5"/>
      <c r="AX282" s="40"/>
      <c r="AY282" s="5"/>
      <c r="BA282" s="40"/>
      <c r="BB282" s="5"/>
      <c r="BD282" s="40"/>
      <c r="BE282" s="5"/>
      <c r="BG282" s="40"/>
      <c r="BH282" s="5"/>
      <c r="BJ282" s="40"/>
      <c r="BK282" s="5"/>
      <c r="BM282" s="40"/>
      <c r="BN282" s="5"/>
      <c r="BP282" s="40"/>
      <c r="BQ282" s="5"/>
      <c r="BS282" s="40"/>
      <c r="BT282" s="5"/>
      <c r="BV282" s="40"/>
      <c r="BW282" s="5"/>
      <c r="BY282" s="40"/>
      <c r="BZ282" s="5"/>
      <c r="CB282" s="40"/>
      <c r="CC282" s="5"/>
      <c r="CE282" s="40"/>
      <c r="CF282" s="5"/>
      <c r="CH282" s="40"/>
      <c r="CI282" s="5"/>
      <c r="CK282" s="40"/>
      <c r="CL282" s="5"/>
      <c r="CN282" s="40"/>
      <c r="CO282" s="5"/>
      <c r="CQ282" s="40"/>
      <c r="CR282" s="5"/>
    </row>
    <row r="283">
      <c r="AO283" s="40"/>
      <c r="AP283" s="5"/>
      <c r="AR283" s="40"/>
      <c r="AS283" s="5"/>
      <c r="AU283" s="40"/>
      <c r="AV283" s="5"/>
      <c r="AX283" s="40"/>
      <c r="AY283" s="5"/>
      <c r="BA283" s="40"/>
      <c r="BB283" s="5"/>
      <c r="BD283" s="40"/>
      <c r="BE283" s="5"/>
      <c r="BG283" s="40"/>
      <c r="BH283" s="5"/>
      <c r="BJ283" s="40"/>
      <c r="BK283" s="5"/>
      <c r="BM283" s="40"/>
      <c r="BN283" s="5"/>
      <c r="BP283" s="40"/>
      <c r="BQ283" s="5"/>
      <c r="BS283" s="40"/>
      <c r="BT283" s="5"/>
      <c r="BV283" s="40"/>
      <c r="BW283" s="5"/>
      <c r="BY283" s="40"/>
      <c r="BZ283" s="5"/>
      <c r="CB283" s="40"/>
      <c r="CC283" s="5"/>
      <c r="CE283" s="40"/>
      <c r="CF283" s="5"/>
      <c r="CH283" s="40"/>
      <c r="CI283" s="5"/>
      <c r="CK283" s="40"/>
      <c r="CL283" s="5"/>
      <c r="CN283" s="40"/>
      <c r="CO283" s="5"/>
      <c r="CQ283" s="40"/>
      <c r="CR283" s="5"/>
    </row>
    <row r="284">
      <c r="AO284" s="40"/>
      <c r="AP284" s="5"/>
      <c r="AR284" s="40"/>
      <c r="AS284" s="5"/>
      <c r="AU284" s="40"/>
      <c r="AV284" s="5"/>
      <c r="AX284" s="40"/>
      <c r="AY284" s="5"/>
      <c r="BA284" s="40"/>
      <c r="BB284" s="5"/>
      <c r="BD284" s="40"/>
      <c r="BE284" s="5"/>
      <c r="BG284" s="40"/>
      <c r="BH284" s="5"/>
      <c r="BJ284" s="40"/>
      <c r="BK284" s="5"/>
      <c r="BM284" s="40"/>
      <c r="BN284" s="5"/>
      <c r="BP284" s="40"/>
      <c r="BQ284" s="5"/>
      <c r="BS284" s="40"/>
      <c r="BT284" s="5"/>
      <c r="BV284" s="40"/>
      <c r="BW284" s="5"/>
      <c r="BY284" s="40"/>
      <c r="BZ284" s="5"/>
      <c r="CB284" s="40"/>
      <c r="CC284" s="5"/>
      <c r="CE284" s="40"/>
      <c r="CF284" s="5"/>
      <c r="CH284" s="40"/>
      <c r="CI284" s="5"/>
      <c r="CK284" s="40"/>
      <c r="CL284" s="5"/>
      <c r="CN284" s="40"/>
      <c r="CO284" s="5"/>
      <c r="CQ284" s="40"/>
      <c r="CR284" s="5"/>
    </row>
    <row r="285">
      <c r="AO285" s="40"/>
      <c r="AP285" s="5"/>
      <c r="AR285" s="40"/>
      <c r="AS285" s="5"/>
      <c r="AU285" s="40"/>
      <c r="AV285" s="5"/>
      <c r="AX285" s="40"/>
      <c r="AY285" s="5"/>
      <c r="BA285" s="40"/>
      <c r="BB285" s="5"/>
      <c r="BD285" s="40"/>
      <c r="BE285" s="5"/>
      <c r="BG285" s="40"/>
      <c r="BH285" s="5"/>
      <c r="BJ285" s="40"/>
      <c r="BK285" s="5"/>
      <c r="BM285" s="40"/>
      <c r="BN285" s="5"/>
      <c r="BP285" s="40"/>
      <c r="BQ285" s="5"/>
      <c r="BS285" s="40"/>
      <c r="BT285" s="5"/>
      <c r="BV285" s="40"/>
      <c r="BW285" s="5"/>
      <c r="BY285" s="40"/>
      <c r="BZ285" s="5"/>
      <c r="CB285" s="40"/>
      <c r="CC285" s="5"/>
      <c r="CE285" s="40"/>
      <c r="CF285" s="5"/>
      <c r="CH285" s="40"/>
      <c r="CI285" s="5"/>
      <c r="CK285" s="40"/>
      <c r="CL285" s="5"/>
      <c r="CN285" s="40"/>
      <c r="CO285" s="5"/>
      <c r="CQ285" s="40"/>
      <c r="CR285" s="5"/>
    </row>
    <row r="286">
      <c r="AO286" s="40"/>
      <c r="AP286" s="5"/>
      <c r="AR286" s="40"/>
      <c r="AS286" s="5"/>
      <c r="AU286" s="40"/>
      <c r="AV286" s="5"/>
      <c r="AX286" s="40"/>
      <c r="AY286" s="5"/>
      <c r="BA286" s="40"/>
      <c r="BB286" s="5"/>
      <c r="BD286" s="40"/>
      <c r="BE286" s="5"/>
      <c r="BG286" s="40"/>
      <c r="BH286" s="5"/>
      <c r="BJ286" s="40"/>
      <c r="BK286" s="5"/>
      <c r="BM286" s="40"/>
      <c r="BN286" s="5"/>
      <c r="BP286" s="40"/>
      <c r="BQ286" s="5"/>
      <c r="BS286" s="40"/>
      <c r="BT286" s="5"/>
      <c r="BV286" s="40"/>
      <c r="BW286" s="5"/>
      <c r="BY286" s="40"/>
      <c r="BZ286" s="5"/>
      <c r="CB286" s="40"/>
      <c r="CC286" s="5"/>
      <c r="CE286" s="40"/>
      <c r="CF286" s="5"/>
      <c r="CH286" s="40"/>
      <c r="CI286" s="5"/>
      <c r="CK286" s="40"/>
      <c r="CL286" s="5"/>
      <c r="CN286" s="40"/>
      <c r="CO286" s="5"/>
      <c r="CQ286" s="40"/>
      <c r="CR286" s="5"/>
    </row>
    <row r="287">
      <c r="AO287" s="40"/>
      <c r="AP287" s="5"/>
      <c r="AR287" s="40"/>
      <c r="AS287" s="5"/>
      <c r="AU287" s="40"/>
      <c r="AV287" s="5"/>
      <c r="AX287" s="40"/>
      <c r="AY287" s="5"/>
      <c r="BA287" s="40"/>
      <c r="BB287" s="5"/>
      <c r="BD287" s="40"/>
      <c r="BE287" s="5"/>
      <c r="BG287" s="40"/>
      <c r="BH287" s="5"/>
      <c r="BJ287" s="40"/>
      <c r="BK287" s="5"/>
      <c r="BM287" s="40"/>
      <c r="BN287" s="5"/>
      <c r="BP287" s="40"/>
      <c r="BQ287" s="5"/>
      <c r="BS287" s="40"/>
      <c r="BT287" s="5"/>
      <c r="BV287" s="40"/>
      <c r="BW287" s="5"/>
      <c r="BY287" s="40"/>
      <c r="BZ287" s="5"/>
      <c r="CB287" s="40"/>
      <c r="CC287" s="5"/>
      <c r="CE287" s="40"/>
      <c r="CF287" s="5"/>
      <c r="CH287" s="40"/>
      <c r="CI287" s="5"/>
      <c r="CK287" s="40"/>
      <c r="CL287" s="5"/>
      <c r="CN287" s="40"/>
      <c r="CO287" s="5"/>
      <c r="CQ287" s="40"/>
      <c r="CR287" s="5"/>
    </row>
    <row r="288">
      <c r="AO288" s="40"/>
      <c r="AP288" s="5"/>
      <c r="AR288" s="40"/>
      <c r="AS288" s="5"/>
      <c r="AU288" s="40"/>
      <c r="AV288" s="5"/>
      <c r="AX288" s="40"/>
      <c r="AY288" s="5"/>
      <c r="BA288" s="40"/>
      <c r="BB288" s="5"/>
      <c r="BD288" s="40"/>
      <c r="BE288" s="5"/>
      <c r="BG288" s="40"/>
      <c r="BH288" s="5"/>
      <c r="BJ288" s="40"/>
      <c r="BK288" s="5"/>
      <c r="BM288" s="40"/>
      <c r="BN288" s="5"/>
      <c r="BP288" s="40"/>
      <c r="BQ288" s="5"/>
      <c r="BS288" s="40"/>
      <c r="BT288" s="5"/>
      <c r="BV288" s="40"/>
      <c r="BW288" s="5"/>
      <c r="BY288" s="40"/>
      <c r="BZ288" s="5"/>
      <c r="CB288" s="40"/>
      <c r="CC288" s="5"/>
      <c r="CE288" s="40"/>
      <c r="CF288" s="5"/>
      <c r="CH288" s="40"/>
      <c r="CI288" s="5"/>
      <c r="CK288" s="40"/>
      <c r="CL288" s="5"/>
      <c r="CN288" s="40"/>
      <c r="CO288" s="5"/>
      <c r="CQ288" s="40"/>
      <c r="CR288" s="5"/>
    </row>
    <row r="289">
      <c r="AO289" s="40"/>
      <c r="AP289" s="5"/>
      <c r="AR289" s="40"/>
      <c r="AS289" s="5"/>
      <c r="AU289" s="40"/>
      <c r="AV289" s="5"/>
      <c r="AX289" s="40"/>
      <c r="AY289" s="5"/>
      <c r="BA289" s="40"/>
      <c r="BB289" s="5"/>
      <c r="BD289" s="40"/>
      <c r="BE289" s="5"/>
      <c r="BG289" s="40"/>
      <c r="BH289" s="5"/>
      <c r="BJ289" s="40"/>
      <c r="BK289" s="5"/>
      <c r="BM289" s="40"/>
      <c r="BN289" s="5"/>
      <c r="BP289" s="40"/>
      <c r="BQ289" s="5"/>
      <c r="BS289" s="40"/>
      <c r="BT289" s="5"/>
      <c r="BV289" s="40"/>
      <c r="BW289" s="5"/>
      <c r="BY289" s="40"/>
      <c r="BZ289" s="5"/>
      <c r="CB289" s="40"/>
      <c r="CC289" s="5"/>
      <c r="CE289" s="40"/>
      <c r="CF289" s="5"/>
      <c r="CH289" s="40"/>
      <c r="CI289" s="5"/>
      <c r="CK289" s="40"/>
      <c r="CL289" s="5"/>
      <c r="CN289" s="40"/>
      <c r="CO289" s="5"/>
      <c r="CQ289" s="40"/>
      <c r="CR289" s="5"/>
    </row>
    <row r="290">
      <c r="AO290" s="40"/>
      <c r="AP290" s="5"/>
      <c r="AR290" s="40"/>
      <c r="AS290" s="5"/>
      <c r="AU290" s="40"/>
      <c r="AV290" s="5"/>
      <c r="AX290" s="40"/>
      <c r="AY290" s="5"/>
      <c r="BA290" s="40"/>
      <c r="BB290" s="5"/>
      <c r="BD290" s="40"/>
      <c r="BE290" s="5"/>
      <c r="BG290" s="40"/>
      <c r="BH290" s="5"/>
      <c r="BJ290" s="40"/>
      <c r="BK290" s="5"/>
      <c r="BM290" s="40"/>
      <c r="BN290" s="5"/>
      <c r="BP290" s="40"/>
      <c r="BQ290" s="5"/>
      <c r="BS290" s="40"/>
      <c r="BT290" s="5"/>
      <c r="BV290" s="40"/>
      <c r="BW290" s="5"/>
      <c r="BY290" s="40"/>
      <c r="BZ290" s="5"/>
      <c r="CB290" s="40"/>
      <c r="CC290" s="5"/>
      <c r="CE290" s="40"/>
      <c r="CF290" s="5"/>
      <c r="CH290" s="40"/>
      <c r="CI290" s="5"/>
      <c r="CK290" s="40"/>
      <c r="CL290" s="5"/>
      <c r="CN290" s="40"/>
      <c r="CO290" s="5"/>
      <c r="CQ290" s="40"/>
      <c r="CR290" s="5"/>
    </row>
    <row r="291">
      <c r="AO291" s="40"/>
      <c r="AP291" s="5"/>
      <c r="AR291" s="40"/>
      <c r="AS291" s="5"/>
      <c r="AU291" s="40"/>
      <c r="AV291" s="5"/>
      <c r="AX291" s="40"/>
      <c r="AY291" s="5"/>
      <c r="BA291" s="40"/>
      <c r="BB291" s="5"/>
      <c r="BD291" s="40"/>
      <c r="BE291" s="5"/>
      <c r="BG291" s="40"/>
      <c r="BH291" s="5"/>
      <c r="BJ291" s="40"/>
      <c r="BK291" s="5"/>
      <c r="BM291" s="40"/>
      <c r="BN291" s="5"/>
      <c r="BP291" s="40"/>
      <c r="BQ291" s="5"/>
      <c r="BS291" s="40"/>
      <c r="BT291" s="5"/>
      <c r="BV291" s="40"/>
      <c r="BW291" s="5"/>
      <c r="BY291" s="40"/>
      <c r="BZ291" s="5"/>
      <c r="CB291" s="40"/>
      <c r="CC291" s="5"/>
      <c r="CE291" s="40"/>
      <c r="CF291" s="5"/>
      <c r="CH291" s="40"/>
      <c r="CI291" s="5"/>
      <c r="CK291" s="40"/>
      <c r="CL291" s="5"/>
      <c r="CN291" s="40"/>
      <c r="CO291" s="5"/>
      <c r="CQ291" s="40"/>
      <c r="CR291" s="5"/>
    </row>
    <row r="292">
      <c r="AO292" s="40"/>
      <c r="AP292" s="5"/>
      <c r="AR292" s="40"/>
      <c r="AS292" s="5"/>
      <c r="AU292" s="40"/>
      <c r="AV292" s="5"/>
      <c r="AX292" s="40"/>
      <c r="AY292" s="5"/>
      <c r="BA292" s="40"/>
      <c r="BB292" s="5"/>
      <c r="BD292" s="40"/>
      <c r="BE292" s="5"/>
      <c r="BG292" s="40"/>
      <c r="BH292" s="5"/>
      <c r="BJ292" s="40"/>
      <c r="BK292" s="5"/>
      <c r="BM292" s="40"/>
      <c r="BN292" s="5"/>
      <c r="BP292" s="40"/>
      <c r="BQ292" s="5"/>
      <c r="BS292" s="40"/>
      <c r="BT292" s="5"/>
      <c r="BV292" s="40"/>
      <c r="BW292" s="5"/>
      <c r="BY292" s="40"/>
      <c r="BZ292" s="5"/>
      <c r="CB292" s="40"/>
      <c r="CC292" s="5"/>
      <c r="CE292" s="40"/>
      <c r="CF292" s="5"/>
      <c r="CH292" s="40"/>
      <c r="CI292" s="5"/>
      <c r="CK292" s="40"/>
      <c r="CL292" s="5"/>
      <c r="CN292" s="40"/>
      <c r="CO292" s="5"/>
      <c r="CQ292" s="40"/>
      <c r="CR292" s="5"/>
    </row>
    <row r="293">
      <c r="AO293" s="40"/>
      <c r="AP293" s="5"/>
      <c r="AR293" s="40"/>
      <c r="AS293" s="5"/>
      <c r="AU293" s="40"/>
      <c r="AV293" s="5"/>
      <c r="AX293" s="40"/>
      <c r="AY293" s="5"/>
      <c r="BA293" s="40"/>
      <c r="BB293" s="5"/>
      <c r="BD293" s="40"/>
      <c r="BE293" s="5"/>
      <c r="BG293" s="40"/>
      <c r="BH293" s="5"/>
      <c r="BJ293" s="40"/>
      <c r="BK293" s="5"/>
      <c r="BM293" s="40"/>
      <c r="BN293" s="5"/>
      <c r="BP293" s="40"/>
      <c r="BQ293" s="5"/>
      <c r="BS293" s="40"/>
      <c r="BT293" s="5"/>
      <c r="BV293" s="40"/>
      <c r="BW293" s="5"/>
      <c r="BY293" s="40"/>
      <c r="BZ293" s="5"/>
      <c r="CB293" s="40"/>
      <c r="CC293" s="5"/>
      <c r="CE293" s="40"/>
      <c r="CF293" s="5"/>
      <c r="CH293" s="40"/>
      <c r="CI293" s="5"/>
      <c r="CK293" s="40"/>
      <c r="CL293" s="5"/>
      <c r="CN293" s="40"/>
      <c r="CO293" s="5"/>
      <c r="CQ293" s="40"/>
      <c r="CR293" s="5"/>
    </row>
    <row r="294">
      <c r="AO294" s="40"/>
      <c r="AP294" s="5"/>
      <c r="AR294" s="40"/>
      <c r="AS294" s="5"/>
      <c r="AU294" s="40"/>
      <c r="AV294" s="5"/>
      <c r="AX294" s="40"/>
      <c r="AY294" s="5"/>
      <c r="BA294" s="40"/>
      <c r="BB294" s="5"/>
      <c r="BD294" s="40"/>
      <c r="BE294" s="5"/>
      <c r="BG294" s="40"/>
      <c r="BH294" s="5"/>
      <c r="BJ294" s="40"/>
      <c r="BK294" s="5"/>
      <c r="BM294" s="40"/>
      <c r="BN294" s="5"/>
      <c r="BP294" s="40"/>
      <c r="BQ294" s="5"/>
      <c r="BS294" s="40"/>
      <c r="BT294" s="5"/>
      <c r="BV294" s="40"/>
      <c r="BW294" s="5"/>
      <c r="BY294" s="40"/>
      <c r="BZ294" s="5"/>
      <c r="CB294" s="40"/>
      <c r="CC294" s="5"/>
      <c r="CE294" s="40"/>
      <c r="CF294" s="5"/>
      <c r="CH294" s="40"/>
      <c r="CI294" s="5"/>
      <c r="CK294" s="40"/>
      <c r="CL294" s="5"/>
      <c r="CN294" s="40"/>
      <c r="CO294" s="5"/>
      <c r="CQ294" s="40"/>
      <c r="CR294" s="5"/>
    </row>
    <row r="295">
      <c r="AO295" s="40"/>
      <c r="AP295" s="5"/>
      <c r="AR295" s="40"/>
      <c r="AS295" s="5"/>
      <c r="AU295" s="40"/>
      <c r="AV295" s="5"/>
      <c r="AX295" s="40"/>
      <c r="AY295" s="5"/>
      <c r="BA295" s="40"/>
      <c r="BB295" s="5"/>
      <c r="BD295" s="40"/>
      <c r="BE295" s="5"/>
      <c r="BG295" s="40"/>
      <c r="BH295" s="5"/>
      <c r="BJ295" s="40"/>
      <c r="BK295" s="5"/>
      <c r="BM295" s="40"/>
      <c r="BN295" s="5"/>
      <c r="BP295" s="40"/>
      <c r="BQ295" s="5"/>
      <c r="BS295" s="40"/>
      <c r="BT295" s="5"/>
      <c r="BV295" s="40"/>
      <c r="BW295" s="5"/>
      <c r="BY295" s="40"/>
      <c r="BZ295" s="5"/>
      <c r="CB295" s="40"/>
      <c r="CC295" s="5"/>
      <c r="CE295" s="40"/>
      <c r="CF295" s="5"/>
      <c r="CH295" s="40"/>
      <c r="CI295" s="5"/>
      <c r="CK295" s="40"/>
      <c r="CL295" s="5"/>
      <c r="CN295" s="40"/>
      <c r="CO295" s="5"/>
      <c r="CQ295" s="40"/>
      <c r="CR295" s="5"/>
    </row>
    <row r="296">
      <c r="AO296" s="40"/>
      <c r="AP296" s="5"/>
      <c r="AR296" s="40"/>
      <c r="AS296" s="5"/>
      <c r="AU296" s="40"/>
      <c r="AV296" s="5"/>
      <c r="AX296" s="40"/>
      <c r="AY296" s="5"/>
      <c r="BA296" s="40"/>
      <c r="BB296" s="5"/>
      <c r="BD296" s="40"/>
      <c r="BE296" s="5"/>
      <c r="BG296" s="40"/>
      <c r="BH296" s="5"/>
      <c r="BJ296" s="40"/>
      <c r="BK296" s="5"/>
      <c r="BM296" s="40"/>
      <c r="BN296" s="5"/>
      <c r="BP296" s="40"/>
      <c r="BQ296" s="5"/>
      <c r="BS296" s="40"/>
      <c r="BT296" s="5"/>
      <c r="BV296" s="40"/>
      <c r="BW296" s="5"/>
      <c r="BY296" s="40"/>
      <c r="BZ296" s="5"/>
      <c r="CB296" s="40"/>
      <c r="CC296" s="5"/>
      <c r="CE296" s="40"/>
      <c r="CF296" s="5"/>
      <c r="CH296" s="40"/>
      <c r="CI296" s="5"/>
      <c r="CK296" s="40"/>
      <c r="CL296" s="5"/>
      <c r="CN296" s="40"/>
      <c r="CO296" s="5"/>
      <c r="CQ296" s="40"/>
      <c r="CR296" s="5"/>
    </row>
    <row r="297">
      <c r="AO297" s="40"/>
      <c r="AP297" s="5"/>
      <c r="AR297" s="40"/>
      <c r="AS297" s="5"/>
      <c r="AU297" s="40"/>
      <c r="AV297" s="5"/>
      <c r="AX297" s="40"/>
      <c r="AY297" s="5"/>
      <c r="BA297" s="40"/>
      <c r="BB297" s="5"/>
      <c r="BD297" s="40"/>
      <c r="BE297" s="5"/>
      <c r="BG297" s="40"/>
      <c r="BH297" s="5"/>
      <c r="BJ297" s="40"/>
      <c r="BK297" s="5"/>
      <c r="BM297" s="40"/>
      <c r="BN297" s="5"/>
      <c r="BP297" s="40"/>
      <c r="BQ297" s="5"/>
      <c r="BS297" s="40"/>
      <c r="BT297" s="5"/>
      <c r="BV297" s="40"/>
      <c r="BW297" s="5"/>
      <c r="BY297" s="40"/>
      <c r="BZ297" s="5"/>
      <c r="CB297" s="40"/>
      <c r="CC297" s="5"/>
      <c r="CE297" s="40"/>
      <c r="CF297" s="5"/>
      <c r="CH297" s="40"/>
      <c r="CI297" s="5"/>
      <c r="CK297" s="40"/>
      <c r="CL297" s="5"/>
      <c r="CN297" s="40"/>
      <c r="CO297" s="5"/>
      <c r="CQ297" s="40"/>
      <c r="CR297" s="5"/>
    </row>
    <row r="298">
      <c r="AO298" s="40"/>
      <c r="AP298" s="5"/>
      <c r="AR298" s="40"/>
      <c r="AS298" s="5"/>
      <c r="AU298" s="40"/>
      <c r="AV298" s="5"/>
      <c r="AX298" s="40"/>
      <c r="AY298" s="5"/>
      <c r="BA298" s="40"/>
      <c r="BB298" s="5"/>
      <c r="BD298" s="40"/>
      <c r="BE298" s="5"/>
      <c r="BG298" s="40"/>
      <c r="BH298" s="5"/>
      <c r="BJ298" s="40"/>
      <c r="BK298" s="5"/>
      <c r="BM298" s="40"/>
      <c r="BN298" s="5"/>
      <c r="BP298" s="40"/>
      <c r="BQ298" s="5"/>
      <c r="BS298" s="40"/>
      <c r="BT298" s="5"/>
      <c r="BV298" s="40"/>
      <c r="BW298" s="5"/>
      <c r="BY298" s="40"/>
      <c r="BZ298" s="5"/>
      <c r="CB298" s="40"/>
      <c r="CC298" s="5"/>
      <c r="CE298" s="40"/>
      <c r="CF298" s="5"/>
      <c r="CH298" s="40"/>
      <c r="CI298" s="5"/>
      <c r="CK298" s="40"/>
      <c r="CL298" s="5"/>
      <c r="CN298" s="40"/>
      <c r="CO298" s="5"/>
      <c r="CQ298" s="40"/>
      <c r="CR298" s="5"/>
    </row>
    <row r="299">
      <c r="AO299" s="40"/>
      <c r="AP299" s="5"/>
      <c r="AR299" s="40"/>
      <c r="AS299" s="5"/>
      <c r="AU299" s="40"/>
      <c r="AV299" s="5"/>
      <c r="AX299" s="40"/>
      <c r="AY299" s="5"/>
      <c r="BA299" s="40"/>
      <c r="BB299" s="5"/>
      <c r="BD299" s="40"/>
      <c r="BE299" s="5"/>
      <c r="BG299" s="40"/>
      <c r="BH299" s="5"/>
      <c r="BJ299" s="40"/>
      <c r="BK299" s="5"/>
      <c r="BM299" s="40"/>
      <c r="BN299" s="5"/>
      <c r="BP299" s="40"/>
      <c r="BQ299" s="5"/>
      <c r="BS299" s="40"/>
      <c r="BT299" s="5"/>
      <c r="BV299" s="40"/>
      <c r="BW299" s="5"/>
      <c r="BY299" s="40"/>
      <c r="BZ299" s="5"/>
      <c r="CB299" s="40"/>
      <c r="CC299" s="5"/>
      <c r="CE299" s="40"/>
      <c r="CF299" s="5"/>
      <c r="CH299" s="40"/>
      <c r="CI299" s="5"/>
      <c r="CK299" s="40"/>
      <c r="CL299" s="5"/>
      <c r="CN299" s="40"/>
      <c r="CO299" s="5"/>
      <c r="CQ299" s="40"/>
      <c r="CR299" s="5"/>
    </row>
    <row r="300">
      <c r="AO300" s="40"/>
      <c r="AP300" s="5"/>
      <c r="AR300" s="40"/>
      <c r="AS300" s="5"/>
      <c r="AU300" s="40"/>
      <c r="AV300" s="5"/>
      <c r="AX300" s="40"/>
      <c r="AY300" s="5"/>
      <c r="BA300" s="40"/>
      <c r="BB300" s="5"/>
      <c r="BD300" s="40"/>
      <c r="BE300" s="5"/>
      <c r="BG300" s="40"/>
      <c r="BH300" s="5"/>
      <c r="BJ300" s="40"/>
      <c r="BK300" s="5"/>
      <c r="BM300" s="40"/>
      <c r="BN300" s="5"/>
      <c r="BP300" s="40"/>
      <c r="BQ300" s="5"/>
      <c r="BS300" s="40"/>
      <c r="BT300" s="5"/>
      <c r="BV300" s="40"/>
      <c r="BW300" s="5"/>
      <c r="BY300" s="40"/>
      <c r="BZ300" s="5"/>
      <c r="CB300" s="40"/>
      <c r="CC300" s="5"/>
      <c r="CE300" s="40"/>
      <c r="CF300" s="5"/>
      <c r="CH300" s="40"/>
      <c r="CI300" s="5"/>
      <c r="CK300" s="40"/>
      <c r="CL300" s="5"/>
      <c r="CN300" s="40"/>
      <c r="CO300" s="5"/>
      <c r="CQ300" s="40"/>
      <c r="CR300" s="5"/>
    </row>
    <row r="301">
      <c r="AO301" s="40"/>
      <c r="AP301" s="5"/>
      <c r="AR301" s="40"/>
      <c r="AS301" s="5"/>
      <c r="AU301" s="40"/>
      <c r="AV301" s="5"/>
      <c r="AX301" s="40"/>
      <c r="AY301" s="5"/>
      <c r="BA301" s="40"/>
      <c r="BB301" s="5"/>
      <c r="BD301" s="40"/>
      <c r="BE301" s="5"/>
      <c r="BG301" s="40"/>
      <c r="BH301" s="5"/>
      <c r="BJ301" s="40"/>
      <c r="BK301" s="5"/>
      <c r="BM301" s="40"/>
      <c r="BN301" s="5"/>
      <c r="BP301" s="40"/>
      <c r="BQ301" s="5"/>
      <c r="BS301" s="40"/>
      <c r="BT301" s="5"/>
      <c r="BV301" s="40"/>
      <c r="BW301" s="5"/>
      <c r="BY301" s="40"/>
      <c r="BZ301" s="5"/>
      <c r="CB301" s="40"/>
      <c r="CC301" s="5"/>
      <c r="CE301" s="40"/>
      <c r="CF301" s="5"/>
      <c r="CH301" s="40"/>
      <c r="CI301" s="5"/>
      <c r="CK301" s="40"/>
      <c r="CL301" s="5"/>
      <c r="CN301" s="40"/>
      <c r="CO301" s="5"/>
      <c r="CQ301" s="40"/>
      <c r="CR301" s="5"/>
    </row>
    <row r="302">
      <c r="AO302" s="40"/>
      <c r="AP302" s="5"/>
      <c r="AR302" s="40"/>
      <c r="AS302" s="5"/>
      <c r="AU302" s="40"/>
      <c r="AV302" s="5"/>
      <c r="AX302" s="40"/>
      <c r="AY302" s="5"/>
      <c r="BA302" s="40"/>
      <c r="BB302" s="5"/>
      <c r="BD302" s="40"/>
      <c r="BE302" s="5"/>
      <c r="BG302" s="40"/>
      <c r="BH302" s="5"/>
      <c r="BJ302" s="40"/>
      <c r="BK302" s="5"/>
      <c r="BM302" s="40"/>
      <c r="BN302" s="5"/>
      <c r="BP302" s="40"/>
      <c r="BQ302" s="5"/>
      <c r="BS302" s="40"/>
      <c r="BT302" s="5"/>
      <c r="BV302" s="40"/>
      <c r="BW302" s="5"/>
      <c r="BY302" s="40"/>
      <c r="BZ302" s="5"/>
      <c r="CB302" s="40"/>
      <c r="CC302" s="5"/>
      <c r="CE302" s="40"/>
      <c r="CF302" s="5"/>
      <c r="CH302" s="40"/>
      <c r="CI302" s="5"/>
      <c r="CK302" s="40"/>
      <c r="CL302" s="5"/>
      <c r="CN302" s="40"/>
      <c r="CO302" s="5"/>
      <c r="CQ302" s="40"/>
      <c r="CR302" s="5"/>
    </row>
    <row r="303">
      <c r="AO303" s="40"/>
      <c r="AP303" s="5"/>
      <c r="AR303" s="40"/>
      <c r="AS303" s="5"/>
      <c r="AU303" s="40"/>
      <c r="AV303" s="5"/>
      <c r="AX303" s="40"/>
      <c r="AY303" s="5"/>
      <c r="BA303" s="40"/>
      <c r="BB303" s="5"/>
      <c r="BD303" s="40"/>
      <c r="BE303" s="5"/>
      <c r="BG303" s="40"/>
      <c r="BH303" s="5"/>
      <c r="BJ303" s="40"/>
      <c r="BK303" s="5"/>
      <c r="BM303" s="40"/>
      <c r="BN303" s="5"/>
      <c r="BP303" s="40"/>
      <c r="BQ303" s="5"/>
      <c r="BS303" s="40"/>
      <c r="BT303" s="5"/>
      <c r="BV303" s="40"/>
      <c r="BW303" s="5"/>
      <c r="BY303" s="40"/>
      <c r="BZ303" s="5"/>
      <c r="CB303" s="40"/>
      <c r="CC303" s="5"/>
      <c r="CE303" s="40"/>
      <c r="CF303" s="5"/>
      <c r="CH303" s="40"/>
      <c r="CI303" s="5"/>
      <c r="CK303" s="40"/>
      <c r="CL303" s="5"/>
      <c r="CN303" s="40"/>
      <c r="CO303" s="5"/>
      <c r="CQ303" s="40"/>
      <c r="CR303" s="5"/>
    </row>
    <row r="304">
      <c r="AO304" s="40"/>
      <c r="AP304" s="5"/>
      <c r="AR304" s="40"/>
      <c r="AS304" s="5"/>
      <c r="AU304" s="40"/>
      <c r="AV304" s="5"/>
      <c r="AX304" s="40"/>
      <c r="AY304" s="5"/>
      <c r="BA304" s="40"/>
      <c r="BB304" s="5"/>
      <c r="BD304" s="40"/>
      <c r="BE304" s="5"/>
      <c r="BG304" s="40"/>
      <c r="BH304" s="5"/>
      <c r="BJ304" s="40"/>
      <c r="BK304" s="5"/>
      <c r="BM304" s="40"/>
      <c r="BN304" s="5"/>
      <c r="BP304" s="40"/>
      <c r="BQ304" s="5"/>
      <c r="BS304" s="40"/>
      <c r="BT304" s="5"/>
      <c r="BV304" s="40"/>
      <c r="BW304" s="5"/>
      <c r="BY304" s="40"/>
      <c r="BZ304" s="5"/>
      <c r="CB304" s="40"/>
      <c r="CC304" s="5"/>
      <c r="CE304" s="40"/>
      <c r="CF304" s="5"/>
      <c r="CH304" s="40"/>
      <c r="CI304" s="5"/>
      <c r="CK304" s="40"/>
      <c r="CL304" s="5"/>
      <c r="CN304" s="40"/>
      <c r="CO304" s="5"/>
      <c r="CQ304" s="40"/>
      <c r="CR304" s="5"/>
    </row>
    <row r="305">
      <c r="AO305" s="40"/>
      <c r="AP305" s="5"/>
      <c r="AR305" s="40"/>
      <c r="AS305" s="5"/>
      <c r="AU305" s="40"/>
      <c r="AV305" s="5"/>
      <c r="AX305" s="40"/>
      <c r="AY305" s="5"/>
      <c r="BA305" s="40"/>
      <c r="BB305" s="5"/>
      <c r="BD305" s="40"/>
      <c r="BE305" s="5"/>
      <c r="BG305" s="40"/>
      <c r="BH305" s="5"/>
      <c r="BJ305" s="40"/>
      <c r="BK305" s="5"/>
      <c r="BM305" s="40"/>
      <c r="BN305" s="5"/>
      <c r="BP305" s="40"/>
      <c r="BQ305" s="5"/>
      <c r="BS305" s="40"/>
      <c r="BT305" s="5"/>
      <c r="BV305" s="40"/>
      <c r="BW305" s="5"/>
      <c r="BY305" s="40"/>
      <c r="BZ305" s="5"/>
      <c r="CB305" s="40"/>
      <c r="CC305" s="5"/>
      <c r="CE305" s="40"/>
      <c r="CF305" s="5"/>
      <c r="CH305" s="40"/>
      <c r="CI305" s="5"/>
      <c r="CK305" s="40"/>
      <c r="CL305" s="5"/>
      <c r="CN305" s="40"/>
      <c r="CO305" s="5"/>
      <c r="CQ305" s="40"/>
      <c r="CR305" s="5"/>
    </row>
    <row r="306">
      <c r="AO306" s="40"/>
      <c r="AP306" s="5"/>
      <c r="AR306" s="40"/>
      <c r="AS306" s="5"/>
      <c r="AU306" s="40"/>
      <c r="AV306" s="5"/>
      <c r="AX306" s="40"/>
      <c r="AY306" s="5"/>
      <c r="BA306" s="40"/>
      <c r="BB306" s="5"/>
      <c r="BD306" s="40"/>
      <c r="BE306" s="5"/>
      <c r="BG306" s="40"/>
      <c r="BH306" s="5"/>
      <c r="BJ306" s="40"/>
      <c r="BK306" s="5"/>
      <c r="BM306" s="40"/>
      <c r="BN306" s="5"/>
      <c r="BP306" s="40"/>
      <c r="BQ306" s="5"/>
      <c r="BS306" s="40"/>
      <c r="BT306" s="5"/>
      <c r="BV306" s="40"/>
      <c r="BW306" s="5"/>
      <c r="BY306" s="40"/>
      <c r="BZ306" s="5"/>
      <c r="CB306" s="40"/>
      <c r="CC306" s="5"/>
      <c r="CE306" s="40"/>
      <c r="CF306" s="5"/>
      <c r="CH306" s="40"/>
      <c r="CI306" s="5"/>
      <c r="CK306" s="40"/>
      <c r="CL306" s="5"/>
      <c r="CN306" s="40"/>
      <c r="CO306" s="5"/>
      <c r="CQ306" s="40"/>
      <c r="CR306" s="5"/>
    </row>
    <row r="307">
      <c r="AO307" s="40"/>
      <c r="AP307" s="5"/>
      <c r="AR307" s="40"/>
      <c r="AS307" s="5"/>
      <c r="AU307" s="40"/>
      <c r="AV307" s="5"/>
      <c r="AX307" s="40"/>
      <c r="AY307" s="5"/>
      <c r="BA307" s="40"/>
      <c r="BB307" s="5"/>
      <c r="BD307" s="40"/>
      <c r="BE307" s="5"/>
      <c r="BG307" s="40"/>
      <c r="BH307" s="5"/>
      <c r="BJ307" s="40"/>
      <c r="BK307" s="5"/>
      <c r="BM307" s="40"/>
      <c r="BN307" s="5"/>
      <c r="BP307" s="40"/>
      <c r="BQ307" s="5"/>
      <c r="BS307" s="40"/>
      <c r="BT307" s="5"/>
      <c r="BV307" s="40"/>
      <c r="BW307" s="5"/>
      <c r="BY307" s="40"/>
      <c r="BZ307" s="5"/>
      <c r="CB307" s="40"/>
      <c r="CC307" s="5"/>
      <c r="CE307" s="40"/>
      <c r="CF307" s="5"/>
      <c r="CH307" s="40"/>
      <c r="CI307" s="5"/>
      <c r="CK307" s="40"/>
      <c r="CL307" s="5"/>
      <c r="CN307" s="40"/>
      <c r="CO307" s="5"/>
      <c r="CQ307" s="40"/>
      <c r="CR307" s="5"/>
    </row>
    <row r="308">
      <c r="AO308" s="40"/>
      <c r="AP308" s="5"/>
      <c r="AR308" s="40"/>
      <c r="AS308" s="5"/>
      <c r="AU308" s="40"/>
      <c r="AV308" s="5"/>
      <c r="AX308" s="40"/>
      <c r="AY308" s="5"/>
      <c r="BA308" s="40"/>
      <c r="BB308" s="5"/>
      <c r="BD308" s="40"/>
      <c r="BE308" s="5"/>
      <c r="BG308" s="40"/>
      <c r="BH308" s="5"/>
      <c r="BJ308" s="40"/>
      <c r="BK308" s="5"/>
      <c r="BM308" s="40"/>
      <c r="BN308" s="5"/>
      <c r="BP308" s="40"/>
      <c r="BQ308" s="5"/>
      <c r="BS308" s="40"/>
      <c r="BT308" s="5"/>
      <c r="BV308" s="40"/>
      <c r="BW308" s="5"/>
      <c r="BY308" s="40"/>
      <c r="BZ308" s="5"/>
      <c r="CB308" s="40"/>
      <c r="CC308" s="5"/>
      <c r="CE308" s="40"/>
      <c r="CF308" s="5"/>
      <c r="CH308" s="40"/>
      <c r="CI308" s="5"/>
      <c r="CK308" s="40"/>
      <c r="CL308" s="5"/>
      <c r="CN308" s="40"/>
      <c r="CO308" s="5"/>
      <c r="CQ308" s="40"/>
      <c r="CR308" s="5"/>
    </row>
    <row r="309">
      <c r="AO309" s="40"/>
      <c r="AP309" s="5"/>
      <c r="AR309" s="40"/>
      <c r="AS309" s="5"/>
      <c r="AU309" s="40"/>
      <c r="AV309" s="5"/>
      <c r="AX309" s="40"/>
      <c r="AY309" s="5"/>
      <c r="BA309" s="40"/>
      <c r="BB309" s="5"/>
      <c r="BD309" s="40"/>
      <c r="BE309" s="5"/>
      <c r="BG309" s="40"/>
      <c r="BH309" s="5"/>
      <c r="BJ309" s="40"/>
      <c r="BK309" s="5"/>
      <c r="BM309" s="40"/>
      <c r="BN309" s="5"/>
      <c r="BP309" s="40"/>
      <c r="BQ309" s="5"/>
      <c r="BS309" s="40"/>
      <c r="BT309" s="5"/>
      <c r="BV309" s="40"/>
      <c r="BW309" s="5"/>
      <c r="BY309" s="40"/>
      <c r="BZ309" s="5"/>
      <c r="CB309" s="40"/>
      <c r="CC309" s="5"/>
      <c r="CE309" s="40"/>
      <c r="CF309" s="5"/>
      <c r="CH309" s="40"/>
      <c r="CI309" s="5"/>
      <c r="CK309" s="40"/>
      <c r="CL309" s="5"/>
      <c r="CN309" s="40"/>
      <c r="CO309" s="5"/>
      <c r="CQ309" s="40"/>
      <c r="CR309" s="5"/>
    </row>
    <row r="310">
      <c r="AO310" s="40"/>
      <c r="AP310" s="5"/>
      <c r="AR310" s="40"/>
      <c r="AS310" s="5"/>
      <c r="AU310" s="40"/>
      <c r="AV310" s="5"/>
      <c r="AX310" s="40"/>
      <c r="AY310" s="5"/>
      <c r="BA310" s="40"/>
      <c r="BB310" s="5"/>
      <c r="BD310" s="40"/>
      <c r="BE310" s="5"/>
      <c r="BG310" s="40"/>
      <c r="BH310" s="5"/>
      <c r="BJ310" s="40"/>
      <c r="BK310" s="5"/>
      <c r="BM310" s="40"/>
      <c r="BN310" s="5"/>
      <c r="BP310" s="40"/>
      <c r="BQ310" s="5"/>
      <c r="BS310" s="40"/>
      <c r="BT310" s="5"/>
      <c r="BV310" s="40"/>
      <c r="BW310" s="5"/>
      <c r="BY310" s="40"/>
      <c r="BZ310" s="5"/>
      <c r="CB310" s="40"/>
      <c r="CC310" s="5"/>
      <c r="CE310" s="40"/>
      <c r="CF310" s="5"/>
      <c r="CH310" s="40"/>
      <c r="CI310" s="5"/>
      <c r="CK310" s="40"/>
      <c r="CL310" s="5"/>
      <c r="CN310" s="40"/>
      <c r="CO310" s="5"/>
      <c r="CQ310" s="40"/>
      <c r="CR310" s="5"/>
    </row>
    <row r="311">
      <c r="AO311" s="40"/>
      <c r="AP311" s="5"/>
      <c r="AR311" s="40"/>
      <c r="AS311" s="5"/>
      <c r="AU311" s="40"/>
      <c r="AV311" s="5"/>
      <c r="AX311" s="40"/>
      <c r="AY311" s="5"/>
      <c r="BA311" s="40"/>
      <c r="BB311" s="5"/>
      <c r="BD311" s="40"/>
      <c r="BE311" s="5"/>
      <c r="BG311" s="40"/>
      <c r="BH311" s="5"/>
      <c r="BJ311" s="40"/>
      <c r="BK311" s="5"/>
      <c r="BM311" s="40"/>
      <c r="BN311" s="5"/>
      <c r="BP311" s="40"/>
      <c r="BQ311" s="5"/>
      <c r="BS311" s="40"/>
      <c r="BT311" s="5"/>
      <c r="BV311" s="40"/>
      <c r="BW311" s="5"/>
      <c r="BY311" s="40"/>
      <c r="BZ311" s="5"/>
      <c r="CB311" s="40"/>
      <c r="CC311" s="5"/>
      <c r="CE311" s="40"/>
      <c r="CF311" s="5"/>
      <c r="CH311" s="40"/>
      <c r="CI311" s="5"/>
      <c r="CK311" s="40"/>
      <c r="CL311" s="5"/>
      <c r="CN311" s="40"/>
      <c r="CO311" s="5"/>
      <c r="CQ311" s="40"/>
      <c r="CR311" s="5"/>
    </row>
    <row r="312">
      <c r="AO312" s="40"/>
      <c r="AP312" s="5"/>
      <c r="AR312" s="40"/>
      <c r="AS312" s="5"/>
      <c r="AU312" s="40"/>
      <c r="AV312" s="5"/>
      <c r="AX312" s="40"/>
      <c r="AY312" s="5"/>
      <c r="BA312" s="40"/>
      <c r="BB312" s="5"/>
      <c r="BD312" s="40"/>
      <c r="BE312" s="5"/>
      <c r="BG312" s="40"/>
      <c r="BH312" s="5"/>
      <c r="BJ312" s="40"/>
      <c r="BK312" s="5"/>
      <c r="BM312" s="40"/>
      <c r="BN312" s="5"/>
      <c r="BP312" s="40"/>
      <c r="BQ312" s="5"/>
      <c r="BS312" s="40"/>
      <c r="BT312" s="5"/>
      <c r="BV312" s="40"/>
      <c r="BW312" s="5"/>
      <c r="BY312" s="40"/>
      <c r="BZ312" s="5"/>
      <c r="CB312" s="40"/>
      <c r="CC312" s="5"/>
      <c r="CE312" s="40"/>
      <c r="CF312" s="5"/>
      <c r="CH312" s="40"/>
      <c r="CI312" s="5"/>
      <c r="CK312" s="40"/>
      <c r="CL312" s="5"/>
      <c r="CN312" s="40"/>
      <c r="CO312" s="5"/>
      <c r="CQ312" s="40"/>
      <c r="CR312" s="5"/>
    </row>
    <row r="313">
      <c r="AO313" s="40"/>
      <c r="AP313" s="5"/>
      <c r="AR313" s="40"/>
      <c r="AS313" s="5"/>
      <c r="AU313" s="40"/>
      <c r="AV313" s="5"/>
      <c r="AX313" s="40"/>
      <c r="AY313" s="5"/>
      <c r="BA313" s="40"/>
      <c r="BB313" s="5"/>
      <c r="BD313" s="40"/>
      <c r="BE313" s="5"/>
      <c r="BG313" s="40"/>
      <c r="BH313" s="5"/>
      <c r="BJ313" s="40"/>
      <c r="BK313" s="5"/>
      <c r="BM313" s="40"/>
      <c r="BN313" s="5"/>
      <c r="BP313" s="40"/>
      <c r="BQ313" s="5"/>
      <c r="BS313" s="40"/>
      <c r="BT313" s="5"/>
      <c r="BV313" s="40"/>
      <c r="BW313" s="5"/>
      <c r="BY313" s="40"/>
      <c r="BZ313" s="5"/>
      <c r="CB313" s="40"/>
      <c r="CC313" s="5"/>
      <c r="CE313" s="40"/>
      <c r="CF313" s="5"/>
      <c r="CH313" s="40"/>
      <c r="CI313" s="5"/>
      <c r="CK313" s="40"/>
      <c r="CL313" s="5"/>
      <c r="CN313" s="40"/>
      <c r="CO313" s="5"/>
      <c r="CQ313" s="40"/>
      <c r="CR313" s="5"/>
    </row>
    <row r="314">
      <c r="AO314" s="40"/>
      <c r="AP314" s="5"/>
      <c r="AR314" s="40"/>
      <c r="AS314" s="5"/>
      <c r="AU314" s="40"/>
      <c r="AV314" s="5"/>
      <c r="AX314" s="40"/>
      <c r="AY314" s="5"/>
      <c r="BA314" s="40"/>
      <c r="BB314" s="5"/>
      <c r="BD314" s="40"/>
      <c r="BE314" s="5"/>
      <c r="BG314" s="40"/>
      <c r="BH314" s="5"/>
      <c r="BJ314" s="40"/>
      <c r="BK314" s="5"/>
      <c r="BM314" s="40"/>
      <c r="BN314" s="5"/>
      <c r="BP314" s="40"/>
      <c r="BQ314" s="5"/>
      <c r="BS314" s="40"/>
      <c r="BT314" s="5"/>
      <c r="BV314" s="40"/>
      <c r="BW314" s="5"/>
      <c r="BY314" s="40"/>
      <c r="BZ314" s="5"/>
      <c r="CB314" s="40"/>
      <c r="CC314" s="5"/>
      <c r="CE314" s="40"/>
      <c r="CF314" s="5"/>
      <c r="CH314" s="40"/>
      <c r="CI314" s="5"/>
      <c r="CK314" s="40"/>
      <c r="CL314" s="5"/>
      <c r="CN314" s="40"/>
      <c r="CO314" s="5"/>
      <c r="CQ314" s="40"/>
      <c r="CR314" s="5"/>
    </row>
    <row r="315">
      <c r="AO315" s="40"/>
      <c r="AP315" s="5"/>
      <c r="AR315" s="40"/>
      <c r="AS315" s="5"/>
      <c r="AU315" s="40"/>
      <c r="AV315" s="5"/>
      <c r="AX315" s="40"/>
      <c r="AY315" s="5"/>
      <c r="BA315" s="40"/>
      <c r="BB315" s="5"/>
      <c r="BD315" s="40"/>
      <c r="BE315" s="5"/>
      <c r="BG315" s="40"/>
      <c r="BH315" s="5"/>
      <c r="BJ315" s="40"/>
      <c r="BK315" s="5"/>
      <c r="BM315" s="40"/>
      <c r="BN315" s="5"/>
      <c r="BP315" s="40"/>
      <c r="BQ315" s="5"/>
      <c r="BS315" s="40"/>
      <c r="BT315" s="5"/>
      <c r="BV315" s="40"/>
      <c r="BW315" s="5"/>
      <c r="BY315" s="40"/>
      <c r="BZ315" s="5"/>
      <c r="CB315" s="40"/>
      <c r="CC315" s="5"/>
      <c r="CE315" s="40"/>
      <c r="CF315" s="5"/>
      <c r="CH315" s="40"/>
      <c r="CI315" s="5"/>
      <c r="CK315" s="40"/>
      <c r="CL315" s="5"/>
      <c r="CN315" s="40"/>
      <c r="CO315" s="5"/>
      <c r="CQ315" s="40"/>
      <c r="CR315" s="5"/>
    </row>
    <row r="316">
      <c r="AO316" s="40"/>
      <c r="AP316" s="5"/>
      <c r="AR316" s="40"/>
      <c r="AS316" s="5"/>
      <c r="AU316" s="40"/>
      <c r="AV316" s="5"/>
      <c r="AX316" s="40"/>
      <c r="AY316" s="5"/>
      <c r="BA316" s="40"/>
      <c r="BB316" s="5"/>
      <c r="BD316" s="40"/>
      <c r="BE316" s="5"/>
      <c r="BG316" s="40"/>
      <c r="BH316" s="5"/>
      <c r="BJ316" s="40"/>
      <c r="BK316" s="5"/>
      <c r="BM316" s="40"/>
      <c r="BN316" s="5"/>
      <c r="BP316" s="40"/>
      <c r="BQ316" s="5"/>
      <c r="BS316" s="40"/>
      <c r="BT316" s="5"/>
      <c r="BV316" s="40"/>
      <c r="BW316" s="5"/>
      <c r="BY316" s="40"/>
      <c r="BZ316" s="5"/>
      <c r="CB316" s="40"/>
      <c r="CC316" s="5"/>
      <c r="CE316" s="40"/>
      <c r="CF316" s="5"/>
      <c r="CH316" s="40"/>
      <c r="CI316" s="5"/>
      <c r="CK316" s="40"/>
      <c r="CL316" s="5"/>
      <c r="CN316" s="40"/>
      <c r="CO316" s="5"/>
      <c r="CQ316" s="40"/>
      <c r="CR316" s="5"/>
    </row>
    <row r="317">
      <c r="AO317" s="40"/>
      <c r="AP317" s="5"/>
      <c r="AR317" s="40"/>
      <c r="AS317" s="5"/>
      <c r="AU317" s="40"/>
      <c r="AV317" s="5"/>
      <c r="AX317" s="40"/>
      <c r="AY317" s="5"/>
      <c r="BA317" s="40"/>
      <c r="BB317" s="5"/>
      <c r="BD317" s="40"/>
      <c r="BE317" s="5"/>
      <c r="BG317" s="40"/>
      <c r="BH317" s="5"/>
      <c r="BJ317" s="40"/>
      <c r="BK317" s="5"/>
      <c r="BM317" s="40"/>
      <c r="BN317" s="5"/>
      <c r="BP317" s="40"/>
      <c r="BQ317" s="5"/>
      <c r="BS317" s="40"/>
      <c r="BT317" s="5"/>
      <c r="BV317" s="40"/>
      <c r="BW317" s="5"/>
      <c r="BY317" s="40"/>
      <c r="BZ317" s="5"/>
      <c r="CB317" s="40"/>
      <c r="CC317" s="5"/>
      <c r="CE317" s="40"/>
      <c r="CF317" s="5"/>
      <c r="CH317" s="40"/>
      <c r="CI317" s="5"/>
      <c r="CK317" s="40"/>
      <c r="CL317" s="5"/>
      <c r="CN317" s="40"/>
      <c r="CO317" s="5"/>
      <c r="CQ317" s="40"/>
      <c r="CR317" s="5"/>
    </row>
    <row r="318">
      <c r="AO318" s="40"/>
      <c r="AP318" s="5"/>
      <c r="AR318" s="40"/>
      <c r="AS318" s="5"/>
      <c r="AU318" s="40"/>
      <c r="AV318" s="5"/>
      <c r="AX318" s="40"/>
      <c r="AY318" s="5"/>
      <c r="BA318" s="40"/>
      <c r="BB318" s="5"/>
      <c r="BD318" s="40"/>
      <c r="BE318" s="5"/>
      <c r="BG318" s="40"/>
      <c r="BH318" s="5"/>
      <c r="BJ318" s="40"/>
      <c r="BK318" s="5"/>
      <c r="BM318" s="40"/>
      <c r="BN318" s="5"/>
      <c r="BP318" s="40"/>
      <c r="BQ318" s="5"/>
      <c r="BS318" s="40"/>
      <c r="BT318" s="5"/>
      <c r="BV318" s="40"/>
      <c r="BW318" s="5"/>
      <c r="BY318" s="40"/>
      <c r="BZ318" s="5"/>
      <c r="CB318" s="40"/>
      <c r="CC318" s="5"/>
      <c r="CE318" s="40"/>
      <c r="CF318" s="5"/>
      <c r="CH318" s="40"/>
      <c r="CI318" s="5"/>
      <c r="CK318" s="40"/>
      <c r="CL318" s="5"/>
      <c r="CN318" s="40"/>
      <c r="CO318" s="5"/>
      <c r="CQ318" s="40"/>
      <c r="CR318" s="5"/>
    </row>
    <row r="319">
      <c r="AO319" s="40"/>
      <c r="AP319" s="5"/>
      <c r="AR319" s="40"/>
      <c r="AS319" s="5"/>
      <c r="AU319" s="40"/>
      <c r="AV319" s="5"/>
      <c r="AX319" s="40"/>
      <c r="AY319" s="5"/>
      <c r="BA319" s="40"/>
      <c r="BB319" s="5"/>
      <c r="BD319" s="40"/>
      <c r="BE319" s="5"/>
      <c r="BG319" s="40"/>
      <c r="BH319" s="5"/>
      <c r="BJ319" s="40"/>
      <c r="BK319" s="5"/>
      <c r="BM319" s="40"/>
      <c r="BN319" s="5"/>
      <c r="BP319" s="40"/>
      <c r="BQ319" s="5"/>
      <c r="BS319" s="40"/>
      <c r="BT319" s="5"/>
      <c r="BV319" s="40"/>
      <c r="BW319" s="5"/>
      <c r="BY319" s="40"/>
      <c r="BZ319" s="5"/>
      <c r="CB319" s="40"/>
      <c r="CC319" s="5"/>
      <c r="CE319" s="40"/>
      <c r="CF319" s="5"/>
      <c r="CH319" s="40"/>
      <c r="CI319" s="5"/>
      <c r="CK319" s="40"/>
      <c r="CL319" s="5"/>
      <c r="CN319" s="40"/>
      <c r="CO319" s="5"/>
      <c r="CQ319" s="40"/>
      <c r="CR319" s="5"/>
    </row>
    <row r="320">
      <c r="AO320" s="40"/>
      <c r="AP320" s="5"/>
      <c r="AR320" s="40"/>
      <c r="AS320" s="5"/>
      <c r="AU320" s="40"/>
      <c r="AV320" s="5"/>
      <c r="AX320" s="40"/>
      <c r="AY320" s="5"/>
      <c r="BA320" s="40"/>
      <c r="BB320" s="5"/>
      <c r="BD320" s="40"/>
      <c r="BE320" s="5"/>
      <c r="BG320" s="40"/>
      <c r="BH320" s="5"/>
      <c r="BJ320" s="40"/>
      <c r="BK320" s="5"/>
      <c r="BM320" s="40"/>
      <c r="BN320" s="5"/>
      <c r="BP320" s="40"/>
      <c r="BQ320" s="5"/>
      <c r="BS320" s="40"/>
      <c r="BT320" s="5"/>
      <c r="BV320" s="40"/>
      <c r="BW320" s="5"/>
      <c r="BY320" s="40"/>
      <c r="BZ320" s="5"/>
      <c r="CB320" s="40"/>
      <c r="CC320" s="5"/>
      <c r="CE320" s="40"/>
      <c r="CF320" s="5"/>
      <c r="CH320" s="40"/>
      <c r="CI320" s="5"/>
      <c r="CK320" s="40"/>
      <c r="CL320" s="5"/>
      <c r="CN320" s="40"/>
      <c r="CO320" s="5"/>
      <c r="CQ320" s="40"/>
      <c r="CR320" s="5"/>
    </row>
    <row r="321">
      <c r="AO321" s="40"/>
      <c r="AP321" s="5"/>
      <c r="AR321" s="40"/>
      <c r="AS321" s="5"/>
      <c r="AU321" s="40"/>
      <c r="AV321" s="5"/>
      <c r="AX321" s="40"/>
      <c r="AY321" s="5"/>
      <c r="BA321" s="40"/>
      <c r="BB321" s="5"/>
      <c r="BD321" s="40"/>
      <c r="BE321" s="5"/>
      <c r="BG321" s="40"/>
      <c r="BH321" s="5"/>
      <c r="BJ321" s="40"/>
      <c r="BK321" s="5"/>
      <c r="BM321" s="40"/>
      <c r="BN321" s="5"/>
      <c r="BP321" s="40"/>
      <c r="BQ321" s="5"/>
      <c r="BS321" s="40"/>
      <c r="BT321" s="5"/>
      <c r="BV321" s="40"/>
      <c r="BW321" s="5"/>
      <c r="BY321" s="40"/>
      <c r="BZ321" s="5"/>
      <c r="CB321" s="40"/>
      <c r="CC321" s="5"/>
      <c r="CE321" s="40"/>
      <c r="CF321" s="5"/>
      <c r="CH321" s="40"/>
      <c r="CI321" s="5"/>
      <c r="CK321" s="40"/>
      <c r="CL321" s="5"/>
      <c r="CN321" s="40"/>
      <c r="CO321" s="5"/>
      <c r="CQ321" s="40"/>
      <c r="CR321" s="5"/>
    </row>
    <row r="322">
      <c r="AO322" s="40"/>
      <c r="AP322" s="5"/>
      <c r="AR322" s="40"/>
      <c r="AS322" s="5"/>
      <c r="AU322" s="40"/>
      <c r="AV322" s="5"/>
      <c r="AX322" s="40"/>
      <c r="AY322" s="5"/>
      <c r="BA322" s="40"/>
      <c r="BB322" s="5"/>
      <c r="BD322" s="40"/>
      <c r="BE322" s="5"/>
      <c r="BG322" s="40"/>
      <c r="BH322" s="5"/>
      <c r="BJ322" s="40"/>
      <c r="BK322" s="5"/>
      <c r="BM322" s="40"/>
      <c r="BN322" s="5"/>
      <c r="BP322" s="40"/>
      <c r="BQ322" s="5"/>
      <c r="BS322" s="40"/>
      <c r="BT322" s="5"/>
      <c r="BV322" s="40"/>
      <c r="BW322" s="5"/>
      <c r="BY322" s="40"/>
      <c r="BZ322" s="5"/>
      <c r="CB322" s="40"/>
      <c r="CC322" s="5"/>
      <c r="CE322" s="40"/>
      <c r="CF322" s="5"/>
      <c r="CH322" s="40"/>
      <c r="CI322" s="5"/>
      <c r="CK322" s="40"/>
      <c r="CL322" s="5"/>
      <c r="CN322" s="40"/>
      <c r="CO322" s="5"/>
      <c r="CQ322" s="40"/>
      <c r="CR322" s="5"/>
    </row>
    <row r="323">
      <c r="AO323" s="40"/>
      <c r="AP323" s="5"/>
      <c r="AR323" s="40"/>
      <c r="AS323" s="5"/>
      <c r="AU323" s="40"/>
      <c r="AV323" s="5"/>
      <c r="AX323" s="40"/>
      <c r="AY323" s="5"/>
      <c r="BA323" s="40"/>
      <c r="BB323" s="5"/>
      <c r="BD323" s="40"/>
      <c r="BE323" s="5"/>
      <c r="BG323" s="40"/>
      <c r="BH323" s="5"/>
      <c r="BJ323" s="40"/>
      <c r="BK323" s="5"/>
      <c r="BM323" s="40"/>
      <c r="BN323" s="5"/>
      <c r="BP323" s="40"/>
      <c r="BQ323" s="5"/>
      <c r="BS323" s="40"/>
      <c r="BT323" s="5"/>
      <c r="BV323" s="40"/>
      <c r="BW323" s="5"/>
      <c r="BY323" s="40"/>
      <c r="BZ323" s="5"/>
      <c r="CB323" s="40"/>
      <c r="CC323" s="5"/>
      <c r="CE323" s="40"/>
      <c r="CF323" s="5"/>
      <c r="CH323" s="40"/>
      <c r="CI323" s="5"/>
      <c r="CK323" s="40"/>
      <c r="CL323" s="5"/>
      <c r="CN323" s="40"/>
      <c r="CO323" s="5"/>
      <c r="CQ323" s="40"/>
      <c r="CR323" s="5"/>
    </row>
    <row r="324">
      <c r="AO324" s="40"/>
      <c r="AP324" s="5"/>
      <c r="AR324" s="40"/>
      <c r="AS324" s="5"/>
      <c r="AU324" s="40"/>
      <c r="AV324" s="5"/>
      <c r="AX324" s="40"/>
      <c r="AY324" s="5"/>
      <c r="BA324" s="40"/>
      <c r="BB324" s="5"/>
      <c r="BD324" s="40"/>
      <c r="BE324" s="5"/>
      <c r="BG324" s="40"/>
      <c r="BH324" s="5"/>
      <c r="BJ324" s="40"/>
      <c r="BK324" s="5"/>
      <c r="BM324" s="40"/>
      <c r="BN324" s="5"/>
      <c r="BP324" s="40"/>
      <c r="BQ324" s="5"/>
      <c r="BS324" s="40"/>
      <c r="BT324" s="5"/>
      <c r="BV324" s="40"/>
      <c r="BW324" s="5"/>
      <c r="BY324" s="40"/>
      <c r="BZ324" s="5"/>
      <c r="CB324" s="40"/>
      <c r="CC324" s="5"/>
      <c r="CE324" s="40"/>
      <c r="CF324" s="5"/>
      <c r="CH324" s="40"/>
      <c r="CI324" s="5"/>
      <c r="CK324" s="40"/>
      <c r="CL324" s="5"/>
      <c r="CN324" s="40"/>
      <c r="CO324" s="5"/>
      <c r="CQ324" s="40"/>
      <c r="CR324" s="5"/>
    </row>
    <row r="325">
      <c r="AO325" s="40"/>
      <c r="AP325" s="5"/>
      <c r="AR325" s="40"/>
      <c r="AS325" s="5"/>
      <c r="AU325" s="40"/>
      <c r="AV325" s="5"/>
      <c r="AX325" s="40"/>
      <c r="AY325" s="5"/>
      <c r="BA325" s="40"/>
      <c r="BB325" s="5"/>
      <c r="BD325" s="40"/>
      <c r="BE325" s="5"/>
      <c r="BG325" s="40"/>
      <c r="BH325" s="5"/>
      <c r="BJ325" s="40"/>
      <c r="BK325" s="5"/>
      <c r="BM325" s="40"/>
      <c r="BN325" s="5"/>
      <c r="BP325" s="40"/>
      <c r="BQ325" s="5"/>
      <c r="BS325" s="40"/>
      <c r="BT325" s="5"/>
      <c r="BV325" s="40"/>
      <c r="BW325" s="5"/>
      <c r="BY325" s="40"/>
      <c r="BZ325" s="5"/>
      <c r="CB325" s="40"/>
      <c r="CC325" s="5"/>
      <c r="CE325" s="40"/>
      <c r="CF325" s="5"/>
      <c r="CH325" s="40"/>
      <c r="CI325" s="5"/>
      <c r="CK325" s="40"/>
      <c r="CL325" s="5"/>
      <c r="CN325" s="40"/>
      <c r="CO325" s="5"/>
      <c r="CQ325" s="40"/>
      <c r="CR325" s="5"/>
    </row>
    <row r="326">
      <c r="AO326" s="40"/>
      <c r="AP326" s="5"/>
      <c r="AR326" s="40"/>
      <c r="AS326" s="5"/>
      <c r="AU326" s="40"/>
      <c r="AV326" s="5"/>
      <c r="AX326" s="40"/>
      <c r="AY326" s="5"/>
      <c r="BA326" s="40"/>
      <c r="BB326" s="5"/>
      <c r="BD326" s="40"/>
      <c r="BE326" s="5"/>
      <c r="BG326" s="40"/>
      <c r="BH326" s="5"/>
      <c r="BJ326" s="40"/>
      <c r="BK326" s="5"/>
      <c r="BM326" s="40"/>
      <c r="BN326" s="5"/>
      <c r="BP326" s="40"/>
      <c r="BQ326" s="5"/>
      <c r="BS326" s="40"/>
      <c r="BT326" s="5"/>
      <c r="BV326" s="40"/>
      <c r="BW326" s="5"/>
      <c r="BY326" s="40"/>
      <c r="BZ326" s="5"/>
      <c r="CB326" s="40"/>
      <c r="CC326" s="5"/>
      <c r="CE326" s="40"/>
      <c r="CF326" s="5"/>
      <c r="CH326" s="40"/>
      <c r="CI326" s="5"/>
      <c r="CK326" s="40"/>
      <c r="CL326" s="5"/>
      <c r="CN326" s="40"/>
      <c r="CO326" s="5"/>
      <c r="CQ326" s="40"/>
      <c r="CR326" s="5"/>
    </row>
    <row r="327">
      <c r="AO327" s="40"/>
      <c r="AP327" s="5"/>
      <c r="AR327" s="40"/>
      <c r="AS327" s="5"/>
      <c r="AU327" s="40"/>
      <c r="AV327" s="5"/>
      <c r="AX327" s="40"/>
      <c r="AY327" s="5"/>
      <c r="BA327" s="40"/>
      <c r="BB327" s="5"/>
      <c r="BD327" s="40"/>
      <c r="BE327" s="5"/>
      <c r="BG327" s="40"/>
      <c r="BH327" s="5"/>
      <c r="BJ327" s="40"/>
      <c r="BK327" s="5"/>
      <c r="BM327" s="40"/>
      <c r="BN327" s="5"/>
      <c r="BP327" s="40"/>
      <c r="BQ327" s="5"/>
      <c r="BS327" s="40"/>
      <c r="BT327" s="5"/>
      <c r="BV327" s="40"/>
      <c r="BW327" s="5"/>
      <c r="BY327" s="40"/>
      <c r="BZ327" s="5"/>
      <c r="CB327" s="40"/>
      <c r="CC327" s="5"/>
      <c r="CE327" s="40"/>
      <c r="CF327" s="5"/>
      <c r="CH327" s="40"/>
      <c r="CI327" s="5"/>
      <c r="CK327" s="40"/>
      <c r="CL327" s="5"/>
      <c r="CN327" s="40"/>
      <c r="CO327" s="5"/>
      <c r="CQ327" s="40"/>
      <c r="CR327" s="5"/>
    </row>
    <row r="328">
      <c r="AO328" s="40"/>
      <c r="AP328" s="5"/>
      <c r="AR328" s="40"/>
      <c r="AS328" s="5"/>
      <c r="AU328" s="40"/>
      <c r="AV328" s="5"/>
      <c r="AX328" s="40"/>
      <c r="AY328" s="5"/>
      <c r="BA328" s="40"/>
      <c r="BB328" s="5"/>
      <c r="BD328" s="40"/>
      <c r="BE328" s="5"/>
      <c r="BG328" s="40"/>
      <c r="BH328" s="5"/>
      <c r="BJ328" s="40"/>
      <c r="BK328" s="5"/>
      <c r="BM328" s="40"/>
      <c r="BN328" s="5"/>
      <c r="BP328" s="40"/>
      <c r="BQ328" s="5"/>
      <c r="BS328" s="40"/>
      <c r="BT328" s="5"/>
      <c r="BV328" s="40"/>
      <c r="BW328" s="5"/>
      <c r="BY328" s="40"/>
      <c r="BZ328" s="5"/>
      <c r="CB328" s="40"/>
      <c r="CC328" s="5"/>
      <c r="CE328" s="40"/>
      <c r="CF328" s="5"/>
      <c r="CH328" s="40"/>
      <c r="CI328" s="5"/>
      <c r="CK328" s="40"/>
      <c r="CL328" s="5"/>
      <c r="CN328" s="40"/>
      <c r="CO328" s="5"/>
      <c r="CQ328" s="40"/>
      <c r="CR328" s="5"/>
    </row>
    <row r="329">
      <c r="AO329" s="40"/>
      <c r="AP329" s="5"/>
      <c r="AR329" s="40"/>
      <c r="AS329" s="5"/>
      <c r="AU329" s="40"/>
      <c r="AV329" s="5"/>
      <c r="AX329" s="40"/>
      <c r="AY329" s="5"/>
      <c r="BA329" s="40"/>
      <c r="BB329" s="5"/>
      <c r="BD329" s="40"/>
      <c r="BE329" s="5"/>
      <c r="BG329" s="40"/>
      <c r="BH329" s="5"/>
      <c r="BJ329" s="40"/>
      <c r="BK329" s="5"/>
      <c r="BM329" s="40"/>
      <c r="BN329" s="5"/>
      <c r="BP329" s="40"/>
      <c r="BQ329" s="5"/>
      <c r="BS329" s="40"/>
      <c r="BT329" s="5"/>
      <c r="BV329" s="40"/>
      <c r="BW329" s="5"/>
      <c r="BY329" s="40"/>
      <c r="BZ329" s="5"/>
      <c r="CB329" s="40"/>
      <c r="CC329" s="5"/>
      <c r="CE329" s="40"/>
      <c r="CF329" s="5"/>
      <c r="CH329" s="40"/>
      <c r="CI329" s="5"/>
      <c r="CK329" s="40"/>
      <c r="CL329" s="5"/>
      <c r="CN329" s="40"/>
      <c r="CO329" s="5"/>
      <c r="CQ329" s="40"/>
      <c r="CR329" s="5"/>
    </row>
    <row r="330">
      <c r="AO330" s="40"/>
      <c r="AP330" s="5"/>
      <c r="AR330" s="40"/>
      <c r="AS330" s="5"/>
      <c r="AU330" s="40"/>
      <c r="AV330" s="5"/>
      <c r="AX330" s="40"/>
      <c r="AY330" s="5"/>
      <c r="BA330" s="40"/>
      <c r="BB330" s="5"/>
      <c r="BD330" s="40"/>
      <c r="BE330" s="5"/>
      <c r="BG330" s="40"/>
      <c r="BH330" s="5"/>
      <c r="BJ330" s="40"/>
      <c r="BK330" s="5"/>
      <c r="BM330" s="40"/>
      <c r="BN330" s="5"/>
      <c r="BP330" s="40"/>
      <c r="BQ330" s="5"/>
      <c r="BS330" s="40"/>
      <c r="BT330" s="5"/>
      <c r="BV330" s="40"/>
      <c r="BW330" s="5"/>
      <c r="BY330" s="40"/>
      <c r="BZ330" s="5"/>
      <c r="CB330" s="40"/>
      <c r="CC330" s="5"/>
      <c r="CE330" s="40"/>
      <c r="CF330" s="5"/>
      <c r="CH330" s="40"/>
      <c r="CI330" s="5"/>
      <c r="CK330" s="40"/>
      <c r="CL330" s="5"/>
      <c r="CN330" s="40"/>
      <c r="CO330" s="5"/>
      <c r="CQ330" s="40"/>
      <c r="CR330" s="5"/>
    </row>
    <row r="331">
      <c r="AO331" s="40"/>
      <c r="AP331" s="5"/>
      <c r="AR331" s="40"/>
      <c r="AS331" s="5"/>
      <c r="AU331" s="40"/>
      <c r="AV331" s="5"/>
      <c r="AX331" s="40"/>
      <c r="AY331" s="5"/>
      <c r="BA331" s="40"/>
      <c r="BB331" s="5"/>
      <c r="BD331" s="40"/>
      <c r="BE331" s="5"/>
      <c r="BG331" s="40"/>
      <c r="BH331" s="5"/>
      <c r="BJ331" s="40"/>
      <c r="BK331" s="5"/>
      <c r="BM331" s="40"/>
      <c r="BN331" s="5"/>
      <c r="BP331" s="40"/>
      <c r="BQ331" s="5"/>
      <c r="BS331" s="40"/>
      <c r="BT331" s="5"/>
      <c r="BV331" s="40"/>
      <c r="BW331" s="5"/>
      <c r="BY331" s="40"/>
      <c r="BZ331" s="5"/>
      <c r="CB331" s="40"/>
      <c r="CC331" s="5"/>
      <c r="CE331" s="40"/>
      <c r="CF331" s="5"/>
      <c r="CH331" s="40"/>
      <c r="CI331" s="5"/>
      <c r="CK331" s="40"/>
      <c r="CL331" s="5"/>
      <c r="CN331" s="40"/>
      <c r="CO331" s="5"/>
      <c r="CQ331" s="40"/>
      <c r="CR331" s="5"/>
    </row>
    <row r="332">
      <c r="AO332" s="40"/>
      <c r="AP332" s="5"/>
      <c r="AR332" s="40"/>
      <c r="AS332" s="5"/>
      <c r="AU332" s="40"/>
      <c r="AV332" s="5"/>
      <c r="AX332" s="40"/>
      <c r="AY332" s="5"/>
      <c r="BA332" s="40"/>
      <c r="BB332" s="5"/>
      <c r="BD332" s="40"/>
      <c r="BE332" s="5"/>
      <c r="BG332" s="40"/>
      <c r="BH332" s="5"/>
      <c r="BJ332" s="40"/>
      <c r="BK332" s="5"/>
      <c r="BM332" s="40"/>
      <c r="BN332" s="5"/>
      <c r="BP332" s="40"/>
      <c r="BQ332" s="5"/>
      <c r="BS332" s="40"/>
      <c r="BT332" s="5"/>
      <c r="BV332" s="40"/>
      <c r="BW332" s="5"/>
      <c r="BY332" s="40"/>
      <c r="BZ332" s="5"/>
      <c r="CB332" s="40"/>
      <c r="CC332" s="5"/>
      <c r="CE332" s="40"/>
      <c r="CF332" s="5"/>
      <c r="CH332" s="40"/>
      <c r="CI332" s="5"/>
      <c r="CK332" s="40"/>
      <c r="CL332" s="5"/>
      <c r="CN332" s="40"/>
      <c r="CO332" s="5"/>
      <c r="CQ332" s="40"/>
      <c r="CR332" s="5"/>
    </row>
    <row r="333">
      <c r="AO333" s="40"/>
      <c r="AP333" s="5"/>
      <c r="AR333" s="40"/>
      <c r="AS333" s="5"/>
      <c r="AU333" s="40"/>
      <c r="AV333" s="5"/>
      <c r="AX333" s="40"/>
      <c r="AY333" s="5"/>
      <c r="BA333" s="40"/>
      <c r="BB333" s="5"/>
      <c r="BD333" s="40"/>
      <c r="BE333" s="5"/>
      <c r="BG333" s="40"/>
      <c r="BH333" s="5"/>
      <c r="BJ333" s="40"/>
      <c r="BK333" s="5"/>
      <c r="BM333" s="40"/>
      <c r="BN333" s="5"/>
      <c r="BP333" s="40"/>
      <c r="BQ333" s="5"/>
      <c r="BS333" s="40"/>
      <c r="BT333" s="5"/>
      <c r="BV333" s="40"/>
      <c r="BW333" s="5"/>
      <c r="BY333" s="40"/>
      <c r="BZ333" s="5"/>
      <c r="CB333" s="40"/>
      <c r="CC333" s="5"/>
      <c r="CE333" s="40"/>
      <c r="CF333" s="5"/>
      <c r="CH333" s="40"/>
      <c r="CI333" s="5"/>
      <c r="CK333" s="40"/>
      <c r="CL333" s="5"/>
      <c r="CN333" s="40"/>
      <c r="CO333" s="5"/>
      <c r="CQ333" s="40"/>
      <c r="CR333" s="5"/>
    </row>
    <row r="334">
      <c r="AO334" s="40"/>
      <c r="AP334" s="5"/>
      <c r="AR334" s="40"/>
      <c r="AS334" s="5"/>
      <c r="AU334" s="40"/>
      <c r="AV334" s="5"/>
      <c r="AX334" s="40"/>
      <c r="AY334" s="5"/>
      <c r="BA334" s="40"/>
      <c r="BB334" s="5"/>
      <c r="BD334" s="40"/>
      <c r="BE334" s="5"/>
      <c r="BG334" s="40"/>
      <c r="BH334" s="5"/>
      <c r="BJ334" s="40"/>
      <c r="BK334" s="5"/>
      <c r="BM334" s="40"/>
      <c r="BN334" s="5"/>
      <c r="BP334" s="40"/>
      <c r="BQ334" s="5"/>
      <c r="BS334" s="40"/>
      <c r="BT334" s="5"/>
      <c r="BV334" s="40"/>
      <c r="BW334" s="5"/>
      <c r="BY334" s="40"/>
      <c r="BZ334" s="5"/>
      <c r="CB334" s="40"/>
      <c r="CC334" s="5"/>
      <c r="CE334" s="40"/>
      <c r="CF334" s="5"/>
      <c r="CH334" s="40"/>
      <c r="CI334" s="5"/>
      <c r="CK334" s="40"/>
      <c r="CL334" s="5"/>
      <c r="CN334" s="40"/>
      <c r="CO334" s="5"/>
      <c r="CQ334" s="40"/>
      <c r="CR334" s="5"/>
    </row>
    <row r="335">
      <c r="AO335" s="40"/>
      <c r="AP335" s="5"/>
      <c r="AR335" s="40"/>
      <c r="AS335" s="5"/>
      <c r="AU335" s="40"/>
      <c r="AV335" s="5"/>
      <c r="AX335" s="40"/>
      <c r="AY335" s="5"/>
      <c r="BA335" s="40"/>
      <c r="BB335" s="5"/>
      <c r="BD335" s="40"/>
      <c r="BE335" s="5"/>
      <c r="BG335" s="40"/>
      <c r="BH335" s="5"/>
      <c r="BJ335" s="40"/>
      <c r="BK335" s="5"/>
      <c r="BM335" s="40"/>
      <c r="BN335" s="5"/>
      <c r="BP335" s="40"/>
      <c r="BQ335" s="5"/>
      <c r="BS335" s="40"/>
      <c r="BT335" s="5"/>
      <c r="BV335" s="40"/>
      <c r="BW335" s="5"/>
      <c r="BY335" s="40"/>
      <c r="BZ335" s="5"/>
      <c r="CB335" s="40"/>
      <c r="CC335" s="5"/>
      <c r="CE335" s="40"/>
      <c r="CF335" s="5"/>
      <c r="CH335" s="40"/>
      <c r="CI335" s="5"/>
      <c r="CK335" s="40"/>
      <c r="CL335" s="5"/>
      <c r="CN335" s="40"/>
      <c r="CO335" s="5"/>
      <c r="CQ335" s="40"/>
      <c r="CR335" s="5"/>
    </row>
    <row r="336">
      <c r="AO336" s="40"/>
      <c r="AP336" s="5"/>
      <c r="AR336" s="40"/>
      <c r="AS336" s="5"/>
      <c r="AU336" s="40"/>
      <c r="AV336" s="5"/>
      <c r="AX336" s="40"/>
      <c r="AY336" s="5"/>
      <c r="BA336" s="40"/>
      <c r="BB336" s="5"/>
      <c r="BD336" s="40"/>
      <c r="BE336" s="5"/>
      <c r="BG336" s="40"/>
      <c r="BH336" s="5"/>
      <c r="BJ336" s="40"/>
      <c r="BK336" s="5"/>
      <c r="BM336" s="40"/>
      <c r="BN336" s="5"/>
      <c r="BP336" s="40"/>
      <c r="BQ336" s="5"/>
      <c r="BS336" s="40"/>
      <c r="BT336" s="5"/>
      <c r="BV336" s="40"/>
      <c r="BW336" s="5"/>
      <c r="BY336" s="40"/>
      <c r="BZ336" s="5"/>
      <c r="CB336" s="40"/>
      <c r="CC336" s="5"/>
      <c r="CE336" s="40"/>
      <c r="CF336" s="5"/>
      <c r="CH336" s="40"/>
      <c r="CI336" s="5"/>
      <c r="CK336" s="40"/>
      <c r="CL336" s="5"/>
      <c r="CN336" s="40"/>
      <c r="CO336" s="5"/>
      <c r="CQ336" s="40"/>
      <c r="CR336" s="5"/>
    </row>
    <row r="337">
      <c r="AO337" s="40"/>
      <c r="AP337" s="5"/>
      <c r="AR337" s="40"/>
      <c r="AS337" s="5"/>
      <c r="AU337" s="40"/>
      <c r="AV337" s="5"/>
      <c r="AX337" s="40"/>
      <c r="AY337" s="5"/>
      <c r="BA337" s="40"/>
      <c r="BB337" s="5"/>
      <c r="BD337" s="40"/>
      <c r="BE337" s="5"/>
      <c r="BG337" s="40"/>
      <c r="BH337" s="5"/>
      <c r="BJ337" s="40"/>
      <c r="BK337" s="5"/>
      <c r="BM337" s="40"/>
      <c r="BN337" s="5"/>
      <c r="BP337" s="40"/>
      <c r="BQ337" s="5"/>
      <c r="BS337" s="40"/>
      <c r="BT337" s="5"/>
      <c r="BV337" s="40"/>
      <c r="BW337" s="5"/>
      <c r="BY337" s="40"/>
      <c r="BZ337" s="5"/>
      <c r="CB337" s="40"/>
      <c r="CC337" s="5"/>
      <c r="CE337" s="40"/>
      <c r="CF337" s="5"/>
      <c r="CH337" s="40"/>
      <c r="CI337" s="5"/>
      <c r="CK337" s="40"/>
      <c r="CL337" s="5"/>
      <c r="CN337" s="40"/>
      <c r="CO337" s="5"/>
      <c r="CQ337" s="40"/>
      <c r="CR337" s="5"/>
    </row>
    <row r="338">
      <c r="AO338" s="40"/>
      <c r="AP338" s="5"/>
      <c r="AR338" s="40"/>
      <c r="AS338" s="5"/>
      <c r="AU338" s="40"/>
      <c r="AV338" s="5"/>
      <c r="AX338" s="40"/>
      <c r="AY338" s="5"/>
      <c r="BA338" s="40"/>
      <c r="BB338" s="5"/>
      <c r="BD338" s="40"/>
      <c r="BE338" s="5"/>
      <c r="BG338" s="40"/>
      <c r="BH338" s="5"/>
      <c r="BJ338" s="40"/>
      <c r="BK338" s="5"/>
      <c r="BM338" s="40"/>
      <c r="BN338" s="5"/>
      <c r="BP338" s="40"/>
      <c r="BQ338" s="5"/>
      <c r="BS338" s="40"/>
      <c r="BT338" s="5"/>
      <c r="BV338" s="40"/>
      <c r="BW338" s="5"/>
      <c r="BY338" s="40"/>
      <c r="BZ338" s="5"/>
      <c r="CB338" s="40"/>
      <c r="CC338" s="5"/>
      <c r="CE338" s="40"/>
      <c r="CF338" s="5"/>
      <c r="CH338" s="40"/>
      <c r="CI338" s="5"/>
      <c r="CK338" s="40"/>
      <c r="CL338" s="5"/>
      <c r="CN338" s="40"/>
      <c r="CO338" s="5"/>
      <c r="CQ338" s="40"/>
      <c r="CR338" s="5"/>
    </row>
    <row r="339">
      <c r="AO339" s="40"/>
      <c r="AP339" s="5"/>
      <c r="AR339" s="40"/>
      <c r="AS339" s="5"/>
      <c r="AU339" s="40"/>
      <c r="AV339" s="5"/>
      <c r="AX339" s="40"/>
      <c r="AY339" s="5"/>
      <c r="BA339" s="40"/>
      <c r="BB339" s="5"/>
      <c r="BD339" s="40"/>
      <c r="BE339" s="5"/>
      <c r="BG339" s="40"/>
      <c r="BH339" s="5"/>
      <c r="BJ339" s="40"/>
      <c r="BK339" s="5"/>
      <c r="BM339" s="40"/>
      <c r="BN339" s="5"/>
      <c r="BP339" s="40"/>
      <c r="BQ339" s="5"/>
      <c r="BS339" s="40"/>
      <c r="BT339" s="5"/>
      <c r="BV339" s="40"/>
      <c r="BW339" s="5"/>
      <c r="BY339" s="40"/>
      <c r="BZ339" s="5"/>
      <c r="CB339" s="40"/>
      <c r="CC339" s="5"/>
      <c r="CE339" s="40"/>
      <c r="CF339" s="5"/>
      <c r="CH339" s="40"/>
      <c r="CI339" s="5"/>
      <c r="CK339" s="40"/>
      <c r="CL339" s="5"/>
      <c r="CN339" s="40"/>
      <c r="CO339" s="5"/>
      <c r="CQ339" s="40"/>
      <c r="CR339" s="5"/>
    </row>
    <row r="340">
      <c r="AO340" s="40"/>
      <c r="AP340" s="5"/>
      <c r="AR340" s="40"/>
      <c r="AS340" s="5"/>
      <c r="AU340" s="40"/>
      <c r="AV340" s="5"/>
      <c r="AX340" s="40"/>
      <c r="AY340" s="5"/>
      <c r="BA340" s="40"/>
      <c r="BB340" s="5"/>
      <c r="BD340" s="40"/>
      <c r="BE340" s="5"/>
      <c r="BG340" s="40"/>
      <c r="BH340" s="5"/>
      <c r="BJ340" s="40"/>
      <c r="BK340" s="5"/>
      <c r="BM340" s="40"/>
      <c r="BN340" s="5"/>
      <c r="BP340" s="40"/>
      <c r="BQ340" s="5"/>
      <c r="BS340" s="40"/>
      <c r="BT340" s="5"/>
      <c r="BV340" s="40"/>
      <c r="BW340" s="5"/>
      <c r="BY340" s="40"/>
      <c r="BZ340" s="5"/>
      <c r="CB340" s="40"/>
      <c r="CC340" s="5"/>
      <c r="CE340" s="40"/>
      <c r="CF340" s="5"/>
      <c r="CH340" s="40"/>
      <c r="CI340" s="5"/>
      <c r="CK340" s="40"/>
      <c r="CL340" s="5"/>
      <c r="CN340" s="40"/>
      <c r="CO340" s="5"/>
      <c r="CQ340" s="40"/>
      <c r="CR340" s="5"/>
    </row>
    <row r="341">
      <c r="AO341" s="40"/>
      <c r="AP341" s="5"/>
      <c r="AR341" s="40"/>
      <c r="AS341" s="5"/>
      <c r="AU341" s="40"/>
      <c r="AV341" s="5"/>
      <c r="AX341" s="40"/>
      <c r="AY341" s="5"/>
      <c r="BA341" s="40"/>
      <c r="BB341" s="5"/>
      <c r="BD341" s="40"/>
      <c r="BE341" s="5"/>
      <c r="BG341" s="40"/>
      <c r="BH341" s="5"/>
      <c r="BJ341" s="40"/>
      <c r="BK341" s="5"/>
      <c r="BM341" s="40"/>
      <c r="BN341" s="5"/>
      <c r="BP341" s="40"/>
      <c r="BQ341" s="5"/>
      <c r="BS341" s="40"/>
      <c r="BT341" s="5"/>
      <c r="BV341" s="40"/>
      <c r="BW341" s="5"/>
      <c r="BY341" s="40"/>
      <c r="BZ341" s="5"/>
      <c r="CB341" s="40"/>
      <c r="CC341" s="5"/>
      <c r="CE341" s="40"/>
      <c r="CF341" s="5"/>
      <c r="CH341" s="40"/>
      <c r="CI341" s="5"/>
      <c r="CK341" s="40"/>
      <c r="CL341" s="5"/>
      <c r="CN341" s="40"/>
      <c r="CO341" s="5"/>
      <c r="CQ341" s="40"/>
      <c r="CR341" s="5"/>
    </row>
    <row r="342">
      <c r="AO342" s="40"/>
      <c r="AP342" s="5"/>
      <c r="AR342" s="40"/>
      <c r="AS342" s="5"/>
      <c r="AU342" s="40"/>
      <c r="AV342" s="5"/>
      <c r="AX342" s="40"/>
      <c r="AY342" s="5"/>
      <c r="BA342" s="40"/>
      <c r="BB342" s="5"/>
      <c r="BD342" s="40"/>
      <c r="BE342" s="5"/>
      <c r="BG342" s="40"/>
      <c r="BH342" s="5"/>
      <c r="BJ342" s="40"/>
      <c r="BK342" s="5"/>
      <c r="BM342" s="40"/>
      <c r="BN342" s="5"/>
      <c r="BP342" s="40"/>
      <c r="BQ342" s="5"/>
      <c r="BS342" s="40"/>
      <c r="BT342" s="5"/>
      <c r="BV342" s="40"/>
      <c r="BW342" s="5"/>
      <c r="BY342" s="40"/>
      <c r="BZ342" s="5"/>
      <c r="CB342" s="40"/>
      <c r="CC342" s="5"/>
      <c r="CE342" s="40"/>
      <c r="CF342" s="5"/>
      <c r="CH342" s="40"/>
      <c r="CI342" s="5"/>
      <c r="CK342" s="40"/>
      <c r="CL342" s="5"/>
      <c r="CN342" s="40"/>
      <c r="CO342" s="5"/>
      <c r="CQ342" s="40"/>
      <c r="CR342" s="5"/>
    </row>
    <row r="343">
      <c r="AO343" s="40"/>
      <c r="AP343" s="5"/>
      <c r="AR343" s="40"/>
      <c r="AS343" s="5"/>
      <c r="AU343" s="40"/>
      <c r="AV343" s="5"/>
      <c r="AX343" s="40"/>
      <c r="AY343" s="5"/>
      <c r="BA343" s="40"/>
      <c r="BB343" s="5"/>
      <c r="BD343" s="40"/>
      <c r="BE343" s="5"/>
      <c r="BG343" s="40"/>
      <c r="BH343" s="5"/>
      <c r="BJ343" s="40"/>
      <c r="BK343" s="5"/>
      <c r="BM343" s="40"/>
      <c r="BN343" s="5"/>
      <c r="BP343" s="40"/>
      <c r="BQ343" s="5"/>
      <c r="BS343" s="40"/>
      <c r="BT343" s="5"/>
      <c r="BV343" s="40"/>
      <c r="BW343" s="5"/>
      <c r="BY343" s="40"/>
      <c r="BZ343" s="5"/>
      <c r="CB343" s="40"/>
      <c r="CC343" s="5"/>
      <c r="CE343" s="40"/>
      <c r="CF343" s="5"/>
      <c r="CH343" s="40"/>
      <c r="CI343" s="5"/>
      <c r="CK343" s="40"/>
      <c r="CL343" s="5"/>
      <c r="CN343" s="40"/>
      <c r="CO343" s="5"/>
      <c r="CQ343" s="40"/>
      <c r="CR343" s="5"/>
    </row>
    <row r="344">
      <c r="AO344" s="40"/>
      <c r="AP344" s="5"/>
      <c r="AR344" s="40"/>
      <c r="AS344" s="5"/>
      <c r="AU344" s="40"/>
      <c r="AV344" s="5"/>
      <c r="AX344" s="40"/>
      <c r="AY344" s="5"/>
      <c r="BA344" s="40"/>
      <c r="BB344" s="5"/>
      <c r="BD344" s="40"/>
      <c r="BE344" s="5"/>
      <c r="BG344" s="40"/>
      <c r="BH344" s="5"/>
      <c r="BJ344" s="40"/>
      <c r="BK344" s="5"/>
      <c r="BM344" s="40"/>
      <c r="BN344" s="5"/>
      <c r="BP344" s="40"/>
      <c r="BQ344" s="5"/>
      <c r="BS344" s="40"/>
      <c r="BT344" s="5"/>
      <c r="BV344" s="40"/>
      <c r="BW344" s="5"/>
      <c r="BY344" s="40"/>
      <c r="BZ344" s="5"/>
      <c r="CB344" s="40"/>
      <c r="CC344" s="5"/>
      <c r="CE344" s="40"/>
      <c r="CF344" s="5"/>
      <c r="CH344" s="40"/>
      <c r="CI344" s="5"/>
      <c r="CK344" s="40"/>
      <c r="CL344" s="5"/>
      <c r="CN344" s="40"/>
      <c r="CO344" s="5"/>
      <c r="CQ344" s="40"/>
      <c r="CR344" s="5"/>
    </row>
    <row r="345">
      <c r="AO345" s="40"/>
      <c r="AP345" s="5"/>
      <c r="AR345" s="40"/>
      <c r="AS345" s="5"/>
      <c r="AU345" s="40"/>
      <c r="AV345" s="5"/>
      <c r="AX345" s="40"/>
      <c r="AY345" s="5"/>
      <c r="BA345" s="40"/>
      <c r="BB345" s="5"/>
      <c r="BD345" s="40"/>
      <c r="BE345" s="5"/>
      <c r="BG345" s="40"/>
      <c r="BH345" s="5"/>
      <c r="BJ345" s="40"/>
      <c r="BK345" s="5"/>
      <c r="BM345" s="40"/>
      <c r="BN345" s="5"/>
      <c r="BP345" s="40"/>
      <c r="BQ345" s="5"/>
      <c r="BS345" s="40"/>
      <c r="BT345" s="5"/>
      <c r="BV345" s="40"/>
      <c r="BW345" s="5"/>
      <c r="BY345" s="40"/>
      <c r="BZ345" s="5"/>
      <c r="CB345" s="40"/>
      <c r="CC345" s="5"/>
      <c r="CE345" s="40"/>
      <c r="CF345" s="5"/>
      <c r="CH345" s="40"/>
      <c r="CI345" s="5"/>
      <c r="CK345" s="40"/>
      <c r="CL345" s="5"/>
      <c r="CN345" s="40"/>
      <c r="CO345" s="5"/>
      <c r="CQ345" s="40"/>
      <c r="CR345" s="5"/>
    </row>
    <row r="346">
      <c r="AO346" s="40"/>
      <c r="AP346" s="5"/>
      <c r="AR346" s="40"/>
      <c r="AS346" s="5"/>
      <c r="AU346" s="40"/>
      <c r="AV346" s="5"/>
      <c r="AX346" s="40"/>
      <c r="AY346" s="5"/>
      <c r="BA346" s="40"/>
      <c r="BB346" s="5"/>
      <c r="BD346" s="40"/>
      <c r="BE346" s="5"/>
      <c r="BG346" s="40"/>
      <c r="BH346" s="5"/>
      <c r="BJ346" s="40"/>
      <c r="BK346" s="5"/>
      <c r="BM346" s="40"/>
      <c r="BN346" s="5"/>
      <c r="BP346" s="40"/>
      <c r="BQ346" s="5"/>
      <c r="BS346" s="40"/>
      <c r="BT346" s="5"/>
      <c r="BV346" s="40"/>
      <c r="BW346" s="5"/>
      <c r="BY346" s="40"/>
      <c r="BZ346" s="5"/>
      <c r="CB346" s="40"/>
      <c r="CC346" s="5"/>
      <c r="CE346" s="40"/>
      <c r="CF346" s="5"/>
      <c r="CH346" s="40"/>
      <c r="CI346" s="5"/>
      <c r="CK346" s="40"/>
      <c r="CL346" s="5"/>
      <c r="CN346" s="40"/>
      <c r="CO346" s="5"/>
      <c r="CQ346" s="40"/>
      <c r="CR346" s="5"/>
    </row>
    <row r="347">
      <c r="AO347" s="40"/>
      <c r="AP347" s="5"/>
      <c r="AR347" s="40"/>
      <c r="AS347" s="5"/>
      <c r="AU347" s="40"/>
      <c r="AV347" s="5"/>
      <c r="AX347" s="40"/>
      <c r="AY347" s="5"/>
      <c r="BA347" s="40"/>
      <c r="BB347" s="5"/>
      <c r="BD347" s="40"/>
      <c r="BE347" s="5"/>
      <c r="BG347" s="40"/>
      <c r="BH347" s="5"/>
      <c r="BJ347" s="40"/>
      <c r="BK347" s="5"/>
      <c r="BM347" s="40"/>
      <c r="BN347" s="5"/>
      <c r="BP347" s="40"/>
      <c r="BQ347" s="5"/>
      <c r="BS347" s="40"/>
      <c r="BT347" s="5"/>
      <c r="BV347" s="40"/>
      <c r="BW347" s="5"/>
      <c r="BY347" s="40"/>
      <c r="BZ347" s="5"/>
      <c r="CB347" s="40"/>
      <c r="CC347" s="5"/>
      <c r="CE347" s="40"/>
      <c r="CF347" s="5"/>
      <c r="CH347" s="40"/>
      <c r="CI347" s="5"/>
      <c r="CK347" s="40"/>
      <c r="CL347" s="5"/>
      <c r="CN347" s="40"/>
      <c r="CO347" s="5"/>
      <c r="CQ347" s="40"/>
      <c r="CR347" s="5"/>
    </row>
    <row r="348">
      <c r="AO348" s="40"/>
      <c r="AP348" s="5"/>
      <c r="AR348" s="40"/>
      <c r="AS348" s="5"/>
      <c r="AU348" s="40"/>
      <c r="AV348" s="5"/>
      <c r="AX348" s="40"/>
      <c r="AY348" s="5"/>
      <c r="BA348" s="40"/>
      <c r="BB348" s="5"/>
      <c r="BD348" s="40"/>
      <c r="BE348" s="5"/>
      <c r="BG348" s="40"/>
      <c r="BH348" s="5"/>
      <c r="BJ348" s="40"/>
      <c r="BK348" s="5"/>
      <c r="BM348" s="40"/>
      <c r="BN348" s="5"/>
      <c r="BP348" s="40"/>
      <c r="BQ348" s="5"/>
      <c r="BS348" s="40"/>
      <c r="BT348" s="5"/>
      <c r="BV348" s="40"/>
      <c r="BW348" s="5"/>
      <c r="BY348" s="40"/>
      <c r="BZ348" s="5"/>
      <c r="CB348" s="40"/>
      <c r="CC348" s="5"/>
      <c r="CE348" s="40"/>
      <c r="CF348" s="5"/>
      <c r="CH348" s="40"/>
      <c r="CI348" s="5"/>
      <c r="CK348" s="40"/>
      <c r="CL348" s="5"/>
      <c r="CN348" s="40"/>
      <c r="CO348" s="5"/>
      <c r="CQ348" s="40"/>
      <c r="CR348" s="5"/>
    </row>
    <row r="349">
      <c r="AO349" s="40"/>
      <c r="AP349" s="5"/>
      <c r="AR349" s="40"/>
      <c r="AS349" s="5"/>
      <c r="AU349" s="40"/>
      <c r="AV349" s="5"/>
      <c r="AX349" s="40"/>
      <c r="AY349" s="5"/>
      <c r="BA349" s="40"/>
      <c r="BB349" s="5"/>
      <c r="BD349" s="40"/>
      <c r="BE349" s="5"/>
      <c r="BG349" s="40"/>
      <c r="BH349" s="5"/>
      <c r="BJ349" s="40"/>
      <c r="BK349" s="5"/>
      <c r="BM349" s="40"/>
      <c r="BN349" s="5"/>
      <c r="BP349" s="40"/>
      <c r="BQ349" s="5"/>
      <c r="BS349" s="40"/>
      <c r="BT349" s="5"/>
      <c r="BV349" s="40"/>
      <c r="BW349" s="5"/>
      <c r="BY349" s="40"/>
      <c r="BZ349" s="5"/>
      <c r="CB349" s="40"/>
      <c r="CC349" s="5"/>
      <c r="CE349" s="40"/>
      <c r="CF349" s="5"/>
      <c r="CH349" s="40"/>
      <c r="CI349" s="5"/>
      <c r="CK349" s="40"/>
      <c r="CL349" s="5"/>
      <c r="CN349" s="40"/>
      <c r="CO349" s="5"/>
      <c r="CQ349" s="40"/>
      <c r="CR349" s="5"/>
    </row>
    <row r="350">
      <c r="AO350" s="40"/>
      <c r="AP350" s="5"/>
      <c r="AR350" s="40"/>
      <c r="AS350" s="5"/>
      <c r="AU350" s="40"/>
      <c r="AV350" s="5"/>
      <c r="AX350" s="40"/>
      <c r="AY350" s="5"/>
      <c r="BA350" s="40"/>
      <c r="BB350" s="5"/>
      <c r="BD350" s="40"/>
      <c r="BE350" s="5"/>
      <c r="BG350" s="40"/>
      <c r="BH350" s="5"/>
      <c r="BJ350" s="40"/>
      <c r="BK350" s="5"/>
      <c r="BM350" s="40"/>
      <c r="BN350" s="5"/>
      <c r="BP350" s="40"/>
      <c r="BQ350" s="5"/>
      <c r="BS350" s="40"/>
      <c r="BT350" s="5"/>
      <c r="BV350" s="40"/>
      <c r="BW350" s="5"/>
      <c r="BY350" s="40"/>
      <c r="BZ350" s="5"/>
      <c r="CB350" s="40"/>
      <c r="CC350" s="5"/>
      <c r="CE350" s="40"/>
      <c r="CF350" s="5"/>
      <c r="CH350" s="40"/>
      <c r="CI350" s="5"/>
      <c r="CK350" s="40"/>
      <c r="CL350" s="5"/>
      <c r="CN350" s="40"/>
      <c r="CO350" s="5"/>
      <c r="CQ350" s="40"/>
      <c r="CR350" s="5"/>
    </row>
    <row r="351">
      <c r="AO351" s="40"/>
      <c r="AP351" s="5"/>
      <c r="AR351" s="40"/>
      <c r="AS351" s="5"/>
      <c r="AU351" s="40"/>
      <c r="AV351" s="5"/>
      <c r="AX351" s="40"/>
      <c r="AY351" s="5"/>
      <c r="BA351" s="40"/>
      <c r="BB351" s="5"/>
      <c r="BD351" s="40"/>
      <c r="BE351" s="5"/>
      <c r="BG351" s="40"/>
      <c r="BH351" s="5"/>
      <c r="BJ351" s="40"/>
      <c r="BK351" s="5"/>
      <c r="BM351" s="40"/>
      <c r="BN351" s="5"/>
      <c r="BP351" s="40"/>
      <c r="BQ351" s="5"/>
      <c r="BS351" s="40"/>
      <c r="BT351" s="5"/>
      <c r="BV351" s="40"/>
      <c r="BW351" s="5"/>
      <c r="BY351" s="40"/>
      <c r="BZ351" s="5"/>
      <c r="CB351" s="40"/>
      <c r="CC351" s="5"/>
      <c r="CE351" s="40"/>
      <c r="CF351" s="5"/>
      <c r="CH351" s="40"/>
      <c r="CI351" s="5"/>
      <c r="CK351" s="40"/>
      <c r="CL351" s="5"/>
      <c r="CN351" s="40"/>
      <c r="CO351" s="5"/>
      <c r="CQ351" s="40"/>
      <c r="CR351" s="5"/>
    </row>
    <row r="352">
      <c r="AO352" s="40"/>
      <c r="AP352" s="5"/>
      <c r="AR352" s="40"/>
      <c r="AS352" s="5"/>
      <c r="AU352" s="40"/>
      <c r="AV352" s="5"/>
      <c r="AX352" s="40"/>
      <c r="AY352" s="5"/>
      <c r="BA352" s="40"/>
      <c r="BB352" s="5"/>
      <c r="BD352" s="40"/>
      <c r="BE352" s="5"/>
      <c r="BG352" s="40"/>
      <c r="BH352" s="5"/>
      <c r="BJ352" s="40"/>
      <c r="BK352" s="5"/>
      <c r="BM352" s="40"/>
      <c r="BN352" s="5"/>
      <c r="BP352" s="40"/>
      <c r="BQ352" s="5"/>
      <c r="BS352" s="40"/>
      <c r="BT352" s="5"/>
      <c r="BV352" s="40"/>
      <c r="BW352" s="5"/>
      <c r="BY352" s="40"/>
      <c r="BZ352" s="5"/>
      <c r="CB352" s="40"/>
      <c r="CC352" s="5"/>
      <c r="CE352" s="40"/>
      <c r="CF352" s="5"/>
      <c r="CH352" s="40"/>
      <c r="CI352" s="5"/>
      <c r="CK352" s="40"/>
      <c r="CL352" s="5"/>
      <c r="CN352" s="40"/>
      <c r="CO352" s="5"/>
      <c r="CQ352" s="40"/>
      <c r="CR352" s="5"/>
    </row>
    <row r="353">
      <c r="AO353" s="40"/>
      <c r="AP353" s="5"/>
      <c r="AR353" s="40"/>
      <c r="AS353" s="5"/>
      <c r="AU353" s="40"/>
      <c r="AV353" s="5"/>
      <c r="AX353" s="40"/>
      <c r="AY353" s="5"/>
      <c r="BA353" s="40"/>
      <c r="BB353" s="5"/>
      <c r="BD353" s="40"/>
      <c r="BE353" s="5"/>
      <c r="BG353" s="40"/>
      <c r="BH353" s="5"/>
      <c r="BJ353" s="40"/>
      <c r="BK353" s="5"/>
      <c r="BM353" s="40"/>
      <c r="BN353" s="5"/>
      <c r="BP353" s="40"/>
      <c r="BQ353" s="5"/>
      <c r="BS353" s="40"/>
      <c r="BT353" s="5"/>
      <c r="BV353" s="40"/>
      <c r="BW353" s="5"/>
      <c r="BY353" s="40"/>
      <c r="BZ353" s="5"/>
      <c r="CB353" s="40"/>
      <c r="CC353" s="5"/>
      <c r="CE353" s="40"/>
      <c r="CF353" s="5"/>
      <c r="CH353" s="40"/>
      <c r="CI353" s="5"/>
      <c r="CK353" s="40"/>
      <c r="CL353" s="5"/>
      <c r="CN353" s="40"/>
      <c r="CO353" s="5"/>
      <c r="CQ353" s="40"/>
      <c r="CR353" s="5"/>
    </row>
    <row r="354">
      <c r="AO354" s="40"/>
      <c r="AP354" s="5"/>
      <c r="AR354" s="40"/>
      <c r="AS354" s="5"/>
      <c r="AU354" s="40"/>
      <c r="AV354" s="5"/>
      <c r="AX354" s="40"/>
      <c r="AY354" s="5"/>
      <c r="BA354" s="40"/>
      <c r="BB354" s="5"/>
      <c r="BD354" s="40"/>
      <c r="BE354" s="5"/>
      <c r="BG354" s="40"/>
      <c r="BH354" s="5"/>
      <c r="BJ354" s="40"/>
      <c r="BK354" s="5"/>
      <c r="BM354" s="40"/>
      <c r="BN354" s="5"/>
      <c r="BP354" s="40"/>
      <c r="BQ354" s="5"/>
      <c r="BS354" s="40"/>
      <c r="BT354" s="5"/>
      <c r="BV354" s="40"/>
      <c r="BW354" s="5"/>
      <c r="BY354" s="40"/>
      <c r="BZ354" s="5"/>
      <c r="CB354" s="40"/>
      <c r="CC354" s="5"/>
      <c r="CE354" s="40"/>
      <c r="CF354" s="5"/>
      <c r="CH354" s="40"/>
      <c r="CI354" s="5"/>
      <c r="CK354" s="40"/>
      <c r="CL354" s="5"/>
      <c r="CN354" s="40"/>
      <c r="CO354" s="5"/>
      <c r="CQ354" s="40"/>
      <c r="CR354" s="5"/>
    </row>
    <row r="355">
      <c r="AO355" s="40"/>
      <c r="AP355" s="5"/>
      <c r="AR355" s="40"/>
      <c r="AS355" s="5"/>
      <c r="AU355" s="40"/>
      <c r="AV355" s="5"/>
      <c r="AX355" s="40"/>
      <c r="AY355" s="5"/>
      <c r="BA355" s="40"/>
      <c r="BB355" s="5"/>
      <c r="BD355" s="40"/>
      <c r="BE355" s="5"/>
      <c r="BG355" s="40"/>
      <c r="BH355" s="5"/>
      <c r="BJ355" s="40"/>
      <c r="BK355" s="5"/>
      <c r="BM355" s="40"/>
      <c r="BN355" s="5"/>
      <c r="BP355" s="40"/>
      <c r="BQ355" s="5"/>
      <c r="BS355" s="40"/>
      <c r="BT355" s="5"/>
      <c r="BV355" s="40"/>
      <c r="BW355" s="5"/>
      <c r="BY355" s="40"/>
      <c r="BZ355" s="5"/>
      <c r="CB355" s="40"/>
      <c r="CC355" s="5"/>
      <c r="CE355" s="40"/>
      <c r="CF355" s="5"/>
      <c r="CH355" s="40"/>
      <c r="CI355" s="5"/>
      <c r="CK355" s="40"/>
      <c r="CL355" s="5"/>
      <c r="CN355" s="40"/>
      <c r="CO355" s="5"/>
      <c r="CQ355" s="40"/>
      <c r="CR355" s="5"/>
    </row>
    <row r="356">
      <c r="AO356" s="40"/>
      <c r="AP356" s="5"/>
      <c r="AR356" s="40"/>
      <c r="AS356" s="5"/>
      <c r="AU356" s="40"/>
      <c r="AV356" s="5"/>
      <c r="AX356" s="40"/>
      <c r="AY356" s="5"/>
      <c r="BA356" s="40"/>
      <c r="BB356" s="5"/>
      <c r="BD356" s="40"/>
      <c r="BE356" s="5"/>
      <c r="BG356" s="40"/>
      <c r="BH356" s="5"/>
      <c r="BJ356" s="40"/>
      <c r="BK356" s="5"/>
      <c r="BM356" s="40"/>
      <c r="BN356" s="5"/>
      <c r="BP356" s="40"/>
      <c r="BQ356" s="5"/>
      <c r="BS356" s="40"/>
      <c r="BT356" s="5"/>
      <c r="BV356" s="40"/>
      <c r="BW356" s="5"/>
      <c r="BY356" s="40"/>
      <c r="BZ356" s="5"/>
      <c r="CB356" s="40"/>
      <c r="CC356" s="5"/>
      <c r="CE356" s="40"/>
      <c r="CF356" s="5"/>
      <c r="CH356" s="40"/>
      <c r="CI356" s="5"/>
      <c r="CK356" s="40"/>
      <c r="CL356" s="5"/>
      <c r="CN356" s="40"/>
      <c r="CO356" s="5"/>
      <c r="CQ356" s="40"/>
      <c r="CR356" s="5"/>
    </row>
    <row r="357">
      <c r="AO357" s="40"/>
      <c r="AP357" s="5"/>
      <c r="AR357" s="40"/>
      <c r="AS357" s="5"/>
      <c r="AU357" s="40"/>
      <c r="AV357" s="5"/>
      <c r="AX357" s="40"/>
      <c r="AY357" s="5"/>
      <c r="BA357" s="40"/>
      <c r="BB357" s="5"/>
      <c r="BD357" s="40"/>
      <c r="BE357" s="5"/>
      <c r="BG357" s="40"/>
      <c r="BH357" s="5"/>
      <c r="BJ357" s="40"/>
      <c r="BK357" s="5"/>
      <c r="BM357" s="40"/>
      <c r="BN357" s="5"/>
      <c r="BP357" s="40"/>
      <c r="BQ357" s="5"/>
      <c r="BS357" s="40"/>
      <c r="BT357" s="5"/>
      <c r="BV357" s="40"/>
      <c r="BW357" s="5"/>
      <c r="BY357" s="40"/>
      <c r="BZ357" s="5"/>
      <c r="CB357" s="40"/>
      <c r="CC357" s="5"/>
      <c r="CE357" s="40"/>
      <c r="CF357" s="5"/>
      <c r="CH357" s="40"/>
      <c r="CI357" s="5"/>
      <c r="CK357" s="40"/>
      <c r="CL357" s="5"/>
      <c r="CN357" s="40"/>
      <c r="CO357" s="5"/>
      <c r="CQ357" s="40"/>
      <c r="CR357" s="5"/>
    </row>
    <row r="358">
      <c r="AO358" s="40"/>
      <c r="AP358" s="5"/>
      <c r="AR358" s="40"/>
      <c r="AS358" s="5"/>
      <c r="AU358" s="40"/>
      <c r="AV358" s="5"/>
      <c r="AX358" s="40"/>
      <c r="AY358" s="5"/>
      <c r="BA358" s="40"/>
      <c r="BB358" s="5"/>
      <c r="BD358" s="40"/>
      <c r="BE358" s="5"/>
      <c r="BG358" s="40"/>
      <c r="BH358" s="5"/>
      <c r="BJ358" s="40"/>
      <c r="BK358" s="5"/>
      <c r="BM358" s="40"/>
      <c r="BN358" s="5"/>
      <c r="BP358" s="40"/>
      <c r="BQ358" s="5"/>
      <c r="BS358" s="40"/>
      <c r="BT358" s="5"/>
      <c r="BV358" s="40"/>
      <c r="BW358" s="5"/>
      <c r="BY358" s="40"/>
      <c r="BZ358" s="5"/>
      <c r="CB358" s="40"/>
      <c r="CC358" s="5"/>
      <c r="CE358" s="40"/>
      <c r="CF358" s="5"/>
      <c r="CH358" s="40"/>
      <c r="CI358" s="5"/>
      <c r="CK358" s="40"/>
      <c r="CL358" s="5"/>
      <c r="CN358" s="40"/>
      <c r="CO358" s="5"/>
      <c r="CQ358" s="40"/>
      <c r="CR358" s="5"/>
    </row>
    <row r="359">
      <c r="AO359" s="40"/>
      <c r="AP359" s="5"/>
      <c r="AR359" s="40"/>
      <c r="AS359" s="5"/>
      <c r="AU359" s="40"/>
      <c r="AV359" s="5"/>
      <c r="AX359" s="40"/>
      <c r="AY359" s="5"/>
      <c r="BA359" s="40"/>
      <c r="BB359" s="5"/>
      <c r="BD359" s="40"/>
      <c r="BE359" s="5"/>
      <c r="BG359" s="40"/>
      <c r="BH359" s="5"/>
      <c r="BJ359" s="40"/>
      <c r="BK359" s="5"/>
      <c r="BM359" s="40"/>
      <c r="BN359" s="5"/>
      <c r="BP359" s="40"/>
      <c r="BQ359" s="5"/>
      <c r="BS359" s="40"/>
      <c r="BT359" s="5"/>
      <c r="BV359" s="40"/>
      <c r="BW359" s="5"/>
      <c r="BY359" s="40"/>
      <c r="BZ359" s="5"/>
      <c r="CB359" s="40"/>
      <c r="CC359" s="5"/>
      <c r="CE359" s="40"/>
      <c r="CF359" s="5"/>
      <c r="CH359" s="40"/>
      <c r="CI359" s="5"/>
      <c r="CK359" s="40"/>
      <c r="CL359" s="5"/>
      <c r="CN359" s="40"/>
      <c r="CO359" s="5"/>
      <c r="CQ359" s="40"/>
      <c r="CR359" s="5"/>
    </row>
    <row r="360">
      <c r="AO360" s="40"/>
      <c r="AP360" s="5"/>
      <c r="AR360" s="40"/>
      <c r="AS360" s="5"/>
      <c r="AU360" s="40"/>
      <c r="AV360" s="5"/>
      <c r="AX360" s="40"/>
      <c r="AY360" s="5"/>
      <c r="BA360" s="40"/>
      <c r="BB360" s="5"/>
      <c r="BD360" s="40"/>
      <c r="BE360" s="5"/>
      <c r="BG360" s="40"/>
      <c r="BH360" s="5"/>
      <c r="BJ360" s="40"/>
      <c r="BK360" s="5"/>
      <c r="BM360" s="40"/>
      <c r="BN360" s="5"/>
      <c r="BP360" s="40"/>
      <c r="BQ360" s="5"/>
      <c r="BS360" s="40"/>
      <c r="BT360" s="5"/>
      <c r="BV360" s="40"/>
      <c r="BW360" s="5"/>
      <c r="BY360" s="40"/>
      <c r="BZ360" s="5"/>
      <c r="CB360" s="40"/>
      <c r="CC360" s="5"/>
      <c r="CE360" s="40"/>
      <c r="CF360" s="5"/>
      <c r="CH360" s="40"/>
      <c r="CI360" s="5"/>
      <c r="CK360" s="40"/>
      <c r="CL360" s="5"/>
      <c r="CN360" s="40"/>
      <c r="CO360" s="5"/>
      <c r="CQ360" s="40"/>
      <c r="CR360" s="5"/>
    </row>
    <row r="361">
      <c r="AO361" s="40"/>
      <c r="AP361" s="5"/>
      <c r="AR361" s="40"/>
      <c r="AS361" s="5"/>
      <c r="AU361" s="40"/>
      <c r="AV361" s="5"/>
      <c r="AX361" s="40"/>
      <c r="AY361" s="5"/>
      <c r="BA361" s="40"/>
      <c r="BB361" s="5"/>
      <c r="BD361" s="40"/>
      <c r="BE361" s="5"/>
      <c r="BG361" s="40"/>
      <c r="BH361" s="5"/>
      <c r="BJ361" s="40"/>
      <c r="BK361" s="5"/>
      <c r="BM361" s="40"/>
      <c r="BN361" s="5"/>
      <c r="BP361" s="40"/>
      <c r="BQ361" s="5"/>
      <c r="BS361" s="40"/>
      <c r="BT361" s="5"/>
      <c r="BV361" s="40"/>
      <c r="BW361" s="5"/>
      <c r="BY361" s="40"/>
      <c r="BZ361" s="5"/>
      <c r="CB361" s="40"/>
      <c r="CC361" s="5"/>
      <c r="CE361" s="40"/>
      <c r="CF361" s="5"/>
      <c r="CH361" s="40"/>
      <c r="CI361" s="5"/>
      <c r="CK361" s="40"/>
      <c r="CL361" s="5"/>
      <c r="CN361" s="40"/>
      <c r="CO361" s="5"/>
      <c r="CQ361" s="40"/>
      <c r="CR361" s="5"/>
    </row>
    <row r="362">
      <c r="AO362" s="40"/>
      <c r="AP362" s="5"/>
      <c r="AR362" s="40"/>
      <c r="AS362" s="5"/>
      <c r="AU362" s="40"/>
      <c r="AV362" s="5"/>
      <c r="AX362" s="40"/>
      <c r="AY362" s="5"/>
      <c r="BA362" s="40"/>
      <c r="BB362" s="5"/>
      <c r="BD362" s="40"/>
      <c r="BE362" s="5"/>
      <c r="BG362" s="40"/>
      <c r="BH362" s="5"/>
      <c r="BJ362" s="40"/>
      <c r="BK362" s="5"/>
      <c r="BM362" s="40"/>
      <c r="BN362" s="5"/>
      <c r="BP362" s="40"/>
      <c r="BQ362" s="5"/>
      <c r="BS362" s="40"/>
      <c r="BT362" s="5"/>
      <c r="BV362" s="40"/>
      <c r="BW362" s="5"/>
      <c r="BY362" s="40"/>
      <c r="BZ362" s="5"/>
      <c r="CB362" s="40"/>
      <c r="CC362" s="5"/>
      <c r="CE362" s="40"/>
      <c r="CF362" s="5"/>
      <c r="CH362" s="40"/>
      <c r="CI362" s="5"/>
      <c r="CK362" s="40"/>
      <c r="CL362" s="5"/>
      <c r="CN362" s="40"/>
      <c r="CO362" s="5"/>
      <c r="CQ362" s="40"/>
      <c r="CR362" s="5"/>
    </row>
    <row r="363">
      <c r="AO363" s="40"/>
      <c r="AP363" s="5"/>
      <c r="AR363" s="40"/>
      <c r="AS363" s="5"/>
      <c r="AU363" s="40"/>
      <c r="AV363" s="5"/>
      <c r="AX363" s="40"/>
      <c r="AY363" s="5"/>
      <c r="BA363" s="40"/>
      <c r="BB363" s="5"/>
      <c r="BD363" s="40"/>
      <c r="BE363" s="5"/>
      <c r="BG363" s="40"/>
      <c r="BH363" s="5"/>
      <c r="BJ363" s="40"/>
      <c r="BK363" s="5"/>
      <c r="BM363" s="40"/>
      <c r="BN363" s="5"/>
      <c r="BP363" s="40"/>
      <c r="BQ363" s="5"/>
      <c r="BS363" s="40"/>
      <c r="BT363" s="5"/>
      <c r="BV363" s="40"/>
      <c r="BW363" s="5"/>
      <c r="BY363" s="40"/>
      <c r="BZ363" s="5"/>
      <c r="CB363" s="40"/>
      <c r="CC363" s="5"/>
      <c r="CE363" s="40"/>
      <c r="CF363" s="5"/>
      <c r="CH363" s="40"/>
      <c r="CI363" s="5"/>
      <c r="CK363" s="40"/>
      <c r="CL363" s="5"/>
      <c r="CN363" s="40"/>
      <c r="CO363" s="5"/>
      <c r="CQ363" s="40"/>
      <c r="CR363" s="5"/>
    </row>
    <row r="364">
      <c r="AO364" s="40"/>
      <c r="AP364" s="5"/>
      <c r="AR364" s="40"/>
      <c r="AS364" s="5"/>
      <c r="AU364" s="40"/>
      <c r="AV364" s="5"/>
      <c r="AX364" s="40"/>
      <c r="AY364" s="5"/>
      <c r="BA364" s="40"/>
      <c r="BB364" s="5"/>
      <c r="BD364" s="40"/>
      <c r="BE364" s="5"/>
      <c r="BG364" s="40"/>
      <c r="BH364" s="5"/>
      <c r="BJ364" s="40"/>
      <c r="BK364" s="5"/>
      <c r="BM364" s="40"/>
      <c r="BN364" s="5"/>
      <c r="BP364" s="40"/>
      <c r="BQ364" s="5"/>
      <c r="BS364" s="40"/>
      <c r="BT364" s="5"/>
      <c r="BV364" s="40"/>
      <c r="BW364" s="5"/>
      <c r="BY364" s="40"/>
      <c r="BZ364" s="5"/>
      <c r="CB364" s="40"/>
      <c r="CC364" s="5"/>
      <c r="CE364" s="40"/>
      <c r="CF364" s="5"/>
      <c r="CH364" s="40"/>
      <c r="CI364" s="5"/>
      <c r="CK364" s="40"/>
      <c r="CL364" s="5"/>
      <c r="CN364" s="40"/>
      <c r="CO364" s="5"/>
      <c r="CQ364" s="40"/>
      <c r="CR364" s="5"/>
    </row>
    <row r="365">
      <c r="AO365" s="40"/>
      <c r="AP365" s="5"/>
      <c r="AR365" s="40"/>
      <c r="AS365" s="5"/>
      <c r="AU365" s="40"/>
      <c r="AV365" s="5"/>
      <c r="AX365" s="40"/>
      <c r="AY365" s="5"/>
      <c r="BA365" s="40"/>
      <c r="BB365" s="5"/>
      <c r="BD365" s="40"/>
      <c r="BE365" s="5"/>
      <c r="BG365" s="40"/>
      <c r="BH365" s="5"/>
      <c r="BJ365" s="40"/>
      <c r="BK365" s="5"/>
      <c r="BM365" s="40"/>
      <c r="BN365" s="5"/>
      <c r="BP365" s="40"/>
      <c r="BQ365" s="5"/>
      <c r="BS365" s="40"/>
      <c r="BT365" s="5"/>
      <c r="BV365" s="40"/>
      <c r="BW365" s="5"/>
      <c r="BY365" s="40"/>
      <c r="BZ365" s="5"/>
      <c r="CB365" s="40"/>
      <c r="CC365" s="5"/>
      <c r="CE365" s="40"/>
      <c r="CF365" s="5"/>
      <c r="CH365" s="40"/>
      <c r="CI365" s="5"/>
      <c r="CK365" s="40"/>
      <c r="CL365" s="5"/>
      <c r="CN365" s="40"/>
      <c r="CO365" s="5"/>
      <c r="CQ365" s="40"/>
      <c r="CR365" s="5"/>
    </row>
    <row r="366">
      <c r="AO366" s="40"/>
      <c r="AP366" s="5"/>
      <c r="AR366" s="40"/>
      <c r="AS366" s="5"/>
      <c r="AU366" s="40"/>
      <c r="AV366" s="5"/>
      <c r="AX366" s="40"/>
      <c r="AY366" s="5"/>
      <c r="BA366" s="40"/>
      <c r="BB366" s="5"/>
      <c r="BD366" s="40"/>
      <c r="BE366" s="5"/>
      <c r="BG366" s="40"/>
      <c r="BH366" s="5"/>
      <c r="BJ366" s="40"/>
      <c r="BK366" s="5"/>
      <c r="BM366" s="40"/>
      <c r="BN366" s="5"/>
      <c r="BP366" s="40"/>
      <c r="BQ366" s="5"/>
      <c r="BS366" s="40"/>
      <c r="BT366" s="5"/>
      <c r="BV366" s="40"/>
      <c r="BW366" s="5"/>
      <c r="BY366" s="40"/>
      <c r="BZ366" s="5"/>
      <c r="CB366" s="40"/>
      <c r="CC366" s="5"/>
      <c r="CE366" s="40"/>
      <c r="CF366" s="5"/>
      <c r="CH366" s="40"/>
      <c r="CI366" s="5"/>
      <c r="CK366" s="40"/>
      <c r="CL366" s="5"/>
      <c r="CN366" s="40"/>
      <c r="CO366" s="5"/>
      <c r="CQ366" s="40"/>
      <c r="CR366" s="5"/>
    </row>
    <row r="367">
      <c r="AO367" s="40"/>
      <c r="AP367" s="5"/>
      <c r="AR367" s="40"/>
      <c r="AS367" s="5"/>
      <c r="AU367" s="40"/>
      <c r="AV367" s="5"/>
      <c r="AX367" s="40"/>
      <c r="AY367" s="5"/>
      <c r="BA367" s="40"/>
      <c r="BB367" s="5"/>
      <c r="BD367" s="40"/>
      <c r="BE367" s="5"/>
      <c r="BG367" s="40"/>
      <c r="BH367" s="5"/>
      <c r="BJ367" s="40"/>
      <c r="BK367" s="5"/>
      <c r="BM367" s="40"/>
      <c r="BN367" s="5"/>
      <c r="BP367" s="40"/>
      <c r="BQ367" s="5"/>
      <c r="BS367" s="40"/>
      <c r="BT367" s="5"/>
      <c r="BV367" s="40"/>
      <c r="BW367" s="5"/>
      <c r="BY367" s="40"/>
      <c r="BZ367" s="5"/>
      <c r="CB367" s="40"/>
      <c r="CC367" s="5"/>
      <c r="CE367" s="40"/>
      <c r="CF367" s="5"/>
      <c r="CH367" s="40"/>
      <c r="CI367" s="5"/>
      <c r="CK367" s="40"/>
      <c r="CL367" s="5"/>
      <c r="CN367" s="40"/>
      <c r="CO367" s="5"/>
      <c r="CQ367" s="40"/>
      <c r="CR367" s="5"/>
    </row>
    <row r="368">
      <c r="AO368" s="40"/>
      <c r="AP368" s="5"/>
      <c r="AR368" s="40"/>
      <c r="AS368" s="5"/>
      <c r="AU368" s="40"/>
      <c r="AV368" s="5"/>
      <c r="AX368" s="40"/>
      <c r="AY368" s="5"/>
      <c r="BA368" s="40"/>
      <c r="BB368" s="5"/>
      <c r="BD368" s="40"/>
      <c r="BE368" s="5"/>
      <c r="BG368" s="40"/>
      <c r="BH368" s="5"/>
      <c r="BJ368" s="40"/>
      <c r="BK368" s="5"/>
      <c r="BM368" s="40"/>
      <c r="BN368" s="5"/>
      <c r="BP368" s="40"/>
      <c r="BQ368" s="5"/>
      <c r="BS368" s="40"/>
      <c r="BT368" s="5"/>
      <c r="BV368" s="40"/>
      <c r="BW368" s="5"/>
      <c r="BY368" s="40"/>
      <c r="BZ368" s="5"/>
      <c r="CB368" s="40"/>
      <c r="CC368" s="5"/>
      <c r="CE368" s="40"/>
      <c r="CF368" s="5"/>
      <c r="CH368" s="40"/>
      <c r="CI368" s="5"/>
      <c r="CK368" s="40"/>
      <c r="CL368" s="5"/>
      <c r="CN368" s="40"/>
      <c r="CO368" s="5"/>
      <c r="CQ368" s="40"/>
      <c r="CR368" s="5"/>
    </row>
    <row r="369">
      <c r="AO369" s="40"/>
      <c r="AP369" s="5"/>
      <c r="AR369" s="40"/>
      <c r="AS369" s="5"/>
      <c r="AU369" s="40"/>
      <c r="AV369" s="5"/>
      <c r="AX369" s="40"/>
      <c r="AY369" s="5"/>
      <c r="BA369" s="40"/>
      <c r="BB369" s="5"/>
      <c r="BD369" s="40"/>
      <c r="BE369" s="5"/>
      <c r="BG369" s="40"/>
      <c r="BH369" s="5"/>
      <c r="BJ369" s="40"/>
      <c r="BK369" s="5"/>
      <c r="BM369" s="40"/>
      <c r="BN369" s="5"/>
      <c r="BP369" s="40"/>
      <c r="BQ369" s="5"/>
      <c r="BS369" s="40"/>
      <c r="BT369" s="5"/>
      <c r="BV369" s="40"/>
      <c r="BW369" s="5"/>
      <c r="BY369" s="40"/>
      <c r="BZ369" s="5"/>
      <c r="CB369" s="40"/>
      <c r="CC369" s="5"/>
      <c r="CE369" s="40"/>
      <c r="CF369" s="5"/>
      <c r="CH369" s="40"/>
      <c r="CI369" s="5"/>
      <c r="CK369" s="40"/>
      <c r="CL369" s="5"/>
      <c r="CN369" s="40"/>
      <c r="CO369" s="5"/>
      <c r="CQ369" s="40"/>
      <c r="CR369" s="5"/>
    </row>
    <row r="370">
      <c r="AO370" s="40"/>
      <c r="AP370" s="5"/>
      <c r="AR370" s="40"/>
      <c r="AS370" s="5"/>
      <c r="AU370" s="40"/>
      <c r="AV370" s="5"/>
      <c r="AX370" s="40"/>
      <c r="AY370" s="5"/>
      <c r="BA370" s="40"/>
      <c r="BB370" s="5"/>
      <c r="BD370" s="40"/>
      <c r="BE370" s="5"/>
      <c r="BG370" s="40"/>
      <c r="BH370" s="5"/>
      <c r="BJ370" s="40"/>
      <c r="BK370" s="5"/>
      <c r="BM370" s="40"/>
      <c r="BN370" s="5"/>
      <c r="BP370" s="40"/>
      <c r="BQ370" s="5"/>
      <c r="BS370" s="40"/>
      <c r="BT370" s="5"/>
      <c r="BV370" s="40"/>
      <c r="BW370" s="5"/>
      <c r="BY370" s="40"/>
      <c r="BZ370" s="5"/>
      <c r="CB370" s="40"/>
      <c r="CC370" s="5"/>
      <c r="CE370" s="40"/>
      <c r="CF370" s="5"/>
      <c r="CH370" s="40"/>
      <c r="CI370" s="5"/>
      <c r="CK370" s="40"/>
      <c r="CL370" s="5"/>
      <c r="CN370" s="40"/>
      <c r="CO370" s="5"/>
      <c r="CQ370" s="40"/>
      <c r="CR370" s="5"/>
    </row>
    <row r="371">
      <c r="AO371" s="40"/>
      <c r="AP371" s="5"/>
      <c r="AR371" s="40"/>
      <c r="AS371" s="5"/>
      <c r="AU371" s="40"/>
      <c r="AV371" s="5"/>
      <c r="AX371" s="40"/>
      <c r="AY371" s="5"/>
      <c r="BA371" s="40"/>
      <c r="BB371" s="5"/>
      <c r="BD371" s="40"/>
      <c r="BE371" s="5"/>
      <c r="BG371" s="40"/>
      <c r="BH371" s="5"/>
      <c r="BJ371" s="40"/>
      <c r="BK371" s="5"/>
      <c r="BM371" s="40"/>
      <c r="BN371" s="5"/>
      <c r="BP371" s="40"/>
      <c r="BQ371" s="5"/>
      <c r="BS371" s="40"/>
      <c r="BT371" s="5"/>
      <c r="BV371" s="40"/>
      <c r="BW371" s="5"/>
      <c r="BY371" s="40"/>
      <c r="BZ371" s="5"/>
      <c r="CB371" s="40"/>
      <c r="CC371" s="5"/>
      <c r="CE371" s="40"/>
      <c r="CF371" s="5"/>
      <c r="CH371" s="40"/>
      <c r="CI371" s="5"/>
      <c r="CK371" s="40"/>
      <c r="CL371" s="5"/>
      <c r="CN371" s="40"/>
      <c r="CO371" s="5"/>
      <c r="CQ371" s="40"/>
      <c r="CR371" s="5"/>
    </row>
    <row r="372">
      <c r="AO372" s="40"/>
      <c r="AP372" s="5"/>
      <c r="AR372" s="40"/>
      <c r="AS372" s="5"/>
      <c r="AU372" s="40"/>
      <c r="AV372" s="5"/>
      <c r="AX372" s="40"/>
      <c r="AY372" s="5"/>
      <c r="BA372" s="40"/>
      <c r="BB372" s="5"/>
      <c r="BD372" s="40"/>
      <c r="BE372" s="5"/>
      <c r="BG372" s="40"/>
      <c r="BH372" s="5"/>
      <c r="BJ372" s="40"/>
      <c r="BK372" s="5"/>
      <c r="BM372" s="40"/>
      <c r="BN372" s="5"/>
      <c r="BP372" s="40"/>
      <c r="BQ372" s="5"/>
      <c r="BS372" s="40"/>
      <c r="BT372" s="5"/>
      <c r="BV372" s="40"/>
      <c r="BW372" s="5"/>
      <c r="BY372" s="40"/>
      <c r="BZ372" s="5"/>
      <c r="CB372" s="40"/>
      <c r="CC372" s="5"/>
      <c r="CE372" s="40"/>
      <c r="CF372" s="5"/>
      <c r="CH372" s="40"/>
      <c r="CI372" s="5"/>
      <c r="CK372" s="40"/>
      <c r="CL372" s="5"/>
      <c r="CN372" s="40"/>
      <c r="CO372" s="5"/>
      <c r="CQ372" s="40"/>
      <c r="CR372" s="5"/>
    </row>
    <row r="373">
      <c r="AO373" s="40"/>
      <c r="AP373" s="5"/>
      <c r="AR373" s="40"/>
      <c r="AS373" s="5"/>
      <c r="AU373" s="40"/>
      <c r="AV373" s="5"/>
      <c r="AX373" s="40"/>
      <c r="AY373" s="5"/>
      <c r="BA373" s="40"/>
      <c r="BB373" s="5"/>
      <c r="BD373" s="40"/>
      <c r="BE373" s="5"/>
      <c r="BG373" s="40"/>
      <c r="BH373" s="5"/>
      <c r="BJ373" s="40"/>
      <c r="BK373" s="5"/>
      <c r="BM373" s="40"/>
      <c r="BN373" s="5"/>
      <c r="BP373" s="40"/>
      <c r="BQ373" s="5"/>
      <c r="BS373" s="40"/>
      <c r="BT373" s="5"/>
      <c r="BV373" s="40"/>
      <c r="BW373" s="5"/>
      <c r="BY373" s="40"/>
      <c r="BZ373" s="5"/>
      <c r="CB373" s="40"/>
      <c r="CC373" s="5"/>
      <c r="CE373" s="40"/>
      <c r="CF373" s="5"/>
      <c r="CH373" s="40"/>
      <c r="CI373" s="5"/>
      <c r="CK373" s="40"/>
      <c r="CL373" s="5"/>
      <c r="CN373" s="40"/>
      <c r="CO373" s="5"/>
      <c r="CQ373" s="40"/>
      <c r="CR373" s="5"/>
    </row>
    <row r="374">
      <c r="AO374" s="40"/>
      <c r="AP374" s="5"/>
      <c r="AR374" s="40"/>
      <c r="AS374" s="5"/>
      <c r="AU374" s="40"/>
      <c r="AV374" s="5"/>
      <c r="AX374" s="40"/>
      <c r="AY374" s="5"/>
      <c r="BA374" s="40"/>
      <c r="BB374" s="5"/>
      <c r="BD374" s="40"/>
      <c r="BE374" s="5"/>
      <c r="BG374" s="40"/>
      <c r="BH374" s="5"/>
      <c r="BJ374" s="40"/>
      <c r="BK374" s="5"/>
      <c r="BM374" s="40"/>
      <c r="BN374" s="5"/>
      <c r="BP374" s="40"/>
      <c r="BQ374" s="5"/>
      <c r="BS374" s="40"/>
      <c r="BT374" s="5"/>
      <c r="BV374" s="40"/>
      <c r="BW374" s="5"/>
      <c r="BY374" s="40"/>
      <c r="BZ374" s="5"/>
      <c r="CB374" s="40"/>
      <c r="CC374" s="5"/>
      <c r="CE374" s="40"/>
      <c r="CF374" s="5"/>
      <c r="CH374" s="40"/>
      <c r="CI374" s="5"/>
      <c r="CK374" s="40"/>
      <c r="CL374" s="5"/>
      <c r="CN374" s="40"/>
      <c r="CO374" s="5"/>
      <c r="CQ374" s="40"/>
      <c r="CR374" s="5"/>
    </row>
    <row r="375">
      <c r="AO375" s="40"/>
      <c r="AP375" s="5"/>
      <c r="AR375" s="40"/>
      <c r="AS375" s="5"/>
      <c r="AU375" s="40"/>
      <c r="AV375" s="5"/>
      <c r="AX375" s="40"/>
      <c r="AY375" s="5"/>
      <c r="BA375" s="40"/>
      <c r="BB375" s="5"/>
      <c r="BD375" s="40"/>
      <c r="BE375" s="5"/>
      <c r="BG375" s="40"/>
      <c r="BH375" s="5"/>
      <c r="BJ375" s="40"/>
      <c r="BK375" s="5"/>
      <c r="BM375" s="40"/>
      <c r="BN375" s="5"/>
      <c r="BP375" s="40"/>
      <c r="BQ375" s="5"/>
      <c r="BS375" s="40"/>
      <c r="BT375" s="5"/>
      <c r="BV375" s="40"/>
      <c r="BW375" s="5"/>
      <c r="BY375" s="40"/>
      <c r="BZ375" s="5"/>
      <c r="CB375" s="40"/>
      <c r="CC375" s="5"/>
      <c r="CE375" s="40"/>
      <c r="CF375" s="5"/>
      <c r="CH375" s="40"/>
      <c r="CI375" s="5"/>
      <c r="CK375" s="40"/>
      <c r="CL375" s="5"/>
      <c r="CN375" s="40"/>
      <c r="CO375" s="5"/>
      <c r="CQ375" s="40"/>
      <c r="CR375" s="5"/>
    </row>
    <row r="376">
      <c r="AO376" s="40"/>
      <c r="AP376" s="5"/>
      <c r="AR376" s="40"/>
      <c r="AS376" s="5"/>
      <c r="AU376" s="40"/>
      <c r="AV376" s="5"/>
      <c r="AX376" s="40"/>
      <c r="AY376" s="5"/>
      <c r="BA376" s="40"/>
      <c r="BB376" s="5"/>
      <c r="BD376" s="40"/>
      <c r="BE376" s="5"/>
      <c r="BG376" s="40"/>
      <c r="BH376" s="5"/>
      <c r="BJ376" s="40"/>
      <c r="BK376" s="5"/>
      <c r="BM376" s="40"/>
      <c r="BN376" s="5"/>
      <c r="BP376" s="40"/>
      <c r="BQ376" s="5"/>
      <c r="BS376" s="40"/>
      <c r="BT376" s="5"/>
      <c r="BV376" s="40"/>
      <c r="BW376" s="5"/>
      <c r="BY376" s="40"/>
      <c r="BZ376" s="5"/>
      <c r="CB376" s="40"/>
      <c r="CC376" s="5"/>
      <c r="CE376" s="40"/>
      <c r="CF376" s="5"/>
      <c r="CH376" s="40"/>
      <c r="CI376" s="5"/>
      <c r="CK376" s="40"/>
      <c r="CL376" s="5"/>
      <c r="CN376" s="40"/>
      <c r="CO376" s="5"/>
      <c r="CQ376" s="40"/>
      <c r="CR376" s="5"/>
    </row>
    <row r="377">
      <c r="AO377" s="40"/>
      <c r="AP377" s="5"/>
      <c r="AR377" s="40"/>
      <c r="AS377" s="5"/>
      <c r="AU377" s="40"/>
      <c r="AV377" s="5"/>
      <c r="AX377" s="40"/>
      <c r="AY377" s="5"/>
      <c r="BA377" s="40"/>
      <c r="BB377" s="5"/>
      <c r="BD377" s="40"/>
      <c r="BE377" s="5"/>
      <c r="BG377" s="40"/>
      <c r="BH377" s="5"/>
      <c r="BJ377" s="40"/>
      <c r="BK377" s="5"/>
      <c r="BM377" s="40"/>
      <c r="BN377" s="5"/>
      <c r="BP377" s="40"/>
      <c r="BQ377" s="5"/>
      <c r="BS377" s="40"/>
      <c r="BT377" s="5"/>
      <c r="BV377" s="40"/>
      <c r="BW377" s="5"/>
      <c r="BY377" s="40"/>
      <c r="BZ377" s="5"/>
      <c r="CB377" s="40"/>
      <c r="CC377" s="5"/>
      <c r="CE377" s="40"/>
      <c r="CF377" s="5"/>
      <c r="CH377" s="40"/>
      <c r="CI377" s="5"/>
      <c r="CK377" s="40"/>
      <c r="CL377" s="5"/>
      <c r="CN377" s="40"/>
      <c r="CO377" s="5"/>
      <c r="CQ377" s="40"/>
      <c r="CR377" s="5"/>
    </row>
    <row r="378">
      <c r="AO378" s="40"/>
      <c r="AP378" s="5"/>
      <c r="AR378" s="40"/>
      <c r="AS378" s="5"/>
      <c r="AU378" s="40"/>
      <c r="AV378" s="5"/>
      <c r="AX378" s="40"/>
      <c r="AY378" s="5"/>
      <c r="BA378" s="40"/>
      <c r="BB378" s="5"/>
      <c r="BD378" s="40"/>
      <c r="BE378" s="5"/>
      <c r="BG378" s="40"/>
      <c r="BH378" s="5"/>
      <c r="BJ378" s="40"/>
      <c r="BK378" s="5"/>
      <c r="BM378" s="40"/>
      <c r="BN378" s="5"/>
      <c r="BP378" s="40"/>
      <c r="BQ378" s="5"/>
      <c r="BS378" s="40"/>
      <c r="BT378" s="5"/>
      <c r="BV378" s="40"/>
      <c r="BW378" s="5"/>
      <c r="BY378" s="40"/>
      <c r="BZ378" s="5"/>
      <c r="CB378" s="40"/>
      <c r="CC378" s="5"/>
      <c r="CE378" s="40"/>
      <c r="CF378" s="5"/>
      <c r="CH378" s="40"/>
      <c r="CI378" s="5"/>
      <c r="CK378" s="40"/>
      <c r="CL378" s="5"/>
      <c r="CN378" s="40"/>
      <c r="CO378" s="5"/>
      <c r="CQ378" s="40"/>
      <c r="CR378" s="5"/>
    </row>
    <row r="379">
      <c r="AO379" s="40"/>
      <c r="AP379" s="5"/>
      <c r="AR379" s="40"/>
      <c r="AS379" s="5"/>
      <c r="AU379" s="40"/>
      <c r="AV379" s="5"/>
      <c r="AX379" s="40"/>
      <c r="AY379" s="5"/>
      <c r="BA379" s="40"/>
      <c r="BB379" s="5"/>
      <c r="BD379" s="40"/>
      <c r="BE379" s="5"/>
      <c r="BG379" s="40"/>
      <c r="BH379" s="5"/>
      <c r="BJ379" s="40"/>
      <c r="BK379" s="5"/>
      <c r="BM379" s="40"/>
      <c r="BN379" s="5"/>
      <c r="BP379" s="40"/>
      <c r="BQ379" s="5"/>
      <c r="BS379" s="40"/>
      <c r="BT379" s="5"/>
      <c r="BV379" s="40"/>
      <c r="BW379" s="5"/>
      <c r="BY379" s="40"/>
      <c r="BZ379" s="5"/>
      <c r="CB379" s="40"/>
      <c r="CC379" s="5"/>
      <c r="CE379" s="40"/>
      <c r="CF379" s="5"/>
      <c r="CH379" s="40"/>
      <c r="CI379" s="5"/>
      <c r="CK379" s="40"/>
      <c r="CL379" s="5"/>
      <c r="CN379" s="40"/>
      <c r="CO379" s="5"/>
      <c r="CQ379" s="40"/>
      <c r="CR379" s="5"/>
    </row>
    <row r="380">
      <c r="AO380" s="40"/>
      <c r="AP380" s="5"/>
      <c r="AR380" s="40"/>
      <c r="AS380" s="5"/>
      <c r="AU380" s="40"/>
      <c r="AV380" s="5"/>
      <c r="AX380" s="40"/>
      <c r="AY380" s="5"/>
      <c r="BA380" s="40"/>
      <c r="BB380" s="5"/>
      <c r="BD380" s="40"/>
      <c r="BE380" s="5"/>
      <c r="BG380" s="40"/>
      <c r="BH380" s="5"/>
      <c r="BJ380" s="40"/>
      <c r="BK380" s="5"/>
      <c r="BM380" s="40"/>
      <c r="BN380" s="5"/>
      <c r="BP380" s="40"/>
      <c r="BQ380" s="5"/>
      <c r="BS380" s="40"/>
      <c r="BT380" s="5"/>
      <c r="BV380" s="40"/>
      <c r="BW380" s="5"/>
      <c r="BY380" s="40"/>
      <c r="BZ380" s="5"/>
      <c r="CB380" s="40"/>
      <c r="CC380" s="5"/>
      <c r="CE380" s="40"/>
      <c r="CF380" s="5"/>
      <c r="CH380" s="40"/>
      <c r="CI380" s="5"/>
      <c r="CK380" s="40"/>
      <c r="CL380" s="5"/>
      <c r="CN380" s="40"/>
      <c r="CO380" s="5"/>
      <c r="CQ380" s="40"/>
      <c r="CR380" s="5"/>
    </row>
    <row r="381">
      <c r="AO381" s="40"/>
      <c r="AP381" s="5"/>
      <c r="AR381" s="40"/>
      <c r="AS381" s="5"/>
      <c r="AU381" s="40"/>
      <c r="AV381" s="5"/>
      <c r="AX381" s="40"/>
      <c r="AY381" s="5"/>
      <c r="BA381" s="40"/>
      <c r="BB381" s="5"/>
      <c r="BD381" s="40"/>
      <c r="BE381" s="5"/>
      <c r="BG381" s="40"/>
      <c r="BH381" s="5"/>
      <c r="BJ381" s="40"/>
      <c r="BK381" s="5"/>
      <c r="BM381" s="40"/>
      <c r="BN381" s="5"/>
      <c r="BP381" s="40"/>
      <c r="BQ381" s="5"/>
      <c r="BS381" s="40"/>
      <c r="BT381" s="5"/>
      <c r="BV381" s="40"/>
      <c r="BW381" s="5"/>
      <c r="BY381" s="40"/>
      <c r="BZ381" s="5"/>
      <c r="CB381" s="40"/>
      <c r="CC381" s="5"/>
      <c r="CE381" s="40"/>
      <c r="CF381" s="5"/>
      <c r="CH381" s="40"/>
      <c r="CI381" s="5"/>
      <c r="CK381" s="40"/>
      <c r="CL381" s="5"/>
      <c r="CN381" s="40"/>
      <c r="CO381" s="5"/>
      <c r="CQ381" s="40"/>
      <c r="CR381" s="5"/>
    </row>
    <row r="382">
      <c r="AO382" s="40"/>
      <c r="AP382" s="5"/>
      <c r="AR382" s="40"/>
      <c r="AS382" s="5"/>
      <c r="AU382" s="40"/>
      <c r="AV382" s="5"/>
      <c r="AX382" s="40"/>
      <c r="AY382" s="5"/>
      <c r="BA382" s="40"/>
      <c r="BB382" s="5"/>
      <c r="BD382" s="40"/>
      <c r="BE382" s="5"/>
      <c r="BG382" s="40"/>
      <c r="BH382" s="5"/>
      <c r="BJ382" s="40"/>
      <c r="BK382" s="5"/>
      <c r="BM382" s="40"/>
      <c r="BN382" s="5"/>
      <c r="BP382" s="40"/>
      <c r="BQ382" s="5"/>
      <c r="BS382" s="40"/>
      <c r="BT382" s="5"/>
      <c r="BV382" s="40"/>
      <c r="BW382" s="5"/>
      <c r="BY382" s="40"/>
      <c r="BZ382" s="5"/>
      <c r="CB382" s="40"/>
      <c r="CC382" s="5"/>
      <c r="CE382" s="40"/>
      <c r="CF382" s="5"/>
      <c r="CH382" s="40"/>
      <c r="CI382" s="5"/>
      <c r="CK382" s="40"/>
      <c r="CL382" s="5"/>
      <c r="CN382" s="40"/>
      <c r="CO382" s="5"/>
      <c r="CQ382" s="40"/>
      <c r="CR382" s="5"/>
    </row>
    <row r="383">
      <c r="AO383" s="40"/>
      <c r="AP383" s="5"/>
      <c r="AR383" s="40"/>
      <c r="AS383" s="5"/>
      <c r="AU383" s="40"/>
      <c r="AV383" s="5"/>
      <c r="AX383" s="40"/>
      <c r="AY383" s="5"/>
      <c r="BA383" s="40"/>
      <c r="BB383" s="5"/>
      <c r="BD383" s="40"/>
      <c r="BE383" s="5"/>
      <c r="BG383" s="40"/>
      <c r="BH383" s="5"/>
      <c r="BJ383" s="40"/>
      <c r="BK383" s="5"/>
      <c r="BM383" s="40"/>
      <c r="BN383" s="5"/>
      <c r="BP383" s="40"/>
      <c r="BQ383" s="5"/>
      <c r="BS383" s="40"/>
      <c r="BT383" s="5"/>
      <c r="BV383" s="40"/>
      <c r="BW383" s="5"/>
      <c r="BY383" s="40"/>
      <c r="BZ383" s="5"/>
      <c r="CB383" s="40"/>
      <c r="CC383" s="5"/>
      <c r="CE383" s="40"/>
      <c r="CF383" s="5"/>
      <c r="CH383" s="40"/>
      <c r="CI383" s="5"/>
      <c r="CK383" s="40"/>
      <c r="CL383" s="5"/>
      <c r="CN383" s="40"/>
      <c r="CO383" s="5"/>
      <c r="CQ383" s="40"/>
      <c r="CR383" s="5"/>
    </row>
    <row r="384">
      <c r="AO384" s="40"/>
      <c r="AP384" s="5"/>
      <c r="AR384" s="40"/>
      <c r="AS384" s="5"/>
      <c r="AU384" s="40"/>
      <c r="AV384" s="5"/>
      <c r="AX384" s="40"/>
      <c r="AY384" s="5"/>
      <c r="BA384" s="40"/>
      <c r="BB384" s="5"/>
      <c r="BD384" s="40"/>
      <c r="BE384" s="5"/>
      <c r="BG384" s="40"/>
      <c r="BH384" s="5"/>
      <c r="BJ384" s="40"/>
      <c r="BK384" s="5"/>
      <c r="BM384" s="40"/>
      <c r="BN384" s="5"/>
      <c r="BP384" s="40"/>
      <c r="BQ384" s="5"/>
      <c r="BS384" s="40"/>
      <c r="BT384" s="5"/>
      <c r="BV384" s="40"/>
      <c r="BW384" s="5"/>
      <c r="BY384" s="40"/>
      <c r="BZ384" s="5"/>
      <c r="CB384" s="40"/>
      <c r="CC384" s="5"/>
      <c r="CE384" s="40"/>
      <c r="CF384" s="5"/>
      <c r="CH384" s="40"/>
      <c r="CI384" s="5"/>
      <c r="CK384" s="40"/>
      <c r="CL384" s="5"/>
      <c r="CN384" s="40"/>
      <c r="CO384" s="5"/>
      <c r="CQ384" s="40"/>
      <c r="CR384" s="5"/>
    </row>
    <row r="385">
      <c r="AO385" s="40"/>
      <c r="AP385" s="5"/>
      <c r="AR385" s="40"/>
      <c r="AS385" s="5"/>
      <c r="AU385" s="40"/>
      <c r="AV385" s="5"/>
      <c r="AX385" s="40"/>
      <c r="AY385" s="5"/>
      <c r="BA385" s="40"/>
      <c r="BB385" s="5"/>
      <c r="BD385" s="40"/>
      <c r="BE385" s="5"/>
      <c r="BG385" s="40"/>
      <c r="BH385" s="5"/>
      <c r="BJ385" s="40"/>
      <c r="BK385" s="5"/>
      <c r="BM385" s="40"/>
      <c r="BN385" s="5"/>
      <c r="BP385" s="40"/>
      <c r="BQ385" s="5"/>
      <c r="BS385" s="40"/>
      <c r="BT385" s="5"/>
      <c r="BV385" s="40"/>
      <c r="BW385" s="5"/>
      <c r="BY385" s="40"/>
      <c r="BZ385" s="5"/>
      <c r="CB385" s="40"/>
      <c r="CC385" s="5"/>
      <c r="CE385" s="40"/>
      <c r="CF385" s="5"/>
      <c r="CH385" s="40"/>
      <c r="CI385" s="5"/>
      <c r="CK385" s="40"/>
      <c r="CL385" s="5"/>
      <c r="CN385" s="40"/>
      <c r="CO385" s="5"/>
      <c r="CQ385" s="40"/>
      <c r="CR385" s="5"/>
    </row>
    <row r="386">
      <c r="AO386" s="40"/>
      <c r="AP386" s="5"/>
      <c r="AR386" s="40"/>
      <c r="AS386" s="5"/>
      <c r="AU386" s="40"/>
      <c r="AV386" s="5"/>
      <c r="AX386" s="40"/>
      <c r="AY386" s="5"/>
      <c r="BA386" s="40"/>
      <c r="BB386" s="5"/>
      <c r="BD386" s="40"/>
      <c r="BE386" s="5"/>
      <c r="BG386" s="40"/>
      <c r="BH386" s="5"/>
      <c r="BJ386" s="40"/>
      <c r="BK386" s="5"/>
      <c r="BM386" s="40"/>
      <c r="BN386" s="5"/>
      <c r="BP386" s="40"/>
      <c r="BQ386" s="5"/>
      <c r="BS386" s="40"/>
      <c r="BT386" s="5"/>
      <c r="BV386" s="40"/>
      <c r="BW386" s="5"/>
      <c r="BY386" s="40"/>
      <c r="BZ386" s="5"/>
      <c r="CB386" s="40"/>
      <c r="CC386" s="5"/>
      <c r="CE386" s="40"/>
      <c r="CF386" s="5"/>
      <c r="CH386" s="40"/>
      <c r="CI386" s="5"/>
      <c r="CK386" s="40"/>
      <c r="CL386" s="5"/>
      <c r="CN386" s="40"/>
      <c r="CO386" s="5"/>
      <c r="CQ386" s="40"/>
      <c r="CR386" s="5"/>
    </row>
    <row r="387">
      <c r="AO387" s="40"/>
      <c r="AP387" s="5"/>
      <c r="AR387" s="40"/>
      <c r="AS387" s="5"/>
      <c r="AU387" s="40"/>
      <c r="AV387" s="5"/>
      <c r="AX387" s="40"/>
      <c r="AY387" s="5"/>
      <c r="BA387" s="40"/>
      <c r="BB387" s="5"/>
      <c r="BD387" s="40"/>
      <c r="BE387" s="5"/>
      <c r="BG387" s="40"/>
      <c r="BH387" s="5"/>
      <c r="BJ387" s="40"/>
      <c r="BK387" s="5"/>
      <c r="BM387" s="40"/>
      <c r="BN387" s="5"/>
      <c r="BP387" s="40"/>
      <c r="BQ387" s="5"/>
      <c r="BS387" s="40"/>
      <c r="BT387" s="5"/>
      <c r="BV387" s="40"/>
      <c r="BW387" s="5"/>
      <c r="BY387" s="40"/>
      <c r="BZ387" s="5"/>
      <c r="CB387" s="40"/>
      <c r="CC387" s="5"/>
      <c r="CE387" s="40"/>
      <c r="CF387" s="5"/>
      <c r="CH387" s="40"/>
      <c r="CI387" s="5"/>
      <c r="CK387" s="40"/>
      <c r="CL387" s="5"/>
      <c r="CN387" s="40"/>
      <c r="CO387" s="5"/>
      <c r="CQ387" s="40"/>
      <c r="CR387" s="5"/>
    </row>
    <row r="388">
      <c r="AO388" s="40"/>
      <c r="AP388" s="5"/>
      <c r="AR388" s="40"/>
      <c r="AS388" s="5"/>
      <c r="AU388" s="40"/>
      <c r="AV388" s="5"/>
      <c r="AX388" s="40"/>
      <c r="AY388" s="5"/>
      <c r="BA388" s="40"/>
      <c r="BB388" s="5"/>
      <c r="BD388" s="40"/>
      <c r="BE388" s="5"/>
      <c r="BG388" s="40"/>
      <c r="BH388" s="5"/>
      <c r="BJ388" s="40"/>
      <c r="BK388" s="5"/>
      <c r="BM388" s="40"/>
      <c r="BN388" s="5"/>
      <c r="BP388" s="40"/>
      <c r="BQ388" s="5"/>
      <c r="BS388" s="40"/>
      <c r="BT388" s="5"/>
      <c r="BV388" s="40"/>
      <c r="BW388" s="5"/>
      <c r="BY388" s="40"/>
      <c r="BZ388" s="5"/>
      <c r="CB388" s="40"/>
      <c r="CC388" s="5"/>
      <c r="CE388" s="40"/>
      <c r="CF388" s="5"/>
      <c r="CH388" s="40"/>
      <c r="CI388" s="5"/>
      <c r="CK388" s="40"/>
      <c r="CL388" s="5"/>
      <c r="CN388" s="40"/>
      <c r="CO388" s="5"/>
      <c r="CQ388" s="40"/>
      <c r="CR388" s="5"/>
    </row>
    <row r="389">
      <c r="AO389" s="40"/>
      <c r="AP389" s="5"/>
      <c r="AR389" s="40"/>
      <c r="AS389" s="5"/>
      <c r="AU389" s="40"/>
      <c r="AV389" s="5"/>
      <c r="AX389" s="40"/>
      <c r="AY389" s="5"/>
      <c r="BA389" s="40"/>
      <c r="BB389" s="5"/>
      <c r="BD389" s="40"/>
      <c r="BE389" s="5"/>
      <c r="BG389" s="40"/>
      <c r="BH389" s="5"/>
      <c r="BJ389" s="40"/>
      <c r="BK389" s="5"/>
      <c r="BM389" s="40"/>
      <c r="BN389" s="5"/>
      <c r="BP389" s="40"/>
      <c r="BQ389" s="5"/>
      <c r="BS389" s="40"/>
      <c r="BT389" s="5"/>
      <c r="BV389" s="40"/>
      <c r="BW389" s="5"/>
      <c r="BY389" s="40"/>
      <c r="BZ389" s="5"/>
      <c r="CB389" s="40"/>
      <c r="CC389" s="5"/>
      <c r="CE389" s="40"/>
      <c r="CF389" s="5"/>
      <c r="CH389" s="40"/>
      <c r="CI389" s="5"/>
      <c r="CK389" s="40"/>
      <c r="CL389" s="5"/>
      <c r="CN389" s="40"/>
      <c r="CO389" s="5"/>
      <c r="CQ389" s="40"/>
      <c r="CR389" s="5"/>
    </row>
    <row r="390">
      <c r="AO390" s="40"/>
      <c r="AP390" s="5"/>
      <c r="AR390" s="40"/>
      <c r="AS390" s="5"/>
      <c r="AU390" s="40"/>
      <c r="AV390" s="5"/>
      <c r="AX390" s="40"/>
      <c r="AY390" s="5"/>
      <c r="BA390" s="40"/>
      <c r="BB390" s="5"/>
      <c r="BD390" s="40"/>
      <c r="BE390" s="5"/>
      <c r="BG390" s="40"/>
      <c r="BH390" s="5"/>
      <c r="BJ390" s="40"/>
      <c r="BK390" s="5"/>
      <c r="BM390" s="40"/>
      <c r="BN390" s="5"/>
      <c r="BP390" s="40"/>
      <c r="BQ390" s="5"/>
      <c r="BS390" s="40"/>
      <c r="BT390" s="5"/>
      <c r="BV390" s="40"/>
      <c r="BW390" s="5"/>
      <c r="BY390" s="40"/>
      <c r="BZ390" s="5"/>
      <c r="CB390" s="40"/>
      <c r="CC390" s="5"/>
      <c r="CE390" s="40"/>
      <c r="CF390" s="5"/>
      <c r="CH390" s="40"/>
      <c r="CI390" s="5"/>
      <c r="CK390" s="40"/>
      <c r="CL390" s="5"/>
      <c r="CN390" s="40"/>
      <c r="CO390" s="5"/>
      <c r="CQ390" s="40"/>
      <c r="CR390" s="5"/>
    </row>
    <row r="391">
      <c r="AO391" s="40"/>
      <c r="AP391" s="5"/>
      <c r="AR391" s="40"/>
      <c r="AS391" s="5"/>
      <c r="AU391" s="40"/>
      <c r="AV391" s="5"/>
      <c r="AX391" s="40"/>
      <c r="AY391" s="5"/>
      <c r="BA391" s="40"/>
      <c r="BB391" s="5"/>
      <c r="BD391" s="40"/>
      <c r="BE391" s="5"/>
      <c r="BG391" s="40"/>
      <c r="BH391" s="5"/>
      <c r="BJ391" s="40"/>
      <c r="BK391" s="5"/>
      <c r="BM391" s="40"/>
      <c r="BN391" s="5"/>
      <c r="BP391" s="40"/>
      <c r="BQ391" s="5"/>
      <c r="BS391" s="40"/>
      <c r="BT391" s="5"/>
      <c r="BV391" s="40"/>
      <c r="BW391" s="5"/>
      <c r="BY391" s="40"/>
      <c r="BZ391" s="5"/>
      <c r="CB391" s="40"/>
      <c r="CC391" s="5"/>
      <c r="CE391" s="40"/>
      <c r="CF391" s="5"/>
      <c r="CH391" s="40"/>
      <c r="CI391" s="5"/>
      <c r="CK391" s="40"/>
      <c r="CL391" s="5"/>
      <c r="CN391" s="40"/>
      <c r="CO391" s="5"/>
      <c r="CQ391" s="40"/>
      <c r="CR391" s="5"/>
    </row>
    <row r="392">
      <c r="AO392" s="40"/>
      <c r="AP392" s="5"/>
      <c r="AR392" s="40"/>
      <c r="AS392" s="5"/>
      <c r="AU392" s="40"/>
      <c r="AV392" s="5"/>
      <c r="AX392" s="40"/>
      <c r="AY392" s="5"/>
      <c r="BA392" s="40"/>
      <c r="BB392" s="5"/>
      <c r="BD392" s="40"/>
      <c r="BE392" s="5"/>
      <c r="BG392" s="40"/>
      <c r="BH392" s="5"/>
      <c r="BJ392" s="40"/>
      <c r="BK392" s="5"/>
      <c r="BM392" s="40"/>
      <c r="BN392" s="5"/>
      <c r="BP392" s="40"/>
      <c r="BQ392" s="5"/>
      <c r="BS392" s="40"/>
      <c r="BT392" s="5"/>
      <c r="BV392" s="40"/>
      <c r="BW392" s="5"/>
      <c r="BY392" s="40"/>
      <c r="BZ392" s="5"/>
      <c r="CB392" s="40"/>
      <c r="CC392" s="5"/>
      <c r="CE392" s="40"/>
      <c r="CF392" s="5"/>
      <c r="CH392" s="40"/>
      <c r="CI392" s="5"/>
      <c r="CK392" s="40"/>
      <c r="CL392" s="5"/>
      <c r="CN392" s="40"/>
      <c r="CO392" s="5"/>
      <c r="CQ392" s="40"/>
      <c r="CR392" s="5"/>
    </row>
    <row r="393">
      <c r="AO393" s="40"/>
      <c r="AP393" s="5"/>
      <c r="AR393" s="40"/>
      <c r="AS393" s="5"/>
      <c r="AU393" s="40"/>
      <c r="AV393" s="5"/>
      <c r="AX393" s="40"/>
      <c r="AY393" s="5"/>
      <c r="BA393" s="40"/>
      <c r="BB393" s="5"/>
      <c r="BD393" s="40"/>
      <c r="BE393" s="5"/>
      <c r="BG393" s="40"/>
      <c r="BH393" s="5"/>
      <c r="BJ393" s="40"/>
      <c r="BK393" s="5"/>
      <c r="BM393" s="40"/>
      <c r="BN393" s="5"/>
      <c r="BP393" s="40"/>
      <c r="BQ393" s="5"/>
      <c r="BS393" s="40"/>
      <c r="BT393" s="5"/>
      <c r="BV393" s="40"/>
      <c r="BW393" s="5"/>
      <c r="BY393" s="40"/>
      <c r="BZ393" s="5"/>
      <c r="CB393" s="40"/>
      <c r="CC393" s="5"/>
      <c r="CE393" s="40"/>
      <c r="CF393" s="5"/>
      <c r="CH393" s="40"/>
      <c r="CI393" s="5"/>
      <c r="CK393" s="40"/>
      <c r="CL393" s="5"/>
      <c r="CN393" s="40"/>
      <c r="CO393" s="5"/>
      <c r="CQ393" s="40"/>
      <c r="CR393" s="5"/>
    </row>
    <row r="394">
      <c r="AO394" s="40"/>
      <c r="AP394" s="5"/>
      <c r="AR394" s="40"/>
      <c r="AS394" s="5"/>
      <c r="AU394" s="40"/>
      <c r="AV394" s="5"/>
      <c r="AX394" s="40"/>
      <c r="AY394" s="5"/>
      <c r="BA394" s="40"/>
      <c r="BB394" s="5"/>
      <c r="BD394" s="40"/>
      <c r="BE394" s="5"/>
      <c r="BG394" s="40"/>
      <c r="BH394" s="5"/>
      <c r="BJ394" s="40"/>
      <c r="BK394" s="5"/>
      <c r="BM394" s="40"/>
      <c r="BN394" s="5"/>
      <c r="BP394" s="40"/>
      <c r="BQ394" s="5"/>
      <c r="BS394" s="40"/>
      <c r="BT394" s="5"/>
      <c r="BV394" s="40"/>
      <c r="BW394" s="5"/>
      <c r="BY394" s="40"/>
      <c r="BZ394" s="5"/>
      <c r="CB394" s="40"/>
      <c r="CC394" s="5"/>
      <c r="CE394" s="40"/>
      <c r="CF394" s="5"/>
      <c r="CH394" s="40"/>
      <c r="CI394" s="5"/>
      <c r="CK394" s="40"/>
      <c r="CL394" s="5"/>
      <c r="CN394" s="40"/>
      <c r="CO394" s="5"/>
      <c r="CQ394" s="40"/>
      <c r="CR394" s="5"/>
    </row>
    <row r="395">
      <c r="AO395" s="40"/>
      <c r="AP395" s="5"/>
      <c r="AR395" s="40"/>
      <c r="AS395" s="5"/>
      <c r="AU395" s="40"/>
      <c r="AV395" s="5"/>
      <c r="AX395" s="40"/>
      <c r="AY395" s="5"/>
      <c r="BA395" s="40"/>
      <c r="BB395" s="5"/>
      <c r="BD395" s="40"/>
      <c r="BE395" s="5"/>
      <c r="BG395" s="40"/>
      <c r="BH395" s="5"/>
      <c r="BJ395" s="40"/>
      <c r="BK395" s="5"/>
      <c r="BM395" s="40"/>
      <c r="BN395" s="5"/>
      <c r="BP395" s="40"/>
      <c r="BQ395" s="5"/>
      <c r="BS395" s="40"/>
      <c r="BT395" s="5"/>
      <c r="BV395" s="40"/>
      <c r="BW395" s="5"/>
      <c r="BY395" s="40"/>
      <c r="BZ395" s="5"/>
      <c r="CB395" s="40"/>
      <c r="CC395" s="5"/>
      <c r="CE395" s="40"/>
      <c r="CF395" s="5"/>
      <c r="CH395" s="40"/>
      <c r="CI395" s="5"/>
      <c r="CK395" s="40"/>
      <c r="CL395" s="5"/>
      <c r="CN395" s="40"/>
      <c r="CO395" s="5"/>
      <c r="CQ395" s="40"/>
      <c r="CR395" s="5"/>
    </row>
    <row r="396">
      <c r="AO396" s="40"/>
      <c r="AP396" s="5"/>
      <c r="AR396" s="40"/>
      <c r="AS396" s="5"/>
      <c r="AU396" s="40"/>
      <c r="AV396" s="5"/>
      <c r="AX396" s="40"/>
      <c r="AY396" s="5"/>
      <c r="BA396" s="40"/>
      <c r="BB396" s="5"/>
      <c r="BD396" s="40"/>
      <c r="BE396" s="5"/>
      <c r="BG396" s="40"/>
      <c r="BH396" s="5"/>
      <c r="BJ396" s="40"/>
      <c r="BK396" s="5"/>
      <c r="BM396" s="40"/>
      <c r="BN396" s="5"/>
      <c r="BP396" s="40"/>
      <c r="BQ396" s="5"/>
      <c r="BS396" s="40"/>
      <c r="BT396" s="5"/>
      <c r="BV396" s="40"/>
      <c r="BW396" s="5"/>
      <c r="BY396" s="40"/>
      <c r="BZ396" s="5"/>
      <c r="CB396" s="40"/>
      <c r="CC396" s="5"/>
      <c r="CE396" s="40"/>
      <c r="CF396" s="5"/>
      <c r="CH396" s="40"/>
      <c r="CI396" s="5"/>
      <c r="CK396" s="40"/>
      <c r="CL396" s="5"/>
      <c r="CN396" s="40"/>
      <c r="CO396" s="5"/>
      <c r="CQ396" s="40"/>
      <c r="CR396" s="5"/>
    </row>
    <row r="397">
      <c r="AO397" s="40"/>
      <c r="AP397" s="5"/>
      <c r="AR397" s="40"/>
      <c r="AS397" s="5"/>
      <c r="AU397" s="40"/>
      <c r="AV397" s="5"/>
      <c r="AX397" s="40"/>
      <c r="AY397" s="5"/>
      <c r="BA397" s="40"/>
      <c r="BB397" s="5"/>
      <c r="BD397" s="40"/>
      <c r="BE397" s="5"/>
      <c r="BG397" s="40"/>
      <c r="BH397" s="5"/>
      <c r="BJ397" s="40"/>
      <c r="BK397" s="5"/>
      <c r="BM397" s="40"/>
      <c r="BN397" s="5"/>
      <c r="BP397" s="40"/>
      <c r="BQ397" s="5"/>
      <c r="BS397" s="40"/>
      <c r="BT397" s="5"/>
      <c r="BV397" s="40"/>
      <c r="BW397" s="5"/>
      <c r="BY397" s="40"/>
      <c r="BZ397" s="5"/>
      <c r="CB397" s="40"/>
      <c r="CC397" s="5"/>
      <c r="CE397" s="40"/>
      <c r="CF397" s="5"/>
      <c r="CH397" s="40"/>
      <c r="CI397" s="5"/>
      <c r="CK397" s="40"/>
      <c r="CL397" s="5"/>
      <c r="CN397" s="40"/>
      <c r="CO397" s="5"/>
      <c r="CQ397" s="40"/>
      <c r="CR397" s="5"/>
    </row>
    <row r="398">
      <c r="AO398" s="40"/>
      <c r="AP398" s="5"/>
      <c r="AR398" s="40"/>
      <c r="AS398" s="5"/>
      <c r="AU398" s="40"/>
      <c r="AV398" s="5"/>
      <c r="AX398" s="40"/>
      <c r="AY398" s="5"/>
      <c r="BA398" s="40"/>
      <c r="BB398" s="5"/>
      <c r="BD398" s="40"/>
      <c r="BE398" s="5"/>
      <c r="BG398" s="40"/>
      <c r="BH398" s="5"/>
      <c r="BJ398" s="40"/>
      <c r="BK398" s="5"/>
      <c r="BM398" s="40"/>
      <c r="BN398" s="5"/>
      <c r="BP398" s="40"/>
      <c r="BQ398" s="5"/>
      <c r="BS398" s="40"/>
      <c r="BT398" s="5"/>
      <c r="BV398" s="40"/>
      <c r="BW398" s="5"/>
      <c r="BY398" s="40"/>
      <c r="BZ398" s="5"/>
      <c r="CB398" s="40"/>
      <c r="CC398" s="5"/>
      <c r="CE398" s="40"/>
      <c r="CF398" s="5"/>
      <c r="CH398" s="40"/>
      <c r="CI398" s="5"/>
      <c r="CK398" s="40"/>
      <c r="CL398" s="5"/>
      <c r="CN398" s="40"/>
      <c r="CO398" s="5"/>
      <c r="CQ398" s="40"/>
      <c r="CR398" s="5"/>
    </row>
    <row r="399">
      <c r="AO399" s="40"/>
      <c r="AP399" s="5"/>
      <c r="AR399" s="40"/>
      <c r="AS399" s="5"/>
      <c r="AU399" s="40"/>
      <c r="AV399" s="5"/>
      <c r="AX399" s="40"/>
      <c r="AY399" s="5"/>
      <c r="BA399" s="40"/>
      <c r="BB399" s="5"/>
      <c r="BD399" s="40"/>
      <c r="BE399" s="5"/>
      <c r="BG399" s="40"/>
      <c r="BH399" s="5"/>
      <c r="BJ399" s="40"/>
      <c r="BK399" s="5"/>
      <c r="BM399" s="40"/>
      <c r="BN399" s="5"/>
      <c r="BP399" s="40"/>
      <c r="BQ399" s="5"/>
      <c r="BS399" s="40"/>
      <c r="BT399" s="5"/>
      <c r="BV399" s="40"/>
      <c r="BW399" s="5"/>
      <c r="BY399" s="40"/>
      <c r="BZ399" s="5"/>
      <c r="CB399" s="40"/>
      <c r="CC399" s="5"/>
      <c r="CE399" s="40"/>
      <c r="CF399" s="5"/>
      <c r="CH399" s="40"/>
      <c r="CI399" s="5"/>
      <c r="CK399" s="40"/>
      <c r="CL399" s="5"/>
      <c r="CN399" s="40"/>
      <c r="CO399" s="5"/>
      <c r="CQ399" s="40"/>
      <c r="CR399" s="5"/>
    </row>
    <row r="400">
      <c r="AO400" s="40"/>
      <c r="AP400" s="5"/>
      <c r="AR400" s="40"/>
      <c r="AS400" s="5"/>
      <c r="AU400" s="40"/>
      <c r="AV400" s="5"/>
      <c r="AX400" s="40"/>
      <c r="AY400" s="5"/>
      <c r="BA400" s="40"/>
      <c r="BB400" s="5"/>
      <c r="BD400" s="40"/>
      <c r="BE400" s="5"/>
      <c r="BG400" s="40"/>
      <c r="BH400" s="5"/>
      <c r="BJ400" s="40"/>
      <c r="BK400" s="5"/>
      <c r="BM400" s="40"/>
      <c r="BN400" s="5"/>
      <c r="BP400" s="40"/>
      <c r="BQ400" s="5"/>
      <c r="BS400" s="40"/>
      <c r="BT400" s="5"/>
      <c r="BV400" s="40"/>
      <c r="BW400" s="5"/>
      <c r="BY400" s="40"/>
      <c r="BZ400" s="5"/>
      <c r="CB400" s="40"/>
      <c r="CC400" s="5"/>
      <c r="CE400" s="40"/>
      <c r="CF400" s="5"/>
      <c r="CH400" s="40"/>
      <c r="CI400" s="5"/>
      <c r="CK400" s="40"/>
      <c r="CL400" s="5"/>
      <c r="CN400" s="40"/>
      <c r="CO400" s="5"/>
      <c r="CQ400" s="40"/>
      <c r="CR400" s="5"/>
    </row>
    <row r="401">
      <c r="AO401" s="40"/>
      <c r="AP401" s="5"/>
      <c r="AR401" s="40"/>
      <c r="AS401" s="5"/>
      <c r="AU401" s="40"/>
      <c r="AV401" s="5"/>
      <c r="AX401" s="40"/>
      <c r="AY401" s="5"/>
      <c r="BA401" s="40"/>
      <c r="BB401" s="5"/>
      <c r="BD401" s="40"/>
      <c r="BE401" s="5"/>
      <c r="BG401" s="40"/>
      <c r="BH401" s="5"/>
      <c r="BJ401" s="40"/>
      <c r="BK401" s="5"/>
      <c r="BM401" s="40"/>
      <c r="BN401" s="5"/>
      <c r="BP401" s="40"/>
      <c r="BQ401" s="5"/>
      <c r="BS401" s="40"/>
      <c r="BT401" s="5"/>
      <c r="BV401" s="40"/>
      <c r="BW401" s="5"/>
      <c r="BY401" s="40"/>
      <c r="BZ401" s="5"/>
      <c r="CB401" s="40"/>
      <c r="CC401" s="5"/>
      <c r="CE401" s="40"/>
      <c r="CF401" s="5"/>
      <c r="CH401" s="40"/>
      <c r="CI401" s="5"/>
      <c r="CK401" s="40"/>
      <c r="CL401" s="5"/>
      <c r="CN401" s="40"/>
      <c r="CO401" s="5"/>
      <c r="CQ401" s="40"/>
      <c r="CR401" s="5"/>
    </row>
    <row r="402">
      <c r="AO402" s="40"/>
      <c r="AP402" s="5"/>
      <c r="AR402" s="40"/>
      <c r="AS402" s="5"/>
      <c r="AU402" s="40"/>
      <c r="AV402" s="5"/>
      <c r="AX402" s="40"/>
      <c r="AY402" s="5"/>
      <c r="BA402" s="40"/>
      <c r="BB402" s="5"/>
      <c r="BD402" s="40"/>
      <c r="BE402" s="5"/>
      <c r="BG402" s="40"/>
      <c r="BH402" s="5"/>
      <c r="BJ402" s="40"/>
      <c r="BK402" s="5"/>
      <c r="BM402" s="40"/>
      <c r="BN402" s="5"/>
      <c r="BP402" s="40"/>
      <c r="BQ402" s="5"/>
      <c r="BS402" s="40"/>
      <c r="BT402" s="5"/>
      <c r="BV402" s="40"/>
      <c r="BW402" s="5"/>
      <c r="BY402" s="40"/>
      <c r="BZ402" s="5"/>
      <c r="CB402" s="40"/>
      <c r="CC402" s="5"/>
      <c r="CE402" s="40"/>
      <c r="CF402" s="5"/>
      <c r="CH402" s="40"/>
      <c r="CI402" s="5"/>
      <c r="CK402" s="40"/>
      <c r="CL402" s="5"/>
      <c r="CN402" s="40"/>
      <c r="CO402" s="5"/>
      <c r="CQ402" s="40"/>
      <c r="CR402" s="5"/>
    </row>
    <row r="403">
      <c r="AO403" s="40"/>
      <c r="AP403" s="5"/>
      <c r="AR403" s="40"/>
      <c r="AS403" s="5"/>
      <c r="AU403" s="40"/>
      <c r="AV403" s="5"/>
      <c r="AX403" s="40"/>
      <c r="AY403" s="5"/>
      <c r="BA403" s="40"/>
      <c r="BB403" s="5"/>
      <c r="BD403" s="40"/>
      <c r="BE403" s="5"/>
      <c r="BG403" s="40"/>
      <c r="BH403" s="5"/>
      <c r="BJ403" s="40"/>
      <c r="BK403" s="5"/>
      <c r="BM403" s="40"/>
      <c r="BN403" s="5"/>
      <c r="BP403" s="40"/>
      <c r="BQ403" s="5"/>
      <c r="BS403" s="40"/>
      <c r="BT403" s="5"/>
      <c r="BV403" s="40"/>
      <c r="BW403" s="5"/>
      <c r="BY403" s="40"/>
      <c r="BZ403" s="5"/>
      <c r="CB403" s="40"/>
      <c r="CC403" s="5"/>
      <c r="CE403" s="40"/>
      <c r="CF403" s="5"/>
      <c r="CH403" s="40"/>
      <c r="CI403" s="5"/>
      <c r="CK403" s="40"/>
      <c r="CL403" s="5"/>
      <c r="CN403" s="40"/>
      <c r="CO403" s="5"/>
      <c r="CQ403" s="40"/>
      <c r="CR403" s="5"/>
    </row>
    <row r="404">
      <c r="AO404" s="40"/>
      <c r="AP404" s="5"/>
      <c r="AR404" s="40"/>
      <c r="AS404" s="5"/>
      <c r="AU404" s="40"/>
      <c r="AV404" s="5"/>
      <c r="AX404" s="40"/>
      <c r="AY404" s="5"/>
      <c r="BA404" s="40"/>
      <c r="BB404" s="5"/>
      <c r="BD404" s="40"/>
      <c r="BE404" s="5"/>
      <c r="BG404" s="40"/>
      <c r="BH404" s="5"/>
      <c r="BJ404" s="40"/>
      <c r="BK404" s="5"/>
      <c r="BM404" s="40"/>
      <c r="BN404" s="5"/>
      <c r="BP404" s="40"/>
      <c r="BQ404" s="5"/>
      <c r="BS404" s="40"/>
      <c r="BT404" s="5"/>
      <c r="BV404" s="40"/>
      <c r="BW404" s="5"/>
      <c r="BY404" s="40"/>
      <c r="BZ404" s="5"/>
      <c r="CB404" s="40"/>
      <c r="CC404" s="5"/>
      <c r="CE404" s="40"/>
      <c r="CF404" s="5"/>
      <c r="CH404" s="40"/>
      <c r="CI404" s="5"/>
      <c r="CK404" s="40"/>
      <c r="CL404" s="5"/>
      <c r="CN404" s="40"/>
      <c r="CO404" s="5"/>
      <c r="CQ404" s="40"/>
      <c r="CR404" s="5"/>
    </row>
    <row r="405">
      <c r="AO405" s="40"/>
      <c r="AP405" s="5"/>
      <c r="AR405" s="40"/>
      <c r="AS405" s="5"/>
      <c r="AU405" s="40"/>
      <c r="AV405" s="5"/>
      <c r="AX405" s="40"/>
      <c r="AY405" s="5"/>
      <c r="BA405" s="40"/>
      <c r="BB405" s="5"/>
      <c r="BD405" s="40"/>
      <c r="BE405" s="5"/>
      <c r="BG405" s="40"/>
      <c r="BH405" s="5"/>
      <c r="BJ405" s="40"/>
      <c r="BK405" s="5"/>
      <c r="BM405" s="40"/>
      <c r="BN405" s="5"/>
      <c r="BP405" s="40"/>
      <c r="BQ405" s="5"/>
      <c r="BS405" s="40"/>
      <c r="BT405" s="5"/>
      <c r="BV405" s="40"/>
      <c r="BW405" s="5"/>
      <c r="BY405" s="40"/>
      <c r="BZ405" s="5"/>
      <c r="CB405" s="40"/>
      <c r="CC405" s="5"/>
      <c r="CE405" s="40"/>
      <c r="CF405" s="5"/>
      <c r="CH405" s="40"/>
      <c r="CI405" s="5"/>
      <c r="CK405" s="40"/>
      <c r="CL405" s="5"/>
      <c r="CN405" s="40"/>
      <c r="CO405" s="5"/>
      <c r="CQ405" s="40"/>
      <c r="CR405" s="5"/>
    </row>
    <row r="406">
      <c r="AO406" s="40"/>
      <c r="AP406" s="5"/>
      <c r="AR406" s="40"/>
      <c r="AS406" s="5"/>
      <c r="AU406" s="40"/>
      <c r="AV406" s="5"/>
      <c r="AX406" s="40"/>
      <c r="AY406" s="5"/>
      <c r="BA406" s="40"/>
      <c r="BB406" s="5"/>
      <c r="BD406" s="40"/>
      <c r="BE406" s="5"/>
      <c r="BG406" s="40"/>
      <c r="BH406" s="5"/>
      <c r="BJ406" s="40"/>
      <c r="BK406" s="5"/>
      <c r="BM406" s="40"/>
      <c r="BN406" s="5"/>
      <c r="BP406" s="40"/>
      <c r="BQ406" s="5"/>
      <c r="BS406" s="40"/>
      <c r="BT406" s="5"/>
      <c r="BV406" s="40"/>
      <c r="BW406" s="5"/>
      <c r="BY406" s="40"/>
      <c r="BZ406" s="5"/>
      <c r="CB406" s="40"/>
      <c r="CC406" s="5"/>
      <c r="CE406" s="40"/>
      <c r="CF406" s="5"/>
      <c r="CH406" s="40"/>
      <c r="CI406" s="5"/>
      <c r="CK406" s="40"/>
      <c r="CL406" s="5"/>
      <c r="CN406" s="40"/>
      <c r="CO406" s="5"/>
      <c r="CQ406" s="40"/>
      <c r="CR406" s="5"/>
    </row>
    <row r="407">
      <c r="AO407" s="40"/>
      <c r="AP407" s="5"/>
      <c r="AR407" s="40"/>
      <c r="AS407" s="5"/>
      <c r="AU407" s="40"/>
      <c r="AV407" s="5"/>
      <c r="AX407" s="40"/>
      <c r="AY407" s="5"/>
      <c r="BA407" s="40"/>
      <c r="BB407" s="5"/>
      <c r="BD407" s="40"/>
      <c r="BE407" s="5"/>
      <c r="BG407" s="40"/>
      <c r="BH407" s="5"/>
      <c r="BJ407" s="40"/>
      <c r="BK407" s="5"/>
      <c r="BM407" s="40"/>
      <c r="BN407" s="5"/>
      <c r="BP407" s="40"/>
      <c r="BQ407" s="5"/>
      <c r="BS407" s="40"/>
      <c r="BT407" s="5"/>
      <c r="BV407" s="40"/>
      <c r="BW407" s="5"/>
      <c r="BY407" s="40"/>
      <c r="BZ407" s="5"/>
      <c r="CB407" s="40"/>
      <c r="CC407" s="5"/>
      <c r="CE407" s="40"/>
      <c r="CF407" s="5"/>
      <c r="CH407" s="40"/>
      <c r="CI407" s="5"/>
      <c r="CK407" s="40"/>
      <c r="CL407" s="5"/>
      <c r="CN407" s="40"/>
      <c r="CO407" s="5"/>
      <c r="CQ407" s="40"/>
      <c r="CR407" s="5"/>
    </row>
    <row r="408">
      <c r="AO408" s="40"/>
      <c r="AP408" s="5"/>
      <c r="AR408" s="40"/>
      <c r="AS408" s="5"/>
      <c r="AU408" s="40"/>
      <c r="AV408" s="5"/>
      <c r="AX408" s="40"/>
      <c r="AY408" s="5"/>
      <c r="BA408" s="40"/>
      <c r="BB408" s="5"/>
      <c r="BD408" s="40"/>
      <c r="BE408" s="5"/>
      <c r="BG408" s="40"/>
      <c r="BH408" s="5"/>
      <c r="BJ408" s="40"/>
      <c r="BK408" s="5"/>
      <c r="BM408" s="40"/>
      <c r="BN408" s="5"/>
      <c r="BP408" s="40"/>
      <c r="BQ408" s="5"/>
      <c r="BS408" s="40"/>
      <c r="BT408" s="5"/>
      <c r="BV408" s="40"/>
      <c r="BW408" s="5"/>
      <c r="BY408" s="40"/>
      <c r="BZ408" s="5"/>
      <c r="CB408" s="40"/>
      <c r="CC408" s="5"/>
      <c r="CE408" s="40"/>
      <c r="CF408" s="5"/>
      <c r="CH408" s="40"/>
      <c r="CI408" s="5"/>
      <c r="CK408" s="40"/>
      <c r="CL408" s="5"/>
      <c r="CN408" s="40"/>
      <c r="CO408" s="5"/>
      <c r="CQ408" s="40"/>
      <c r="CR408" s="5"/>
    </row>
    <row r="409">
      <c r="AO409" s="40"/>
      <c r="AP409" s="5"/>
      <c r="AR409" s="40"/>
      <c r="AS409" s="5"/>
      <c r="AU409" s="40"/>
      <c r="AV409" s="5"/>
      <c r="AX409" s="40"/>
      <c r="AY409" s="5"/>
      <c r="BA409" s="40"/>
      <c r="BB409" s="5"/>
      <c r="BD409" s="40"/>
      <c r="BE409" s="5"/>
      <c r="BG409" s="40"/>
      <c r="BH409" s="5"/>
      <c r="BJ409" s="40"/>
      <c r="BK409" s="5"/>
      <c r="BM409" s="40"/>
      <c r="BN409" s="5"/>
      <c r="BP409" s="40"/>
      <c r="BQ409" s="5"/>
      <c r="BS409" s="40"/>
      <c r="BT409" s="5"/>
      <c r="BV409" s="40"/>
      <c r="BW409" s="5"/>
      <c r="BY409" s="40"/>
      <c r="BZ409" s="5"/>
      <c r="CB409" s="40"/>
      <c r="CC409" s="5"/>
      <c r="CE409" s="40"/>
      <c r="CF409" s="5"/>
      <c r="CH409" s="40"/>
      <c r="CI409" s="5"/>
      <c r="CK409" s="40"/>
      <c r="CL409" s="5"/>
      <c r="CN409" s="40"/>
      <c r="CO409" s="5"/>
      <c r="CQ409" s="40"/>
      <c r="CR409" s="5"/>
    </row>
    <row r="410">
      <c r="AO410" s="40"/>
      <c r="AP410" s="5"/>
      <c r="AR410" s="40"/>
      <c r="AS410" s="5"/>
      <c r="AU410" s="40"/>
      <c r="AV410" s="5"/>
      <c r="AX410" s="40"/>
      <c r="AY410" s="5"/>
      <c r="BA410" s="40"/>
      <c r="BB410" s="5"/>
      <c r="BD410" s="40"/>
      <c r="BE410" s="5"/>
      <c r="BG410" s="40"/>
      <c r="BH410" s="5"/>
      <c r="BJ410" s="40"/>
      <c r="BK410" s="5"/>
      <c r="BM410" s="40"/>
      <c r="BN410" s="5"/>
      <c r="BP410" s="40"/>
      <c r="BQ410" s="5"/>
      <c r="BS410" s="40"/>
      <c r="BT410" s="5"/>
      <c r="BV410" s="40"/>
      <c r="BW410" s="5"/>
      <c r="BY410" s="40"/>
      <c r="BZ410" s="5"/>
      <c r="CB410" s="40"/>
      <c r="CC410" s="5"/>
      <c r="CE410" s="40"/>
      <c r="CF410" s="5"/>
      <c r="CH410" s="40"/>
      <c r="CI410" s="5"/>
      <c r="CK410" s="40"/>
      <c r="CL410" s="5"/>
      <c r="CN410" s="40"/>
      <c r="CO410" s="5"/>
      <c r="CQ410" s="40"/>
      <c r="CR410" s="5"/>
    </row>
    <row r="411">
      <c r="AO411" s="40"/>
      <c r="AP411" s="5"/>
      <c r="AR411" s="40"/>
      <c r="AS411" s="5"/>
      <c r="AU411" s="40"/>
      <c r="AV411" s="5"/>
      <c r="AX411" s="40"/>
      <c r="AY411" s="5"/>
      <c r="BA411" s="40"/>
      <c r="BB411" s="5"/>
      <c r="BD411" s="40"/>
      <c r="BE411" s="5"/>
      <c r="BG411" s="40"/>
      <c r="BH411" s="5"/>
      <c r="BJ411" s="40"/>
      <c r="BK411" s="5"/>
      <c r="BM411" s="40"/>
      <c r="BN411" s="5"/>
      <c r="BP411" s="40"/>
      <c r="BQ411" s="5"/>
      <c r="BS411" s="40"/>
      <c r="BT411" s="5"/>
      <c r="BV411" s="40"/>
      <c r="BW411" s="5"/>
      <c r="BY411" s="40"/>
      <c r="BZ411" s="5"/>
      <c r="CB411" s="40"/>
      <c r="CC411" s="5"/>
      <c r="CE411" s="40"/>
      <c r="CF411" s="5"/>
      <c r="CH411" s="40"/>
      <c r="CI411" s="5"/>
      <c r="CK411" s="40"/>
      <c r="CL411" s="5"/>
      <c r="CN411" s="40"/>
      <c r="CO411" s="5"/>
      <c r="CQ411" s="40"/>
      <c r="CR411" s="5"/>
    </row>
    <row r="412">
      <c r="AO412" s="40"/>
      <c r="AP412" s="5"/>
      <c r="AR412" s="40"/>
      <c r="AS412" s="5"/>
      <c r="AU412" s="40"/>
      <c r="AV412" s="5"/>
      <c r="AX412" s="40"/>
      <c r="AY412" s="5"/>
      <c r="BA412" s="40"/>
      <c r="BB412" s="5"/>
      <c r="BD412" s="40"/>
      <c r="BE412" s="5"/>
      <c r="BG412" s="40"/>
      <c r="BH412" s="5"/>
      <c r="BJ412" s="40"/>
      <c r="BK412" s="5"/>
      <c r="BM412" s="40"/>
      <c r="BN412" s="5"/>
      <c r="BP412" s="40"/>
      <c r="BQ412" s="5"/>
      <c r="BS412" s="40"/>
      <c r="BT412" s="5"/>
      <c r="BV412" s="40"/>
      <c r="BW412" s="5"/>
      <c r="BY412" s="40"/>
      <c r="BZ412" s="5"/>
      <c r="CB412" s="40"/>
      <c r="CC412" s="5"/>
      <c r="CE412" s="40"/>
      <c r="CF412" s="5"/>
      <c r="CH412" s="40"/>
      <c r="CI412" s="5"/>
      <c r="CK412" s="40"/>
      <c r="CL412" s="5"/>
      <c r="CN412" s="40"/>
      <c r="CO412" s="5"/>
      <c r="CQ412" s="40"/>
      <c r="CR412" s="5"/>
    </row>
    <row r="413">
      <c r="AO413" s="40"/>
      <c r="AP413" s="5"/>
      <c r="AR413" s="40"/>
      <c r="AS413" s="5"/>
      <c r="AU413" s="40"/>
      <c r="AV413" s="5"/>
      <c r="AX413" s="40"/>
      <c r="AY413" s="5"/>
      <c r="BA413" s="40"/>
      <c r="BB413" s="5"/>
      <c r="BD413" s="40"/>
      <c r="BE413" s="5"/>
      <c r="BG413" s="40"/>
      <c r="BH413" s="5"/>
      <c r="BJ413" s="40"/>
      <c r="BK413" s="5"/>
      <c r="BM413" s="40"/>
      <c r="BN413" s="5"/>
      <c r="BP413" s="40"/>
      <c r="BQ413" s="5"/>
      <c r="BS413" s="40"/>
      <c r="BT413" s="5"/>
      <c r="BV413" s="40"/>
      <c r="BW413" s="5"/>
      <c r="BY413" s="40"/>
      <c r="BZ413" s="5"/>
      <c r="CB413" s="40"/>
      <c r="CC413" s="5"/>
      <c r="CE413" s="40"/>
      <c r="CF413" s="5"/>
      <c r="CH413" s="40"/>
      <c r="CI413" s="5"/>
      <c r="CK413" s="40"/>
      <c r="CL413" s="5"/>
      <c r="CN413" s="40"/>
      <c r="CO413" s="5"/>
      <c r="CQ413" s="40"/>
      <c r="CR413" s="5"/>
    </row>
    <row r="414">
      <c r="AO414" s="40"/>
      <c r="AP414" s="5"/>
      <c r="AR414" s="40"/>
      <c r="AS414" s="5"/>
      <c r="AU414" s="40"/>
      <c r="AV414" s="5"/>
      <c r="AX414" s="40"/>
      <c r="AY414" s="5"/>
      <c r="BA414" s="40"/>
      <c r="BB414" s="5"/>
      <c r="BD414" s="40"/>
      <c r="BE414" s="5"/>
      <c r="BG414" s="40"/>
      <c r="BH414" s="5"/>
      <c r="BJ414" s="40"/>
      <c r="BK414" s="5"/>
      <c r="BM414" s="40"/>
      <c r="BN414" s="5"/>
      <c r="BP414" s="40"/>
      <c r="BQ414" s="5"/>
      <c r="BS414" s="40"/>
      <c r="BT414" s="5"/>
      <c r="BV414" s="40"/>
      <c r="BW414" s="5"/>
      <c r="BY414" s="40"/>
      <c r="BZ414" s="5"/>
      <c r="CB414" s="40"/>
      <c r="CC414" s="5"/>
      <c r="CE414" s="40"/>
      <c r="CF414" s="5"/>
      <c r="CH414" s="40"/>
      <c r="CI414" s="5"/>
      <c r="CK414" s="40"/>
      <c r="CL414" s="5"/>
      <c r="CN414" s="40"/>
      <c r="CO414" s="5"/>
      <c r="CQ414" s="40"/>
      <c r="CR414" s="5"/>
    </row>
    <row r="415">
      <c r="AO415" s="40"/>
      <c r="AP415" s="5"/>
      <c r="AR415" s="40"/>
      <c r="AS415" s="5"/>
      <c r="AU415" s="40"/>
      <c r="AV415" s="5"/>
      <c r="AX415" s="40"/>
      <c r="AY415" s="5"/>
      <c r="BA415" s="40"/>
      <c r="BB415" s="5"/>
      <c r="BD415" s="40"/>
      <c r="BE415" s="5"/>
      <c r="BG415" s="40"/>
      <c r="BH415" s="5"/>
      <c r="BJ415" s="40"/>
      <c r="BK415" s="5"/>
      <c r="BM415" s="40"/>
      <c r="BN415" s="5"/>
      <c r="BP415" s="40"/>
      <c r="BQ415" s="5"/>
      <c r="BS415" s="40"/>
      <c r="BT415" s="5"/>
      <c r="BV415" s="40"/>
      <c r="BW415" s="5"/>
      <c r="BY415" s="40"/>
      <c r="BZ415" s="5"/>
      <c r="CB415" s="40"/>
      <c r="CC415" s="5"/>
      <c r="CE415" s="40"/>
      <c r="CF415" s="5"/>
      <c r="CH415" s="40"/>
      <c r="CI415" s="5"/>
      <c r="CK415" s="40"/>
      <c r="CL415" s="5"/>
      <c r="CN415" s="40"/>
      <c r="CO415" s="5"/>
      <c r="CQ415" s="40"/>
      <c r="CR415" s="5"/>
    </row>
    <row r="416">
      <c r="AO416" s="40"/>
      <c r="AP416" s="5"/>
      <c r="AR416" s="40"/>
      <c r="AS416" s="5"/>
      <c r="AU416" s="40"/>
      <c r="AV416" s="5"/>
      <c r="AX416" s="40"/>
      <c r="AY416" s="5"/>
      <c r="BA416" s="40"/>
      <c r="BB416" s="5"/>
      <c r="BD416" s="40"/>
      <c r="BE416" s="5"/>
      <c r="BG416" s="40"/>
      <c r="BH416" s="5"/>
      <c r="BJ416" s="40"/>
      <c r="BK416" s="5"/>
      <c r="BM416" s="40"/>
      <c r="BN416" s="5"/>
      <c r="BP416" s="40"/>
      <c r="BQ416" s="5"/>
      <c r="BS416" s="40"/>
      <c r="BT416" s="5"/>
      <c r="BV416" s="40"/>
      <c r="BW416" s="5"/>
      <c r="BY416" s="40"/>
      <c r="BZ416" s="5"/>
      <c r="CB416" s="40"/>
      <c r="CC416" s="5"/>
      <c r="CE416" s="40"/>
      <c r="CF416" s="5"/>
      <c r="CH416" s="40"/>
      <c r="CI416" s="5"/>
      <c r="CK416" s="40"/>
      <c r="CL416" s="5"/>
      <c r="CN416" s="40"/>
      <c r="CO416" s="5"/>
      <c r="CQ416" s="40"/>
      <c r="CR416" s="5"/>
    </row>
    <row r="417">
      <c r="AO417" s="40"/>
      <c r="AP417" s="5"/>
      <c r="AR417" s="40"/>
      <c r="AS417" s="5"/>
      <c r="AU417" s="40"/>
      <c r="AV417" s="5"/>
      <c r="AX417" s="40"/>
      <c r="AY417" s="5"/>
      <c r="BA417" s="40"/>
      <c r="BB417" s="5"/>
      <c r="BD417" s="40"/>
      <c r="BE417" s="5"/>
      <c r="BG417" s="40"/>
      <c r="BH417" s="5"/>
      <c r="BJ417" s="40"/>
      <c r="BK417" s="5"/>
      <c r="BM417" s="40"/>
      <c r="BN417" s="5"/>
      <c r="BP417" s="40"/>
      <c r="BQ417" s="5"/>
      <c r="BS417" s="40"/>
      <c r="BT417" s="5"/>
      <c r="BV417" s="40"/>
      <c r="BW417" s="5"/>
      <c r="BY417" s="40"/>
      <c r="BZ417" s="5"/>
      <c r="CB417" s="40"/>
      <c r="CC417" s="5"/>
      <c r="CE417" s="40"/>
      <c r="CF417" s="5"/>
      <c r="CH417" s="40"/>
      <c r="CI417" s="5"/>
      <c r="CK417" s="40"/>
      <c r="CL417" s="5"/>
      <c r="CN417" s="40"/>
      <c r="CO417" s="5"/>
      <c r="CQ417" s="40"/>
      <c r="CR417" s="5"/>
    </row>
    <row r="418">
      <c r="AO418" s="40"/>
      <c r="AP418" s="5"/>
      <c r="AR418" s="40"/>
      <c r="AS418" s="5"/>
      <c r="AU418" s="40"/>
      <c r="AV418" s="5"/>
      <c r="AX418" s="40"/>
      <c r="AY418" s="5"/>
      <c r="BA418" s="40"/>
      <c r="BB418" s="5"/>
      <c r="BD418" s="40"/>
      <c r="BE418" s="5"/>
      <c r="BG418" s="40"/>
      <c r="BH418" s="5"/>
      <c r="BJ418" s="40"/>
      <c r="BK418" s="5"/>
      <c r="BM418" s="40"/>
      <c r="BN418" s="5"/>
      <c r="BP418" s="40"/>
      <c r="BQ418" s="5"/>
      <c r="BS418" s="40"/>
      <c r="BT418" s="5"/>
      <c r="BV418" s="40"/>
      <c r="BW418" s="5"/>
      <c r="BY418" s="40"/>
      <c r="BZ418" s="5"/>
      <c r="CB418" s="40"/>
      <c r="CC418" s="5"/>
      <c r="CE418" s="40"/>
      <c r="CF418" s="5"/>
      <c r="CH418" s="40"/>
      <c r="CI418" s="5"/>
      <c r="CK418" s="40"/>
      <c r="CL418" s="5"/>
      <c r="CN418" s="40"/>
      <c r="CO418" s="5"/>
      <c r="CQ418" s="40"/>
      <c r="CR418" s="5"/>
    </row>
    <row r="419">
      <c r="AO419" s="40"/>
      <c r="AP419" s="5"/>
      <c r="AR419" s="40"/>
      <c r="AS419" s="5"/>
      <c r="AU419" s="40"/>
      <c r="AV419" s="5"/>
      <c r="AX419" s="40"/>
      <c r="AY419" s="5"/>
      <c r="BA419" s="40"/>
      <c r="BB419" s="5"/>
      <c r="BD419" s="40"/>
      <c r="BE419" s="5"/>
      <c r="BG419" s="40"/>
      <c r="BH419" s="5"/>
      <c r="BJ419" s="40"/>
      <c r="BK419" s="5"/>
      <c r="BM419" s="40"/>
      <c r="BN419" s="5"/>
      <c r="BP419" s="40"/>
      <c r="BQ419" s="5"/>
      <c r="BS419" s="40"/>
      <c r="BT419" s="5"/>
      <c r="BV419" s="40"/>
      <c r="BW419" s="5"/>
      <c r="BY419" s="40"/>
      <c r="BZ419" s="5"/>
      <c r="CB419" s="40"/>
      <c r="CC419" s="5"/>
      <c r="CE419" s="40"/>
      <c r="CF419" s="5"/>
      <c r="CH419" s="40"/>
      <c r="CI419" s="5"/>
      <c r="CK419" s="40"/>
      <c r="CL419" s="5"/>
      <c r="CN419" s="40"/>
      <c r="CO419" s="5"/>
      <c r="CQ419" s="40"/>
      <c r="CR419" s="5"/>
    </row>
    <row r="420">
      <c r="AO420" s="40"/>
      <c r="AP420" s="5"/>
      <c r="AR420" s="40"/>
      <c r="AS420" s="5"/>
      <c r="AU420" s="40"/>
      <c r="AV420" s="5"/>
      <c r="AX420" s="40"/>
      <c r="AY420" s="5"/>
      <c r="BA420" s="40"/>
      <c r="BB420" s="5"/>
      <c r="BD420" s="40"/>
      <c r="BE420" s="5"/>
      <c r="BG420" s="40"/>
      <c r="BH420" s="5"/>
      <c r="BJ420" s="40"/>
      <c r="BK420" s="5"/>
      <c r="BM420" s="40"/>
      <c r="BN420" s="5"/>
      <c r="BP420" s="40"/>
      <c r="BQ420" s="5"/>
      <c r="BS420" s="40"/>
      <c r="BT420" s="5"/>
      <c r="BV420" s="40"/>
      <c r="BW420" s="5"/>
      <c r="BY420" s="40"/>
      <c r="BZ420" s="5"/>
      <c r="CB420" s="40"/>
      <c r="CC420" s="5"/>
      <c r="CE420" s="40"/>
      <c r="CF420" s="5"/>
      <c r="CH420" s="40"/>
      <c r="CI420" s="5"/>
      <c r="CK420" s="40"/>
      <c r="CL420" s="5"/>
      <c r="CN420" s="40"/>
      <c r="CO420" s="5"/>
      <c r="CQ420" s="40"/>
      <c r="CR420" s="5"/>
    </row>
    <row r="421">
      <c r="AO421" s="40"/>
      <c r="AP421" s="5"/>
      <c r="AR421" s="40"/>
      <c r="AS421" s="5"/>
      <c r="AU421" s="40"/>
      <c r="AV421" s="5"/>
      <c r="AX421" s="40"/>
      <c r="AY421" s="5"/>
      <c r="BA421" s="40"/>
      <c r="BB421" s="5"/>
      <c r="BD421" s="40"/>
      <c r="BE421" s="5"/>
      <c r="BG421" s="40"/>
      <c r="BH421" s="5"/>
      <c r="BJ421" s="40"/>
      <c r="BK421" s="5"/>
      <c r="BM421" s="40"/>
      <c r="BN421" s="5"/>
      <c r="BP421" s="40"/>
      <c r="BQ421" s="5"/>
      <c r="BS421" s="40"/>
      <c r="BT421" s="5"/>
      <c r="BV421" s="40"/>
      <c r="BW421" s="5"/>
      <c r="BY421" s="40"/>
      <c r="BZ421" s="5"/>
      <c r="CB421" s="40"/>
      <c r="CC421" s="5"/>
      <c r="CE421" s="40"/>
      <c r="CF421" s="5"/>
      <c r="CH421" s="40"/>
      <c r="CI421" s="5"/>
      <c r="CK421" s="40"/>
      <c r="CL421" s="5"/>
      <c r="CN421" s="40"/>
      <c r="CO421" s="5"/>
      <c r="CQ421" s="40"/>
      <c r="CR421" s="5"/>
    </row>
    <row r="422">
      <c r="AO422" s="40"/>
      <c r="AP422" s="5"/>
      <c r="AR422" s="40"/>
      <c r="AS422" s="5"/>
      <c r="AU422" s="40"/>
      <c r="AV422" s="5"/>
      <c r="AX422" s="40"/>
      <c r="AY422" s="5"/>
      <c r="BA422" s="40"/>
      <c r="BB422" s="5"/>
      <c r="BD422" s="40"/>
      <c r="BE422" s="5"/>
      <c r="BG422" s="40"/>
      <c r="BH422" s="5"/>
      <c r="BJ422" s="40"/>
      <c r="BK422" s="5"/>
      <c r="BM422" s="40"/>
      <c r="BN422" s="5"/>
      <c r="BP422" s="40"/>
      <c r="BQ422" s="5"/>
      <c r="BS422" s="40"/>
      <c r="BT422" s="5"/>
      <c r="BV422" s="40"/>
      <c r="BW422" s="5"/>
      <c r="BY422" s="40"/>
      <c r="BZ422" s="5"/>
      <c r="CB422" s="40"/>
      <c r="CC422" s="5"/>
      <c r="CE422" s="40"/>
      <c r="CF422" s="5"/>
      <c r="CH422" s="40"/>
      <c r="CI422" s="5"/>
      <c r="CK422" s="40"/>
      <c r="CL422" s="5"/>
      <c r="CN422" s="40"/>
      <c r="CO422" s="5"/>
      <c r="CQ422" s="40"/>
      <c r="CR422" s="5"/>
    </row>
    <row r="423">
      <c r="AO423" s="40"/>
      <c r="AP423" s="5"/>
      <c r="AR423" s="40"/>
      <c r="AS423" s="5"/>
      <c r="AU423" s="40"/>
      <c r="AV423" s="5"/>
      <c r="AX423" s="40"/>
      <c r="AY423" s="5"/>
      <c r="BA423" s="40"/>
      <c r="BB423" s="5"/>
      <c r="BD423" s="40"/>
      <c r="BE423" s="5"/>
      <c r="BG423" s="40"/>
      <c r="BH423" s="5"/>
      <c r="BJ423" s="40"/>
      <c r="BK423" s="5"/>
      <c r="BM423" s="40"/>
      <c r="BN423" s="5"/>
      <c r="BP423" s="40"/>
      <c r="BQ423" s="5"/>
      <c r="BS423" s="40"/>
      <c r="BT423" s="5"/>
      <c r="BV423" s="40"/>
      <c r="BW423" s="5"/>
      <c r="BY423" s="40"/>
      <c r="BZ423" s="5"/>
      <c r="CB423" s="40"/>
      <c r="CC423" s="5"/>
      <c r="CE423" s="40"/>
      <c r="CF423" s="5"/>
      <c r="CH423" s="40"/>
      <c r="CI423" s="5"/>
      <c r="CK423" s="40"/>
      <c r="CL423" s="5"/>
      <c r="CN423" s="40"/>
      <c r="CO423" s="5"/>
      <c r="CQ423" s="40"/>
      <c r="CR423" s="5"/>
    </row>
    <row r="424">
      <c r="AO424" s="40"/>
      <c r="AP424" s="5"/>
      <c r="AR424" s="40"/>
      <c r="AS424" s="5"/>
      <c r="AU424" s="40"/>
      <c r="AV424" s="5"/>
      <c r="AX424" s="40"/>
      <c r="AY424" s="5"/>
      <c r="BA424" s="40"/>
      <c r="BB424" s="5"/>
      <c r="BD424" s="40"/>
      <c r="BE424" s="5"/>
      <c r="BG424" s="40"/>
      <c r="BH424" s="5"/>
      <c r="BJ424" s="40"/>
      <c r="BK424" s="5"/>
      <c r="BM424" s="40"/>
      <c r="BN424" s="5"/>
      <c r="BP424" s="40"/>
      <c r="BQ424" s="5"/>
      <c r="BS424" s="40"/>
      <c r="BT424" s="5"/>
      <c r="BV424" s="40"/>
      <c r="BW424" s="5"/>
      <c r="BY424" s="40"/>
      <c r="BZ424" s="5"/>
      <c r="CB424" s="40"/>
      <c r="CC424" s="5"/>
      <c r="CE424" s="40"/>
      <c r="CF424" s="5"/>
      <c r="CH424" s="40"/>
      <c r="CI424" s="5"/>
      <c r="CK424" s="40"/>
      <c r="CL424" s="5"/>
      <c r="CN424" s="40"/>
      <c r="CO424" s="5"/>
      <c r="CQ424" s="40"/>
      <c r="CR424" s="5"/>
    </row>
    <row r="425">
      <c r="AO425" s="40"/>
      <c r="AP425" s="5"/>
      <c r="AR425" s="40"/>
      <c r="AS425" s="5"/>
      <c r="AU425" s="40"/>
      <c r="AV425" s="5"/>
      <c r="AX425" s="40"/>
      <c r="AY425" s="5"/>
      <c r="BA425" s="40"/>
      <c r="BB425" s="5"/>
      <c r="BD425" s="40"/>
      <c r="BE425" s="5"/>
      <c r="BG425" s="40"/>
      <c r="BH425" s="5"/>
      <c r="BJ425" s="40"/>
      <c r="BK425" s="5"/>
      <c r="BM425" s="40"/>
      <c r="BN425" s="5"/>
      <c r="BP425" s="40"/>
      <c r="BQ425" s="5"/>
      <c r="BS425" s="40"/>
      <c r="BT425" s="5"/>
      <c r="BV425" s="40"/>
      <c r="BW425" s="5"/>
      <c r="BY425" s="40"/>
      <c r="BZ425" s="5"/>
      <c r="CB425" s="40"/>
      <c r="CC425" s="5"/>
      <c r="CE425" s="40"/>
      <c r="CF425" s="5"/>
      <c r="CH425" s="40"/>
      <c r="CI425" s="5"/>
      <c r="CK425" s="40"/>
      <c r="CL425" s="5"/>
      <c r="CN425" s="40"/>
      <c r="CO425" s="5"/>
      <c r="CQ425" s="40"/>
      <c r="CR425" s="5"/>
    </row>
    <row r="426">
      <c r="AO426" s="40"/>
      <c r="AP426" s="5"/>
      <c r="AR426" s="40"/>
      <c r="AS426" s="5"/>
      <c r="AU426" s="40"/>
      <c r="AV426" s="5"/>
      <c r="AX426" s="40"/>
      <c r="AY426" s="5"/>
      <c r="BA426" s="40"/>
      <c r="BB426" s="5"/>
      <c r="BD426" s="40"/>
      <c r="BE426" s="5"/>
      <c r="BG426" s="40"/>
      <c r="BH426" s="5"/>
      <c r="BJ426" s="40"/>
      <c r="BK426" s="5"/>
      <c r="BM426" s="40"/>
      <c r="BN426" s="5"/>
      <c r="BP426" s="40"/>
      <c r="BQ426" s="5"/>
      <c r="BS426" s="40"/>
      <c r="BT426" s="5"/>
      <c r="BV426" s="40"/>
      <c r="BW426" s="5"/>
      <c r="BY426" s="40"/>
      <c r="BZ426" s="5"/>
      <c r="CB426" s="40"/>
      <c r="CC426" s="5"/>
      <c r="CE426" s="40"/>
      <c r="CF426" s="5"/>
      <c r="CH426" s="40"/>
      <c r="CI426" s="5"/>
      <c r="CK426" s="40"/>
      <c r="CL426" s="5"/>
      <c r="CN426" s="40"/>
      <c r="CO426" s="5"/>
      <c r="CQ426" s="40"/>
      <c r="CR426" s="5"/>
    </row>
    <row r="427">
      <c r="AO427" s="40"/>
      <c r="AP427" s="5"/>
      <c r="AR427" s="40"/>
      <c r="AS427" s="5"/>
      <c r="AU427" s="40"/>
      <c r="AV427" s="5"/>
      <c r="AX427" s="40"/>
      <c r="AY427" s="5"/>
      <c r="BA427" s="40"/>
      <c r="BB427" s="5"/>
      <c r="BD427" s="40"/>
      <c r="BE427" s="5"/>
      <c r="BG427" s="40"/>
      <c r="BH427" s="5"/>
      <c r="BJ427" s="40"/>
      <c r="BK427" s="5"/>
      <c r="BM427" s="40"/>
      <c r="BN427" s="5"/>
      <c r="BP427" s="40"/>
      <c r="BQ427" s="5"/>
      <c r="BS427" s="40"/>
      <c r="BT427" s="5"/>
      <c r="BV427" s="40"/>
      <c r="BW427" s="5"/>
      <c r="BY427" s="40"/>
      <c r="BZ427" s="5"/>
      <c r="CB427" s="40"/>
      <c r="CC427" s="5"/>
      <c r="CE427" s="40"/>
      <c r="CF427" s="5"/>
      <c r="CH427" s="40"/>
      <c r="CI427" s="5"/>
      <c r="CK427" s="40"/>
      <c r="CL427" s="5"/>
      <c r="CN427" s="40"/>
      <c r="CO427" s="5"/>
      <c r="CQ427" s="40"/>
      <c r="CR427" s="5"/>
    </row>
    <row r="428">
      <c r="AO428" s="40"/>
      <c r="AP428" s="5"/>
      <c r="AR428" s="40"/>
      <c r="AS428" s="5"/>
      <c r="AU428" s="40"/>
      <c r="AV428" s="5"/>
      <c r="AX428" s="40"/>
      <c r="AY428" s="5"/>
      <c r="BA428" s="40"/>
      <c r="BB428" s="5"/>
      <c r="BD428" s="40"/>
      <c r="BE428" s="5"/>
      <c r="BG428" s="40"/>
      <c r="BH428" s="5"/>
      <c r="BJ428" s="40"/>
      <c r="BK428" s="5"/>
      <c r="BM428" s="40"/>
      <c r="BN428" s="5"/>
      <c r="BP428" s="40"/>
      <c r="BQ428" s="5"/>
      <c r="BS428" s="40"/>
      <c r="BT428" s="5"/>
      <c r="BV428" s="40"/>
      <c r="BW428" s="5"/>
      <c r="BY428" s="40"/>
      <c r="BZ428" s="5"/>
      <c r="CB428" s="40"/>
      <c r="CC428" s="5"/>
      <c r="CE428" s="40"/>
      <c r="CF428" s="5"/>
      <c r="CH428" s="40"/>
      <c r="CI428" s="5"/>
      <c r="CK428" s="40"/>
      <c r="CL428" s="5"/>
      <c r="CN428" s="40"/>
      <c r="CO428" s="5"/>
      <c r="CQ428" s="40"/>
      <c r="CR428" s="5"/>
    </row>
    <row r="429">
      <c r="AO429" s="40"/>
      <c r="AP429" s="5"/>
      <c r="AR429" s="40"/>
      <c r="AS429" s="5"/>
      <c r="AU429" s="40"/>
      <c r="AV429" s="5"/>
      <c r="AX429" s="40"/>
      <c r="AY429" s="5"/>
      <c r="BA429" s="40"/>
      <c r="BB429" s="5"/>
      <c r="BD429" s="40"/>
      <c r="BE429" s="5"/>
      <c r="BG429" s="40"/>
      <c r="BH429" s="5"/>
      <c r="BJ429" s="40"/>
      <c r="BK429" s="5"/>
      <c r="BM429" s="40"/>
      <c r="BN429" s="5"/>
      <c r="BP429" s="40"/>
      <c r="BQ429" s="5"/>
      <c r="BS429" s="40"/>
      <c r="BT429" s="5"/>
      <c r="BV429" s="40"/>
      <c r="BW429" s="5"/>
      <c r="BY429" s="40"/>
      <c r="BZ429" s="5"/>
      <c r="CB429" s="40"/>
      <c r="CC429" s="5"/>
      <c r="CE429" s="40"/>
      <c r="CF429" s="5"/>
      <c r="CH429" s="40"/>
      <c r="CI429" s="5"/>
      <c r="CK429" s="40"/>
      <c r="CL429" s="5"/>
      <c r="CN429" s="40"/>
      <c r="CO429" s="5"/>
      <c r="CQ429" s="40"/>
      <c r="CR429" s="5"/>
    </row>
    <row r="430">
      <c r="AO430" s="40"/>
      <c r="AP430" s="5"/>
      <c r="AR430" s="40"/>
      <c r="AS430" s="5"/>
      <c r="AU430" s="40"/>
      <c r="AV430" s="5"/>
      <c r="AX430" s="40"/>
      <c r="AY430" s="5"/>
      <c r="BA430" s="40"/>
      <c r="BB430" s="5"/>
      <c r="BD430" s="40"/>
      <c r="BE430" s="5"/>
      <c r="BG430" s="40"/>
      <c r="BH430" s="5"/>
      <c r="BJ430" s="40"/>
      <c r="BK430" s="5"/>
      <c r="BM430" s="40"/>
      <c r="BN430" s="5"/>
      <c r="BP430" s="40"/>
      <c r="BQ430" s="5"/>
      <c r="BS430" s="40"/>
      <c r="BT430" s="5"/>
      <c r="BV430" s="40"/>
      <c r="BW430" s="5"/>
      <c r="BY430" s="40"/>
      <c r="BZ430" s="5"/>
      <c r="CB430" s="40"/>
      <c r="CC430" s="5"/>
      <c r="CE430" s="40"/>
      <c r="CF430" s="5"/>
      <c r="CH430" s="40"/>
      <c r="CI430" s="5"/>
      <c r="CK430" s="40"/>
      <c r="CL430" s="5"/>
      <c r="CN430" s="40"/>
      <c r="CO430" s="5"/>
      <c r="CQ430" s="40"/>
      <c r="CR430" s="5"/>
    </row>
    <row r="431">
      <c r="AO431" s="40"/>
      <c r="AP431" s="5"/>
      <c r="AR431" s="40"/>
      <c r="AS431" s="5"/>
      <c r="AU431" s="40"/>
      <c r="AV431" s="5"/>
      <c r="AX431" s="40"/>
      <c r="AY431" s="5"/>
      <c r="BA431" s="40"/>
      <c r="BB431" s="5"/>
      <c r="BD431" s="40"/>
      <c r="BE431" s="5"/>
      <c r="BG431" s="40"/>
      <c r="BH431" s="5"/>
      <c r="BJ431" s="40"/>
      <c r="BK431" s="5"/>
      <c r="BM431" s="40"/>
      <c r="BN431" s="5"/>
      <c r="BP431" s="40"/>
      <c r="BQ431" s="5"/>
      <c r="BS431" s="40"/>
      <c r="BT431" s="5"/>
      <c r="BV431" s="40"/>
      <c r="BW431" s="5"/>
      <c r="BY431" s="40"/>
      <c r="BZ431" s="5"/>
      <c r="CB431" s="40"/>
      <c r="CC431" s="5"/>
      <c r="CE431" s="40"/>
      <c r="CF431" s="5"/>
      <c r="CH431" s="40"/>
      <c r="CI431" s="5"/>
      <c r="CK431" s="40"/>
      <c r="CL431" s="5"/>
      <c r="CN431" s="40"/>
      <c r="CO431" s="5"/>
      <c r="CQ431" s="40"/>
      <c r="CR431" s="5"/>
    </row>
    <row r="432">
      <c r="AO432" s="40"/>
      <c r="AP432" s="5"/>
      <c r="AR432" s="40"/>
      <c r="AS432" s="5"/>
      <c r="AU432" s="40"/>
      <c r="AV432" s="5"/>
      <c r="AX432" s="40"/>
      <c r="AY432" s="5"/>
      <c r="BA432" s="40"/>
      <c r="BB432" s="5"/>
      <c r="BD432" s="40"/>
      <c r="BE432" s="5"/>
      <c r="BG432" s="40"/>
      <c r="BH432" s="5"/>
      <c r="BJ432" s="40"/>
      <c r="BK432" s="5"/>
      <c r="BM432" s="40"/>
      <c r="BN432" s="5"/>
      <c r="BP432" s="40"/>
      <c r="BQ432" s="5"/>
      <c r="BS432" s="40"/>
      <c r="BT432" s="5"/>
      <c r="BV432" s="40"/>
      <c r="BW432" s="5"/>
      <c r="BY432" s="40"/>
      <c r="BZ432" s="5"/>
      <c r="CB432" s="40"/>
      <c r="CC432" s="5"/>
      <c r="CE432" s="40"/>
      <c r="CF432" s="5"/>
      <c r="CH432" s="40"/>
      <c r="CI432" s="5"/>
      <c r="CK432" s="40"/>
      <c r="CL432" s="5"/>
      <c r="CN432" s="40"/>
      <c r="CO432" s="5"/>
      <c r="CQ432" s="40"/>
      <c r="CR432" s="5"/>
    </row>
    <row r="433">
      <c r="AO433" s="40"/>
      <c r="AP433" s="5"/>
      <c r="AR433" s="40"/>
      <c r="AS433" s="5"/>
      <c r="AU433" s="40"/>
      <c r="AV433" s="5"/>
      <c r="AX433" s="40"/>
      <c r="AY433" s="5"/>
      <c r="BA433" s="40"/>
      <c r="BB433" s="5"/>
      <c r="BD433" s="40"/>
      <c r="BE433" s="5"/>
      <c r="BG433" s="40"/>
      <c r="BH433" s="5"/>
      <c r="BJ433" s="40"/>
      <c r="BK433" s="5"/>
      <c r="BM433" s="40"/>
      <c r="BN433" s="5"/>
      <c r="BP433" s="40"/>
      <c r="BQ433" s="5"/>
      <c r="BS433" s="40"/>
      <c r="BT433" s="5"/>
      <c r="BV433" s="40"/>
      <c r="BW433" s="5"/>
      <c r="BY433" s="40"/>
      <c r="BZ433" s="5"/>
      <c r="CB433" s="40"/>
      <c r="CC433" s="5"/>
      <c r="CE433" s="40"/>
      <c r="CF433" s="5"/>
      <c r="CH433" s="40"/>
      <c r="CI433" s="5"/>
      <c r="CK433" s="40"/>
      <c r="CL433" s="5"/>
      <c r="CN433" s="40"/>
      <c r="CO433" s="5"/>
      <c r="CQ433" s="40"/>
      <c r="CR433" s="5"/>
    </row>
    <row r="434">
      <c r="AO434" s="40"/>
      <c r="AP434" s="5"/>
      <c r="AR434" s="40"/>
      <c r="AS434" s="5"/>
      <c r="AU434" s="40"/>
      <c r="AV434" s="5"/>
      <c r="AX434" s="40"/>
      <c r="AY434" s="5"/>
      <c r="BA434" s="40"/>
      <c r="BB434" s="5"/>
      <c r="BD434" s="40"/>
      <c r="BE434" s="5"/>
      <c r="BG434" s="40"/>
      <c r="BH434" s="5"/>
      <c r="BJ434" s="40"/>
      <c r="BK434" s="5"/>
      <c r="BM434" s="40"/>
      <c r="BN434" s="5"/>
      <c r="BP434" s="40"/>
      <c r="BQ434" s="5"/>
      <c r="BS434" s="40"/>
      <c r="BT434" s="5"/>
      <c r="BV434" s="40"/>
      <c r="BW434" s="5"/>
      <c r="BY434" s="40"/>
      <c r="BZ434" s="5"/>
      <c r="CB434" s="40"/>
      <c r="CC434" s="5"/>
      <c r="CE434" s="40"/>
      <c r="CF434" s="5"/>
      <c r="CH434" s="40"/>
      <c r="CI434" s="5"/>
      <c r="CK434" s="40"/>
      <c r="CL434" s="5"/>
      <c r="CN434" s="40"/>
      <c r="CO434" s="5"/>
      <c r="CQ434" s="40"/>
      <c r="CR434" s="5"/>
    </row>
    <row r="435">
      <c r="AO435" s="40"/>
      <c r="AP435" s="5"/>
      <c r="AR435" s="40"/>
      <c r="AS435" s="5"/>
      <c r="AU435" s="40"/>
      <c r="AV435" s="5"/>
      <c r="AX435" s="40"/>
      <c r="AY435" s="5"/>
      <c r="BA435" s="40"/>
      <c r="BB435" s="5"/>
      <c r="BD435" s="40"/>
      <c r="BE435" s="5"/>
      <c r="BG435" s="40"/>
      <c r="BH435" s="5"/>
      <c r="BJ435" s="40"/>
      <c r="BK435" s="5"/>
      <c r="BM435" s="40"/>
      <c r="BN435" s="5"/>
      <c r="BP435" s="40"/>
      <c r="BQ435" s="5"/>
      <c r="BS435" s="40"/>
      <c r="BT435" s="5"/>
      <c r="BV435" s="40"/>
      <c r="BW435" s="5"/>
      <c r="BY435" s="40"/>
      <c r="BZ435" s="5"/>
      <c r="CB435" s="40"/>
      <c r="CC435" s="5"/>
      <c r="CE435" s="40"/>
      <c r="CF435" s="5"/>
      <c r="CH435" s="40"/>
      <c r="CI435" s="5"/>
      <c r="CK435" s="40"/>
      <c r="CL435" s="5"/>
      <c r="CN435" s="40"/>
      <c r="CO435" s="5"/>
      <c r="CQ435" s="40"/>
      <c r="CR435" s="5"/>
    </row>
    <row r="436">
      <c r="AO436" s="40"/>
      <c r="AP436" s="5"/>
      <c r="AR436" s="40"/>
      <c r="AS436" s="5"/>
      <c r="AU436" s="40"/>
      <c r="AV436" s="5"/>
      <c r="AX436" s="40"/>
      <c r="AY436" s="5"/>
      <c r="BA436" s="40"/>
      <c r="BB436" s="5"/>
      <c r="BD436" s="40"/>
      <c r="BE436" s="5"/>
      <c r="BG436" s="40"/>
      <c r="BH436" s="5"/>
      <c r="BJ436" s="40"/>
      <c r="BK436" s="5"/>
      <c r="BM436" s="40"/>
      <c r="BN436" s="5"/>
      <c r="BP436" s="40"/>
      <c r="BQ436" s="5"/>
      <c r="BS436" s="40"/>
      <c r="BT436" s="5"/>
      <c r="BV436" s="40"/>
      <c r="BW436" s="5"/>
      <c r="BY436" s="40"/>
      <c r="BZ436" s="5"/>
      <c r="CB436" s="40"/>
      <c r="CC436" s="5"/>
      <c r="CE436" s="40"/>
      <c r="CF436" s="5"/>
      <c r="CH436" s="40"/>
      <c r="CI436" s="5"/>
      <c r="CK436" s="40"/>
      <c r="CL436" s="5"/>
      <c r="CN436" s="40"/>
      <c r="CO436" s="5"/>
      <c r="CQ436" s="40"/>
      <c r="CR436" s="5"/>
    </row>
    <row r="437">
      <c r="AO437" s="40"/>
      <c r="AP437" s="5"/>
      <c r="AR437" s="40"/>
      <c r="AS437" s="5"/>
      <c r="AU437" s="40"/>
      <c r="AV437" s="5"/>
      <c r="AX437" s="40"/>
      <c r="AY437" s="5"/>
      <c r="BA437" s="40"/>
      <c r="BB437" s="5"/>
      <c r="BD437" s="40"/>
      <c r="BE437" s="5"/>
      <c r="BG437" s="40"/>
      <c r="BH437" s="5"/>
      <c r="BJ437" s="40"/>
      <c r="BK437" s="5"/>
      <c r="BM437" s="40"/>
      <c r="BN437" s="5"/>
      <c r="BP437" s="40"/>
      <c r="BQ437" s="5"/>
      <c r="BS437" s="40"/>
      <c r="BT437" s="5"/>
      <c r="BV437" s="40"/>
      <c r="BW437" s="5"/>
      <c r="BY437" s="40"/>
      <c r="BZ437" s="5"/>
      <c r="CB437" s="40"/>
      <c r="CC437" s="5"/>
      <c r="CE437" s="40"/>
      <c r="CF437" s="5"/>
      <c r="CH437" s="40"/>
      <c r="CI437" s="5"/>
      <c r="CK437" s="40"/>
      <c r="CL437" s="5"/>
      <c r="CN437" s="40"/>
      <c r="CO437" s="5"/>
      <c r="CQ437" s="40"/>
      <c r="CR437" s="5"/>
    </row>
    <row r="438">
      <c r="AO438" s="40"/>
      <c r="AP438" s="5"/>
      <c r="AR438" s="40"/>
      <c r="AS438" s="5"/>
      <c r="AU438" s="40"/>
      <c r="AV438" s="5"/>
      <c r="AX438" s="40"/>
      <c r="AY438" s="5"/>
      <c r="BA438" s="40"/>
      <c r="BB438" s="5"/>
      <c r="BD438" s="40"/>
      <c r="BE438" s="5"/>
      <c r="BG438" s="40"/>
      <c r="BH438" s="5"/>
      <c r="BJ438" s="40"/>
      <c r="BK438" s="5"/>
      <c r="BM438" s="40"/>
      <c r="BN438" s="5"/>
      <c r="BP438" s="40"/>
      <c r="BQ438" s="5"/>
      <c r="BS438" s="40"/>
      <c r="BT438" s="5"/>
      <c r="BV438" s="40"/>
      <c r="BW438" s="5"/>
      <c r="BY438" s="40"/>
      <c r="BZ438" s="5"/>
      <c r="CB438" s="40"/>
      <c r="CC438" s="5"/>
      <c r="CE438" s="40"/>
      <c r="CF438" s="5"/>
      <c r="CH438" s="40"/>
      <c r="CI438" s="5"/>
      <c r="CK438" s="40"/>
      <c r="CL438" s="5"/>
      <c r="CN438" s="40"/>
      <c r="CO438" s="5"/>
      <c r="CQ438" s="40"/>
      <c r="CR438" s="5"/>
    </row>
    <row r="439">
      <c r="AO439" s="40"/>
      <c r="AP439" s="5"/>
      <c r="AR439" s="40"/>
      <c r="AS439" s="5"/>
      <c r="AU439" s="40"/>
      <c r="AV439" s="5"/>
      <c r="AX439" s="40"/>
      <c r="AY439" s="5"/>
      <c r="BA439" s="40"/>
      <c r="BB439" s="5"/>
      <c r="BD439" s="40"/>
      <c r="BE439" s="5"/>
      <c r="BG439" s="40"/>
      <c r="BH439" s="5"/>
      <c r="BJ439" s="40"/>
      <c r="BK439" s="5"/>
      <c r="BM439" s="40"/>
      <c r="BN439" s="5"/>
      <c r="BP439" s="40"/>
      <c r="BQ439" s="5"/>
      <c r="BS439" s="40"/>
      <c r="BT439" s="5"/>
      <c r="BV439" s="40"/>
      <c r="BW439" s="5"/>
      <c r="BY439" s="40"/>
      <c r="BZ439" s="5"/>
      <c r="CB439" s="40"/>
      <c r="CC439" s="5"/>
      <c r="CE439" s="40"/>
      <c r="CF439" s="5"/>
      <c r="CH439" s="40"/>
      <c r="CI439" s="5"/>
      <c r="CK439" s="40"/>
      <c r="CL439" s="5"/>
      <c r="CN439" s="40"/>
      <c r="CO439" s="5"/>
      <c r="CQ439" s="40"/>
      <c r="CR439" s="5"/>
    </row>
    <row r="440">
      <c r="AO440" s="40"/>
      <c r="AP440" s="5"/>
      <c r="AR440" s="40"/>
      <c r="AS440" s="5"/>
      <c r="AU440" s="40"/>
      <c r="AV440" s="5"/>
      <c r="AX440" s="40"/>
      <c r="AY440" s="5"/>
      <c r="BA440" s="40"/>
      <c r="BB440" s="5"/>
      <c r="BD440" s="40"/>
      <c r="BE440" s="5"/>
      <c r="BG440" s="40"/>
      <c r="BH440" s="5"/>
      <c r="BJ440" s="40"/>
      <c r="BK440" s="5"/>
      <c r="BM440" s="40"/>
      <c r="BN440" s="5"/>
      <c r="BP440" s="40"/>
      <c r="BQ440" s="5"/>
      <c r="BS440" s="40"/>
      <c r="BT440" s="5"/>
      <c r="BV440" s="40"/>
      <c r="BW440" s="5"/>
      <c r="BY440" s="40"/>
      <c r="BZ440" s="5"/>
      <c r="CB440" s="40"/>
      <c r="CC440" s="5"/>
      <c r="CE440" s="40"/>
      <c r="CF440" s="5"/>
      <c r="CH440" s="40"/>
      <c r="CI440" s="5"/>
      <c r="CK440" s="40"/>
      <c r="CL440" s="5"/>
      <c r="CN440" s="40"/>
      <c r="CO440" s="5"/>
      <c r="CQ440" s="40"/>
      <c r="CR440" s="5"/>
    </row>
    <row r="441">
      <c r="AO441" s="40"/>
      <c r="AP441" s="5"/>
      <c r="AR441" s="40"/>
      <c r="AS441" s="5"/>
      <c r="AU441" s="40"/>
      <c r="AV441" s="5"/>
      <c r="AX441" s="40"/>
      <c r="AY441" s="5"/>
      <c r="BA441" s="40"/>
      <c r="BB441" s="5"/>
      <c r="BD441" s="40"/>
      <c r="BE441" s="5"/>
      <c r="BG441" s="40"/>
      <c r="BH441" s="5"/>
      <c r="BJ441" s="40"/>
      <c r="BK441" s="5"/>
      <c r="BM441" s="40"/>
      <c r="BN441" s="5"/>
      <c r="BP441" s="40"/>
      <c r="BQ441" s="5"/>
      <c r="BS441" s="40"/>
      <c r="BT441" s="5"/>
      <c r="BV441" s="40"/>
      <c r="BW441" s="5"/>
      <c r="BY441" s="40"/>
      <c r="BZ441" s="5"/>
      <c r="CB441" s="40"/>
      <c r="CC441" s="5"/>
      <c r="CE441" s="40"/>
      <c r="CF441" s="5"/>
      <c r="CH441" s="40"/>
      <c r="CI441" s="5"/>
      <c r="CK441" s="40"/>
      <c r="CL441" s="5"/>
      <c r="CN441" s="40"/>
      <c r="CO441" s="5"/>
      <c r="CQ441" s="40"/>
      <c r="CR441" s="5"/>
    </row>
    <row r="442">
      <c r="AO442" s="40"/>
      <c r="AP442" s="5"/>
      <c r="AR442" s="40"/>
      <c r="AS442" s="5"/>
      <c r="AU442" s="40"/>
      <c r="AV442" s="5"/>
      <c r="AX442" s="40"/>
      <c r="AY442" s="5"/>
      <c r="BA442" s="40"/>
      <c r="BB442" s="5"/>
      <c r="BD442" s="40"/>
      <c r="BE442" s="5"/>
      <c r="BG442" s="40"/>
      <c r="BH442" s="5"/>
      <c r="BJ442" s="40"/>
      <c r="BK442" s="5"/>
      <c r="BM442" s="40"/>
      <c r="BN442" s="5"/>
      <c r="BP442" s="40"/>
      <c r="BQ442" s="5"/>
      <c r="BS442" s="40"/>
      <c r="BT442" s="5"/>
      <c r="BV442" s="40"/>
      <c r="BW442" s="5"/>
      <c r="BY442" s="40"/>
      <c r="BZ442" s="5"/>
      <c r="CB442" s="40"/>
      <c r="CC442" s="5"/>
      <c r="CE442" s="40"/>
      <c r="CF442" s="5"/>
      <c r="CH442" s="40"/>
      <c r="CI442" s="5"/>
      <c r="CK442" s="40"/>
      <c r="CL442" s="5"/>
      <c r="CN442" s="40"/>
      <c r="CO442" s="5"/>
      <c r="CQ442" s="40"/>
      <c r="CR442" s="5"/>
    </row>
    <row r="443">
      <c r="AO443" s="40"/>
      <c r="AP443" s="5"/>
      <c r="AR443" s="40"/>
      <c r="AS443" s="5"/>
      <c r="AU443" s="40"/>
      <c r="AV443" s="5"/>
      <c r="AX443" s="40"/>
      <c r="AY443" s="5"/>
      <c r="BA443" s="40"/>
      <c r="BB443" s="5"/>
      <c r="BD443" s="40"/>
      <c r="BE443" s="5"/>
      <c r="BG443" s="40"/>
      <c r="BH443" s="5"/>
      <c r="BJ443" s="40"/>
      <c r="BK443" s="5"/>
      <c r="BM443" s="40"/>
      <c r="BN443" s="5"/>
      <c r="BP443" s="40"/>
      <c r="BQ443" s="5"/>
      <c r="BS443" s="40"/>
      <c r="BT443" s="5"/>
      <c r="BV443" s="40"/>
      <c r="BW443" s="5"/>
      <c r="BY443" s="40"/>
      <c r="BZ443" s="5"/>
      <c r="CB443" s="40"/>
      <c r="CC443" s="5"/>
      <c r="CE443" s="40"/>
      <c r="CF443" s="5"/>
      <c r="CH443" s="40"/>
      <c r="CI443" s="5"/>
      <c r="CK443" s="40"/>
      <c r="CL443" s="5"/>
      <c r="CN443" s="40"/>
      <c r="CO443" s="5"/>
      <c r="CQ443" s="40"/>
      <c r="CR443" s="5"/>
    </row>
    <row r="444">
      <c r="AO444" s="40"/>
      <c r="AP444" s="5"/>
      <c r="AR444" s="40"/>
      <c r="AS444" s="5"/>
      <c r="AU444" s="40"/>
      <c r="AV444" s="5"/>
      <c r="AX444" s="40"/>
      <c r="AY444" s="5"/>
      <c r="BA444" s="40"/>
      <c r="BB444" s="5"/>
      <c r="BD444" s="40"/>
      <c r="BE444" s="5"/>
      <c r="BG444" s="40"/>
      <c r="BH444" s="5"/>
      <c r="BJ444" s="40"/>
      <c r="BK444" s="5"/>
      <c r="BM444" s="40"/>
      <c r="BN444" s="5"/>
      <c r="BP444" s="40"/>
      <c r="BQ444" s="5"/>
      <c r="BS444" s="40"/>
      <c r="BT444" s="5"/>
      <c r="BV444" s="40"/>
      <c r="BW444" s="5"/>
      <c r="BY444" s="40"/>
      <c r="BZ444" s="5"/>
      <c r="CB444" s="40"/>
      <c r="CC444" s="5"/>
      <c r="CE444" s="40"/>
      <c r="CF444" s="5"/>
      <c r="CH444" s="40"/>
      <c r="CI444" s="5"/>
      <c r="CK444" s="40"/>
      <c r="CL444" s="5"/>
      <c r="CN444" s="40"/>
      <c r="CO444" s="5"/>
      <c r="CQ444" s="40"/>
      <c r="CR444" s="5"/>
    </row>
    <row r="445">
      <c r="AO445" s="40"/>
      <c r="AP445" s="5"/>
      <c r="AR445" s="40"/>
      <c r="AS445" s="5"/>
      <c r="AU445" s="40"/>
      <c r="AV445" s="5"/>
      <c r="AX445" s="40"/>
      <c r="AY445" s="5"/>
      <c r="BA445" s="40"/>
      <c r="BB445" s="5"/>
      <c r="BD445" s="40"/>
      <c r="BE445" s="5"/>
      <c r="BG445" s="40"/>
      <c r="BH445" s="5"/>
      <c r="BJ445" s="40"/>
      <c r="BK445" s="5"/>
      <c r="BM445" s="40"/>
      <c r="BN445" s="5"/>
      <c r="BP445" s="40"/>
      <c r="BQ445" s="5"/>
      <c r="BS445" s="40"/>
      <c r="BT445" s="5"/>
      <c r="BV445" s="40"/>
      <c r="BW445" s="5"/>
      <c r="BY445" s="40"/>
      <c r="BZ445" s="5"/>
      <c r="CB445" s="40"/>
      <c r="CC445" s="5"/>
      <c r="CE445" s="40"/>
      <c r="CF445" s="5"/>
      <c r="CH445" s="40"/>
      <c r="CI445" s="5"/>
      <c r="CK445" s="40"/>
      <c r="CL445" s="5"/>
      <c r="CN445" s="40"/>
      <c r="CO445" s="5"/>
      <c r="CQ445" s="40"/>
      <c r="CR445" s="5"/>
    </row>
    <row r="446">
      <c r="AO446" s="40"/>
      <c r="AP446" s="5"/>
      <c r="AR446" s="40"/>
      <c r="AS446" s="5"/>
      <c r="AU446" s="40"/>
      <c r="AV446" s="5"/>
      <c r="AX446" s="40"/>
      <c r="AY446" s="5"/>
      <c r="BA446" s="40"/>
      <c r="BB446" s="5"/>
      <c r="BD446" s="40"/>
      <c r="BE446" s="5"/>
      <c r="BG446" s="40"/>
      <c r="BH446" s="5"/>
      <c r="BJ446" s="40"/>
      <c r="BK446" s="5"/>
      <c r="BM446" s="40"/>
      <c r="BN446" s="5"/>
      <c r="BP446" s="40"/>
      <c r="BQ446" s="5"/>
      <c r="BS446" s="40"/>
      <c r="BT446" s="5"/>
      <c r="BV446" s="40"/>
      <c r="BW446" s="5"/>
      <c r="BY446" s="40"/>
      <c r="BZ446" s="5"/>
      <c r="CB446" s="40"/>
      <c r="CC446" s="5"/>
      <c r="CE446" s="40"/>
      <c r="CF446" s="5"/>
      <c r="CH446" s="40"/>
      <c r="CI446" s="5"/>
      <c r="CK446" s="40"/>
      <c r="CL446" s="5"/>
      <c r="CN446" s="40"/>
      <c r="CO446" s="5"/>
      <c r="CQ446" s="40"/>
      <c r="CR446" s="5"/>
    </row>
    <row r="447">
      <c r="AO447" s="40"/>
      <c r="AP447" s="5"/>
      <c r="AR447" s="40"/>
      <c r="AS447" s="5"/>
      <c r="AU447" s="40"/>
      <c r="AV447" s="5"/>
      <c r="AX447" s="40"/>
      <c r="AY447" s="5"/>
      <c r="BA447" s="40"/>
      <c r="BB447" s="5"/>
      <c r="BD447" s="40"/>
      <c r="BE447" s="5"/>
      <c r="BG447" s="40"/>
      <c r="BH447" s="5"/>
      <c r="BJ447" s="40"/>
      <c r="BK447" s="5"/>
      <c r="BM447" s="40"/>
      <c r="BN447" s="5"/>
      <c r="BP447" s="40"/>
      <c r="BQ447" s="5"/>
      <c r="BS447" s="40"/>
      <c r="BT447" s="5"/>
      <c r="BV447" s="40"/>
      <c r="BW447" s="5"/>
      <c r="BY447" s="40"/>
      <c r="BZ447" s="5"/>
      <c r="CB447" s="40"/>
      <c r="CC447" s="5"/>
      <c r="CE447" s="40"/>
      <c r="CF447" s="5"/>
      <c r="CH447" s="40"/>
      <c r="CI447" s="5"/>
      <c r="CK447" s="40"/>
      <c r="CL447" s="5"/>
      <c r="CN447" s="40"/>
      <c r="CO447" s="5"/>
      <c r="CQ447" s="40"/>
      <c r="CR447" s="5"/>
    </row>
    <row r="448">
      <c r="AO448" s="40"/>
      <c r="AP448" s="5"/>
      <c r="AR448" s="40"/>
      <c r="AS448" s="5"/>
      <c r="AU448" s="40"/>
      <c r="AV448" s="5"/>
      <c r="AX448" s="40"/>
      <c r="AY448" s="5"/>
      <c r="BA448" s="40"/>
      <c r="BB448" s="5"/>
      <c r="BD448" s="40"/>
      <c r="BE448" s="5"/>
      <c r="BG448" s="40"/>
      <c r="BH448" s="5"/>
      <c r="BJ448" s="40"/>
      <c r="BK448" s="5"/>
      <c r="BM448" s="40"/>
      <c r="BN448" s="5"/>
      <c r="BP448" s="40"/>
      <c r="BQ448" s="5"/>
      <c r="BS448" s="40"/>
      <c r="BT448" s="5"/>
      <c r="BV448" s="40"/>
      <c r="BW448" s="5"/>
      <c r="BY448" s="40"/>
      <c r="BZ448" s="5"/>
      <c r="CB448" s="40"/>
      <c r="CC448" s="5"/>
      <c r="CE448" s="40"/>
      <c r="CF448" s="5"/>
      <c r="CH448" s="40"/>
      <c r="CI448" s="5"/>
      <c r="CK448" s="40"/>
      <c r="CL448" s="5"/>
      <c r="CN448" s="40"/>
      <c r="CO448" s="5"/>
      <c r="CQ448" s="40"/>
      <c r="CR448" s="5"/>
    </row>
    <row r="449">
      <c r="AO449" s="40"/>
      <c r="AP449" s="5"/>
      <c r="AR449" s="40"/>
      <c r="AS449" s="5"/>
      <c r="AU449" s="40"/>
      <c r="AV449" s="5"/>
      <c r="AX449" s="40"/>
      <c r="AY449" s="5"/>
      <c r="BA449" s="40"/>
      <c r="BB449" s="5"/>
      <c r="BD449" s="40"/>
      <c r="BE449" s="5"/>
      <c r="BG449" s="40"/>
      <c r="BH449" s="5"/>
      <c r="BJ449" s="40"/>
      <c r="BK449" s="5"/>
      <c r="BM449" s="40"/>
      <c r="BN449" s="5"/>
      <c r="BP449" s="40"/>
      <c r="BQ449" s="5"/>
      <c r="BS449" s="40"/>
      <c r="BT449" s="5"/>
      <c r="BV449" s="40"/>
      <c r="BW449" s="5"/>
      <c r="BY449" s="40"/>
      <c r="BZ449" s="5"/>
      <c r="CB449" s="40"/>
      <c r="CC449" s="5"/>
      <c r="CE449" s="40"/>
      <c r="CF449" s="5"/>
      <c r="CH449" s="40"/>
      <c r="CI449" s="5"/>
      <c r="CK449" s="40"/>
      <c r="CL449" s="5"/>
      <c r="CN449" s="40"/>
      <c r="CO449" s="5"/>
      <c r="CQ449" s="40"/>
      <c r="CR449" s="5"/>
    </row>
    <row r="450">
      <c r="AO450" s="40"/>
      <c r="AP450" s="5"/>
      <c r="AR450" s="40"/>
      <c r="AS450" s="5"/>
      <c r="AU450" s="40"/>
      <c r="AV450" s="5"/>
      <c r="AX450" s="40"/>
      <c r="AY450" s="5"/>
      <c r="BA450" s="40"/>
      <c r="BB450" s="5"/>
      <c r="BD450" s="40"/>
      <c r="BE450" s="5"/>
      <c r="BG450" s="40"/>
      <c r="BH450" s="5"/>
      <c r="BJ450" s="40"/>
      <c r="BK450" s="5"/>
      <c r="BM450" s="40"/>
      <c r="BN450" s="5"/>
      <c r="BP450" s="40"/>
      <c r="BQ450" s="5"/>
      <c r="BS450" s="40"/>
      <c r="BT450" s="5"/>
      <c r="BV450" s="40"/>
      <c r="BW450" s="5"/>
      <c r="BY450" s="40"/>
      <c r="BZ450" s="5"/>
      <c r="CB450" s="40"/>
      <c r="CC450" s="5"/>
      <c r="CE450" s="40"/>
      <c r="CF450" s="5"/>
      <c r="CH450" s="40"/>
      <c r="CI450" s="5"/>
      <c r="CK450" s="40"/>
      <c r="CL450" s="5"/>
      <c r="CN450" s="40"/>
      <c r="CO450" s="5"/>
      <c r="CQ450" s="40"/>
      <c r="CR450" s="5"/>
    </row>
    <row r="451">
      <c r="AO451" s="40"/>
      <c r="AP451" s="5"/>
      <c r="AR451" s="40"/>
      <c r="AS451" s="5"/>
      <c r="AU451" s="40"/>
      <c r="AV451" s="5"/>
      <c r="AX451" s="40"/>
      <c r="AY451" s="5"/>
      <c r="BA451" s="40"/>
      <c r="BB451" s="5"/>
      <c r="BD451" s="40"/>
      <c r="BE451" s="5"/>
      <c r="BG451" s="40"/>
      <c r="BH451" s="5"/>
      <c r="BJ451" s="40"/>
      <c r="BK451" s="5"/>
      <c r="BM451" s="40"/>
      <c r="BN451" s="5"/>
      <c r="BP451" s="40"/>
      <c r="BQ451" s="5"/>
      <c r="BS451" s="40"/>
      <c r="BT451" s="5"/>
      <c r="BV451" s="40"/>
      <c r="BW451" s="5"/>
      <c r="BY451" s="40"/>
      <c r="BZ451" s="5"/>
      <c r="CB451" s="40"/>
      <c r="CC451" s="5"/>
      <c r="CE451" s="40"/>
      <c r="CF451" s="5"/>
      <c r="CH451" s="40"/>
      <c r="CI451" s="5"/>
      <c r="CK451" s="40"/>
      <c r="CL451" s="5"/>
      <c r="CN451" s="40"/>
      <c r="CO451" s="5"/>
      <c r="CQ451" s="40"/>
      <c r="CR451" s="5"/>
    </row>
    <row r="452">
      <c r="AO452" s="40"/>
      <c r="AP452" s="5"/>
      <c r="AR452" s="40"/>
      <c r="AS452" s="5"/>
      <c r="AU452" s="40"/>
      <c r="AV452" s="5"/>
      <c r="AX452" s="40"/>
      <c r="AY452" s="5"/>
      <c r="BA452" s="40"/>
      <c r="BB452" s="5"/>
      <c r="BD452" s="40"/>
      <c r="BE452" s="5"/>
      <c r="BG452" s="40"/>
      <c r="BH452" s="5"/>
      <c r="BJ452" s="40"/>
      <c r="BK452" s="5"/>
      <c r="BM452" s="40"/>
      <c r="BN452" s="5"/>
      <c r="BP452" s="40"/>
      <c r="BQ452" s="5"/>
      <c r="BS452" s="40"/>
      <c r="BT452" s="5"/>
      <c r="BV452" s="40"/>
      <c r="BW452" s="5"/>
      <c r="BY452" s="40"/>
      <c r="BZ452" s="5"/>
      <c r="CB452" s="40"/>
      <c r="CC452" s="5"/>
      <c r="CE452" s="40"/>
      <c r="CF452" s="5"/>
      <c r="CH452" s="40"/>
      <c r="CI452" s="5"/>
      <c r="CK452" s="40"/>
      <c r="CL452" s="5"/>
      <c r="CN452" s="40"/>
      <c r="CO452" s="5"/>
      <c r="CQ452" s="40"/>
      <c r="CR452" s="5"/>
    </row>
    <row r="453">
      <c r="AO453" s="40"/>
      <c r="AP453" s="5"/>
      <c r="AR453" s="40"/>
      <c r="AS453" s="5"/>
      <c r="AU453" s="40"/>
      <c r="AV453" s="5"/>
      <c r="AX453" s="40"/>
      <c r="AY453" s="5"/>
      <c r="BA453" s="40"/>
      <c r="BB453" s="5"/>
      <c r="BD453" s="40"/>
      <c r="BE453" s="5"/>
      <c r="BG453" s="40"/>
      <c r="BH453" s="5"/>
      <c r="BJ453" s="40"/>
      <c r="BK453" s="5"/>
      <c r="BM453" s="40"/>
      <c r="BN453" s="5"/>
      <c r="BP453" s="40"/>
      <c r="BQ453" s="5"/>
      <c r="BS453" s="40"/>
      <c r="BT453" s="5"/>
      <c r="BV453" s="40"/>
      <c r="BW453" s="5"/>
      <c r="BY453" s="40"/>
      <c r="BZ453" s="5"/>
      <c r="CB453" s="40"/>
      <c r="CC453" s="5"/>
      <c r="CE453" s="40"/>
      <c r="CF453" s="5"/>
      <c r="CH453" s="40"/>
      <c r="CI453" s="5"/>
      <c r="CK453" s="40"/>
      <c r="CL453" s="5"/>
      <c r="CN453" s="40"/>
      <c r="CO453" s="5"/>
      <c r="CQ453" s="40"/>
      <c r="CR453" s="5"/>
    </row>
    <row r="454">
      <c r="AO454" s="40"/>
      <c r="AP454" s="5"/>
      <c r="AR454" s="40"/>
      <c r="AS454" s="5"/>
      <c r="AU454" s="40"/>
      <c r="AV454" s="5"/>
      <c r="AX454" s="40"/>
      <c r="AY454" s="5"/>
      <c r="BA454" s="40"/>
      <c r="BB454" s="5"/>
      <c r="BD454" s="40"/>
      <c r="BE454" s="5"/>
      <c r="BG454" s="40"/>
      <c r="BH454" s="5"/>
      <c r="BJ454" s="40"/>
      <c r="BK454" s="5"/>
      <c r="BM454" s="40"/>
      <c r="BN454" s="5"/>
      <c r="BP454" s="40"/>
      <c r="BQ454" s="5"/>
      <c r="BS454" s="40"/>
      <c r="BT454" s="5"/>
      <c r="BV454" s="40"/>
      <c r="BW454" s="5"/>
      <c r="BY454" s="40"/>
      <c r="BZ454" s="5"/>
      <c r="CB454" s="40"/>
      <c r="CC454" s="5"/>
      <c r="CE454" s="40"/>
      <c r="CF454" s="5"/>
      <c r="CH454" s="40"/>
      <c r="CI454" s="5"/>
      <c r="CK454" s="40"/>
      <c r="CL454" s="5"/>
      <c r="CN454" s="40"/>
      <c r="CO454" s="5"/>
      <c r="CQ454" s="40"/>
      <c r="CR454" s="5"/>
    </row>
    <row r="455">
      <c r="AO455" s="40"/>
      <c r="AP455" s="5"/>
      <c r="AR455" s="40"/>
      <c r="AS455" s="5"/>
      <c r="AU455" s="40"/>
      <c r="AV455" s="5"/>
      <c r="AX455" s="40"/>
      <c r="AY455" s="5"/>
      <c r="BA455" s="40"/>
      <c r="BB455" s="5"/>
      <c r="BD455" s="40"/>
      <c r="BE455" s="5"/>
      <c r="BG455" s="40"/>
      <c r="BH455" s="5"/>
      <c r="BJ455" s="40"/>
      <c r="BK455" s="5"/>
      <c r="BM455" s="40"/>
      <c r="BN455" s="5"/>
      <c r="BP455" s="40"/>
      <c r="BQ455" s="5"/>
      <c r="BS455" s="40"/>
      <c r="BT455" s="5"/>
      <c r="BV455" s="40"/>
      <c r="BW455" s="5"/>
      <c r="BY455" s="40"/>
      <c r="BZ455" s="5"/>
      <c r="CB455" s="40"/>
      <c r="CC455" s="5"/>
      <c r="CE455" s="40"/>
      <c r="CF455" s="5"/>
      <c r="CH455" s="40"/>
      <c r="CI455" s="5"/>
      <c r="CK455" s="40"/>
      <c r="CL455" s="5"/>
      <c r="CN455" s="40"/>
      <c r="CO455" s="5"/>
      <c r="CQ455" s="40"/>
      <c r="CR455" s="5"/>
    </row>
    <row r="456">
      <c r="AO456" s="40"/>
      <c r="AP456" s="5"/>
      <c r="AR456" s="40"/>
      <c r="AS456" s="5"/>
      <c r="AU456" s="40"/>
      <c r="AV456" s="5"/>
      <c r="AX456" s="40"/>
      <c r="AY456" s="5"/>
      <c r="BA456" s="40"/>
      <c r="BB456" s="5"/>
      <c r="BD456" s="40"/>
      <c r="BE456" s="5"/>
      <c r="BG456" s="40"/>
      <c r="BH456" s="5"/>
      <c r="BJ456" s="40"/>
      <c r="BK456" s="5"/>
      <c r="BM456" s="40"/>
      <c r="BN456" s="5"/>
      <c r="BP456" s="40"/>
      <c r="BQ456" s="5"/>
      <c r="BS456" s="40"/>
      <c r="BT456" s="5"/>
      <c r="BV456" s="40"/>
      <c r="BW456" s="5"/>
      <c r="BY456" s="40"/>
      <c r="BZ456" s="5"/>
      <c r="CB456" s="40"/>
      <c r="CC456" s="5"/>
      <c r="CE456" s="40"/>
      <c r="CF456" s="5"/>
      <c r="CH456" s="40"/>
      <c r="CI456" s="5"/>
      <c r="CK456" s="40"/>
      <c r="CL456" s="5"/>
      <c r="CN456" s="40"/>
      <c r="CO456" s="5"/>
      <c r="CQ456" s="40"/>
      <c r="CR456" s="5"/>
    </row>
    <row r="457">
      <c r="AO457" s="40"/>
      <c r="AP457" s="5"/>
      <c r="AR457" s="40"/>
      <c r="AS457" s="5"/>
      <c r="AU457" s="40"/>
      <c r="AV457" s="5"/>
      <c r="AX457" s="40"/>
      <c r="AY457" s="5"/>
      <c r="BA457" s="40"/>
      <c r="BB457" s="5"/>
      <c r="BD457" s="40"/>
      <c r="BE457" s="5"/>
      <c r="BG457" s="40"/>
      <c r="BH457" s="5"/>
      <c r="BJ457" s="40"/>
      <c r="BK457" s="5"/>
      <c r="BM457" s="40"/>
      <c r="BN457" s="5"/>
      <c r="BP457" s="40"/>
      <c r="BQ457" s="5"/>
      <c r="BS457" s="40"/>
      <c r="BT457" s="5"/>
      <c r="BV457" s="40"/>
      <c r="BW457" s="5"/>
      <c r="BY457" s="40"/>
      <c r="BZ457" s="5"/>
      <c r="CB457" s="40"/>
      <c r="CC457" s="5"/>
      <c r="CE457" s="40"/>
      <c r="CF457" s="5"/>
      <c r="CH457" s="40"/>
      <c r="CI457" s="5"/>
      <c r="CK457" s="40"/>
      <c r="CL457" s="5"/>
      <c r="CN457" s="40"/>
      <c r="CO457" s="5"/>
      <c r="CQ457" s="40"/>
      <c r="CR457" s="5"/>
    </row>
    <row r="458">
      <c r="AO458" s="40"/>
      <c r="AP458" s="5"/>
      <c r="AR458" s="40"/>
      <c r="AS458" s="5"/>
      <c r="AU458" s="40"/>
      <c r="AV458" s="5"/>
      <c r="AX458" s="40"/>
      <c r="AY458" s="5"/>
      <c r="BA458" s="40"/>
      <c r="BB458" s="5"/>
      <c r="BD458" s="40"/>
      <c r="BE458" s="5"/>
      <c r="BG458" s="40"/>
      <c r="BH458" s="5"/>
      <c r="BJ458" s="40"/>
      <c r="BK458" s="5"/>
      <c r="BM458" s="40"/>
      <c r="BN458" s="5"/>
      <c r="BP458" s="40"/>
      <c r="BQ458" s="5"/>
      <c r="BS458" s="40"/>
      <c r="BT458" s="5"/>
      <c r="BV458" s="40"/>
      <c r="BW458" s="5"/>
      <c r="BY458" s="40"/>
      <c r="BZ458" s="5"/>
      <c r="CB458" s="40"/>
      <c r="CC458" s="5"/>
      <c r="CE458" s="40"/>
      <c r="CF458" s="5"/>
      <c r="CH458" s="40"/>
      <c r="CI458" s="5"/>
      <c r="CK458" s="40"/>
      <c r="CL458" s="5"/>
      <c r="CN458" s="40"/>
      <c r="CO458" s="5"/>
      <c r="CQ458" s="40"/>
      <c r="CR458" s="5"/>
    </row>
    <row r="459">
      <c r="AO459" s="40"/>
      <c r="AP459" s="5"/>
      <c r="AR459" s="40"/>
      <c r="AS459" s="5"/>
      <c r="AU459" s="40"/>
      <c r="AV459" s="5"/>
      <c r="AX459" s="40"/>
      <c r="AY459" s="5"/>
      <c r="BA459" s="40"/>
      <c r="BB459" s="5"/>
      <c r="BD459" s="40"/>
      <c r="BE459" s="5"/>
      <c r="BG459" s="40"/>
      <c r="BH459" s="5"/>
      <c r="BJ459" s="40"/>
      <c r="BK459" s="5"/>
      <c r="BM459" s="40"/>
      <c r="BN459" s="5"/>
      <c r="BP459" s="40"/>
      <c r="BQ459" s="5"/>
      <c r="BS459" s="40"/>
      <c r="BT459" s="5"/>
      <c r="BV459" s="40"/>
      <c r="BW459" s="5"/>
      <c r="BY459" s="40"/>
      <c r="BZ459" s="5"/>
      <c r="CB459" s="40"/>
      <c r="CC459" s="5"/>
      <c r="CE459" s="40"/>
      <c r="CF459" s="5"/>
      <c r="CH459" s="40"/>
      <c r="CI459" s="5"/>
      <c r="CK459" s="40"/>
      <c r="CL459" s="5"/>
      <c r="CN459" s="40"/>
      <c r="CO459" s="5"/>
      <c r="CQ459" s="40"/>
      <c r="CR459" s="5"/>
    </row>
    <row r="460">
      <c r="AO460" s="40"/>
      <c r="AP460" s="5"/>
      <c r="AR460" s="40"/>
      <c r="AS460" s="5"/>
      <c r="AU460" s="40"/>
      <c r="AV460" s="5"/>
      <c r="AX460" s="40"/>
      <c r="AY460" s="5"/>
      <c r="BA460" s="40"/>
      <c r="BB460" s="5"/>
      <c r="BD460" s="40"/>
      <c r="BE460" s="5"/>
      <c r="BG460" s="40"/>
      <c r="BH460" s="5"/>
      <c r="BJ460" s="40"/>
      <c r="BK460" s="5"/>
      <c r="BM460" s="40"/>
      <c r="BN460" s="5"/>
      <c r="BP460" s="40"/>
      <c r="BQ460" s="5"/>
      <c r="BS460" s="40"/>
      <c r="BT460" s="5"/>
      <c r="BV460" s="40"/>
      <c r="BW460" s="5"/>
      <c r="BY460" s="40"/>
      <c r="BZ460" s="5"/>
      <c r="CB460" s="40"/>
      <c r="CC460" s="5"/>
      <c r="CE460" s="40"/>
      <c r="CF460" s="5"/>
      <c r="CH460" s="40"/>
      <c r="CI460" s="5"/>
      <c r="CK460" s="40"/>
      <c r="CL460" s="5"/>
      <c r="CN460" s="40"/>
      <c r="CO460" s="5"/>
      <c r="CQ460" s="40"/>
      <c r="CR460" s="5"/>
    </row>
    <row r="461">
      <c r="AO461" s="40"/>
      <c r="AP461" s="5"/>
      <c r="AR461" s="40"/>
      <c r="AS461" s="5"/>
      <c r="AU461" s="40"/>
      <c r="AV461" s="5"/>
      <c r="AX461" s="40"/>
      <c r="AY461" s="5"/>
      <c r="BA461" s="40"/>
      <c r="BB461" s="5"/>
      <c r="BD461" s="40"/>
      <c r="BE461" s="5"/>
      <c r="BG461" s="40"/>
      <c r="BH461" s="5"/>
      <c r="BJ461" s="40"/>
      <c r="BK461" s="5"/>
      <c r="BM461" s="40"/>
      <c r="BN461" s="5"/>
      <c r="BP461" s="40"/>
      <c r="BQ461" s="5"/>
      <c r="BS461" s="40"/>
      <c r="BT461" s="5"/>
      <c r="BV461" s="40"/>
      <c r="BW461" s="5"/>
      <c r="BY461" s="40"/>
      <c r="BZ461" s="5"/>
      <c r="CB461" s="40"/>
      <c r="CC461" s="5"/>
      <c r="CE461" s="40"/>
      <c r="CF461" s="5"/>
      <c r="CH461" s="40"/>
      <c r="CI461" s="5"/>
      <c r="CK461" s="40"/>
      <c r="CL461" s="5"/>
      <c r="CN461" s="40"/>
      <c r="CO461" s="5"/>
      <c r="CQ461" s="40"/>
      <c r="CR461" s="5"/>
    </row>
    <row r="462">
      <c r="AO462" s="40"/>
      <c r="AP462" s="5"/>
      <c r="AR462" s="40"/>
      <c r="AS462" s="5"/>
      <c r="AU462" s="40"/>
      <c r="AV462" s="5"/>
      <c r="AX462" s="40"/>
      <c r="AY462" s="5"/>
      <c r="BA462" s="40"/>
      <c r="BB462" s="5"/>
      <c r="BD462" s="40"/>
      <c r="BE462" s="5"/>
      <c r="BG462" s="40"/>
      <c r="BH462" s="5"/>
      <c r="BJ462" s="40"/>
      <c r="BK462" s="5"/>
      <c r="BM462" s="40"/>
      <c r="BN462" s="5"/>
      <c r="BP462" s="40"/>
      <c r="BQ462" s="5"/>
      <c r="BS462" s="40"/>
      <c r="BT462" s="5"/>
      <c r="BV462" s="40"/>
      <c r="BW462" s="5"/>
      <c r="BY462" s="40"/>
      <c r="BZ462" s="5"/>
      <c r="CB462" s="40"/>
      <c r="CC462" s="5"/>
      <c r="CE462" s="40"/>
      <c r="CF462" s="5"/>
      <c r="CH462" s="40"/>
      <c r="CI462" s="5"/>
      <c r="CK462" s="40"/>
      <c r="CL462" s="5"/>
      <c r="CN462" s="40"/>
      <c r="CO462" s="5"/>
      <c r="CQ462" s="40"/>
      <c r="CR462" s="5"/>
    </row>
    <row r="463">
      <c r="AO463" s="40"/>
      <c r="AP463" s="5"/>
      <c r="AR463" s="40"/>
      <c r="AS463" s="5"/>
      <c r="AU463" s="40"/>
      <c r="AV463" s="5"/>
      <c r="AX463" s="40"/>
      <c r="AY463" s="5"/>
      <c r="BA463" s="40"/>
      <c r="BB463" s="5"/>
      <c r="BD463" s="40"/>
      <c r="BE463" s="5"/>
      <c r="BG463" s="40"/>
      <c r="BH463" s="5"/>
      <c r="BJ463" s="40"/>
      <c r="BK463" s="5"/>
      <c r="BM463" s="40"/>
      <c r="BN463" s="5"/>
      <c r="BP463" s="40"/>
      <c r="BQ463" s="5"/>
      <c r="BS463" s="40"/>
      <c r="BT463" s="5"/>
      <c r="BV463" s="40"/>
      <c r="BW463" s="5"/>
      <c r="BY463" s="40"/>
      <c r="BZ463" s="5"/>
      <c r="CB463" s="40"/>
      <c r="CC463" s="5"/>
      <c r="CE463" s="40"/>
      <c r="CF463" s="5"/>
      <c r="CH463" s="40"/>
      <c r="CI463" s="5"/>
      <c r="CK463" s="40"/>
      <c r="CL463" s="5"/>
      <c r="CN463" s="40"/>
      <c r="CO463" s="5"/>
      <c r="CQ463" s="40"/>
      <c r="CR463" s="5"/>
    </row>
    <row r="464">
      <c r="AO464" s="40"/>
      <c r="AP464" s="5"/>
      <c r="AR464" s="40"/>
      <c r="AS464" s="5"/>
      <c r="AU464" s="40"/>
      <c r="AV464" s="5"/>
      <c r="AX464" s="40"/>
      <c r="AY464" s="5"/>
      <c r="BA464" s="40"/>
      <c r="BB464" s="5"/>
      <c r="BD464" s="40"/>
      <c r="BE464" s="5"/>
      <c r="BG464" s="40"/>
      <c r="BH464" s="5"/>
      <c r="BJ464" s="40"/>
      <c r="BK464" s="5"/>
      <c r="BM464" s="40"/>
      <c r="BN464" s="5"/>
      <c r="BP464" s="40"/>
      <c r="BQ464" s="5"/>
      <c r="BS464" s="40"/>
      <c r="BT464" s="5"/>
      <c r="BV464" s="40"/>
      <c r="BW464" s="5"/>
      <c r="BY464" s="40"/>
      <c r="BZ464" s="5"/>
      <c r="CB464" s="40"/>
      <c r="CC464" s="5"/>
      <c r="CE464" s="40"/>
      <c r="CF464" s="5"/>
      <c r="CH464" s="40"/>
      <c r="CI464" s="5"/>
      <c r="CK464" s="40"/>
      <c r="CL464" s="5"/>
      <c r="CN464" s="40"/>
      <c r="CO464" s="5"/>
      <c r="CQ464" s="40"/>
      <c r="CR464" s="5"/>
    </row>
    <row r="465">
      <c r="AO465" s="40"/>
      <c r="AP465" s="5"/>
      <c r="AR465" s="40"/>
      <c r="AS465" s="5"/>
      <c r="AU465" s="40"/>
      <c r="AV465" s="5"/>
      <c r="AX465" s="40"/>
      <c r="AY465" s="5"/>
      <c r="BA465" s="40"/>
      <c r="BB465" s="5"/>
      <c r="BD465" s="40"/>
      <c r="BE465" s="5"/>
      <c r="BG465" s="40"/>
      <c r="BH465" s="5"/>
      <c r="BJ465" s="40"/>
      <c r="BK465" s="5"/>
      <c r="BM465" s="40"/>
      <c r="BN465" s="5"/>
      <c r="BP465" s="40"/>
      <c r="BQ465" s="5"/>
      <c r="BS465" s="40"/>
      <c r="BT465" s="5"/>
      <c r="BV465" s="40"/>
      <c r="BW465" s="5"/>
      <c r="BY465" s="40"/>
      <c r="BZ465" s="5"/>
      <c r="CB465" s="40"/>
      <c r="CC465" s="5"/>
      <c r="CE465" s="40"/>
      <c r="CF465" s="5"/>
      <c r="CH465" s="40"/>
      <c r="CI465" s="5"/>
      <c r="CK465" s="40"/>
      <c r="CL465" s="5"/>
      <c r="CN465" s="40"/>
      <c r="CO465" s="5"/>
      <c r="CQ465" s="40"/>
      <c r="CR465" s="5"/>
    </row>
    <row r="466">
      <c r="AO466" s="40"/>
      <c r="AP466" s="5"/>
      <c r="AR466" s="40"/>
      <c r="AS466" s="5"/>
      <c r="AU466" s="40"/>
      <c r="AV466" s="5"/>
      <c r="AX466" s="40"/>
      <c r="AY466" s="5"/>
      <c r="BA466" s="40"/>
      <c r="BB466" s="5"/>
      <c r="BD466" s="40"/>
      <c r="BE466" s="5"/>
      <c r="BG466" s="40"/>
      <c r="BH466" s="5"/>
      <c r="BJ466" s="40"/>
      <c r="BK466" s="5"/>
      <c r="BM466" s="40"/>
      <c r="BN466" s="5"/>
      <c r="BP466" s="40"/>
      <c r="BQ466" s="5"/>
      <c r="BS466" s="40"/>
      <c r="BT466" s="5"/>
      <c r="BV466" s="40"/>
      <c r="BW466" s="5"/>
      <c r="BY466" s="40"/>
      <c r="BZ466" s="5"/>
      <c r="CB466" s="40"/>
      <c r="CC466" s="5"/>
      <c r="CE466" s="40"/>
      <c r="CF466" s="5"/>
      <c r="CH466" s="40"/>
      <c r="CI466" s="5"/>
      <c r="CK466" s="40"/>
      <c r="CL466" s="5"/>
      <c r="CN466" s="40"/>
      <c r="CO466" s="5"/>
      <c r="CQ466" s="40"/>
      <c r="CR466" s="5"/>
    </row>
    <row r="467">
      <c r="AO467" s="40"/>
      <c r="AP467" s="5"/>
      <c r="AR467" s="40"/>
      <c r="AS467" s="5"/>
      <c r="AU467" s="40"/>
      <c r="AV467" s="5"/>
      <c r="AX467" s="40"/>
      <c r="AY467" s="5"/>
      <c r="BA467" s="40"/>
      <c r="BB467" s="5"/>
      <c r="BD467" s="40"/>
      <c r="BE467" s="5"/>
      <c r="BG467" s="40"/>
      <c r="BH467" s="5"/>
      <c r="BJ467" s="40"/>
      <c r="BK467" s="5"/>
      <c r="BM467" s="40"/>
      <c r="BN467" s="5"/>
      <c r="BP467" s="40"/>
      <c r="BQ467" s="5"/>
      <c r="BS467" s="40"/>
      <c r="BT467" s="5"/>
      <c r="BV467" s="40"/>
      <c r="BW467" s="5"/>
      <c r="BY467" s="40"/>
      <c r="BZ467" s="5"/>
      <c r="CB467" s="40"/>
      <c r="CC467" s="5"/>
      <c r="CE467" s="40"/>
      <c r="CF467" s="5"/>
      <c r="CH467" s="40"/>
      <c r="CI467" s="5"/>
      <c r="CK467" s="40"/>
      <c r="CL467" s="5"/>
      <c r="CN467" s="40"/>
      <c r="CO467" s="5"/>
      <c r="CQ467" s="40"/>
      <c r="CR467" s="5"/>
    </row>
    <row r="468">
      <c r="AO468" s="40"/>
      <c r="AP468" s="5"/>
      <c r="AR468" s="40"/>
      <c r="AS468" s="5"/>
      <c r="AU468" s="40"/>
      <c r="AV468" s="5"/>
      <c r="AX468" s="40"/>
      <c r="AY468" s="5"/>
      <c r="BA468" s="40"/>
      <c r="BB468" s="5"/>
      <c r="BD468" s="40"/>
      <c r="BE468" s="5"/>
      <c r="BG468" s="40"/>
      <c r="BH468" s="5"/>
      <c r="BJ468" s="40"/>
      <c r="BK468" s="5"/>
      <c r="BM468" s="40"/>
      <c r="BN468" s="5"/>
      <c r="BP468" s="40"/>
      <c r="BQ468" s="5"/>
      <c r="BS468" s="40"/>
      <c r="BT468" s="5"/>
      <c r="BV468" s="40"/>
      <c r="BW468" s="5"/>
      <c r="BY468" s="40"/>
      <c r="BZ468" s="5"/>
      <c r="CB468" s="40"/>
      <c r="CC468" s="5"/>
      <c r="CE468" s="40"/>
      <c r="CF468" s="5"/>
      <c r="CH468" s="40"/>
      <c r="CI468" s="5"/>
      <c r="CK468" s="40"/>
      <c r="CL468" s="5"/>
      <c r="CN468" s="40"/>
      <c r="CO468" s="5"/>
      <c r="CQ468" s="40"/>
      <c r="CR468" s="5"/>
    </row>
    <row r="469">
      <c r="AO469" s="40"/>
      <c r="AP469" s="5"/>
      <c r="AR469" s="40"/>
      <c r="AS469" s="5"/>
      <c r="AU469" s="40"/>
      <c r="AV469" s="5"/>
      <c r="AX469" s="40"/>
      <c r="AY469" s="5"/>
      <c r="BA469" s="40"/>
      <c r="BB469" s="5"/>
      <c r="BD469" s="40"/>
      <c r="BE469" s="5"/>
      <c r="BG469" s="40"/>
      <c r="BH469" s="5"/>
      <c r="BJ469" s="40"/>
      <c r="BK469" s="5"/>
      <c r="BM469" s="40"/>
      <c r="BN469" s="5"/>
      <c r="BP469" s="40"/>
      <c r="BQ469" s="5"/>
      <c r="BS469" s="40"/>
      <c r="BT469" s="5"/>
      <c r="BV469" s="40"/>
      <c r="BW469" s="5"/>
      <c r="BY469" s="40"/>
      <c r="BZ469" s="5"/>
      <c r="CB469" s="40"/>
      <c r="CC469" s="5"/>
      <c r="CE469" s="40"/>
      <c r="CF469" s="5"/>
      <c r="CH469" s="40"/>
      <c r="CI469" s="5"/>
      <c r="CK469" s="40"/>
      <c r="CL469" s="5"/>
      <c r="CN469" s="40"/>
      <c r="CO469" s="5"/>
      <c r="CQ469" s="40"/>
      <c r="CR469" s="5"/>
    </row>
    <row r="470">
      <c r="AO470" s="40"/>
      <c r="AP470" s="5"/>
      <c r="AR470" s="40"/>
      <c r="AS470" s="5"/>
      <c r="AU470" s="40"/>
      <c r="AV470" s="5"/>
      <c r="AX470" s="40"/>
      <c r="AY470" s="5"/>
      <c r="BA470" s="40"/>
      <c r="BB470" s="5"/>
      <c r="BD470" s="40"/>
      <c r="BE470" s="5"/>
      <c r="BG470" s="40"/>
      <c r="BH470" s="5"/>
      <c r="BJ470" s="40"/>
      <c r="BK470" s="5"/>
      <c r="BM470" s="40"/>
      <c r="BN470" s="5"/>
      <c r="BP470" s="40"/>
      <c r="BQ470" s="5"/>
      <c r="BS470" s="40"/>
      <c r="BT470" s="5"/>
      <c r="BV470" s="40"/>
      <c r="BW470" s="5"/>
      <c r="BY470" s="40"/>
      <c r="BZ470" s="5"/>
      <c r="CB470" s="40"/>
      <c r="CC470" s="5"/>
      <c r="CE470" s="40"/>
      <c r="CF470" s="5"/>
      <c r="CH470" s="40"/>
      <c r="CI470" s="5"/>
      <c r="CK470" s="40"/>
      <c r="CL470" s="5"/>
      <c r="CN470" s="40"/>
      <c r="CO470" s="5"/>
      <c r="CQ470" s="40"/>
      <c r="CR470" s="5"/>
    </row>
    <row r="471">
      <c r="AO471" s="40"/>
      <c r="AP471" s="5"/>
      <c r="AR471" s="40"/>
      <c r="AS471" s="5"/>
      <c r="AU471" s="40"/>
      <c r="AV471" s="5"/>
      <c r="AX471" s="40"/>
      <c r="AY471" s="5"/>
      <c r="BA471" s="40"/>
      <c r="BB471" s="5"/>
      <c r="BD471" s="40"/>
      <c r="BE471" s="5"/>
      <c r="BG471" s="40"/>
      <c r="BH471" s="5"/>
      <c r="BJ471" s="40"/>
      <c r="BK471" s="5"/>
      <c r="BM471" s="40"/>
      <c r="BN471" s="5"/>
      <c r="BP471" s="40"/>
      <c r="BQ471" s="5"/>
      <c r="BS471" s="40"/>
      <c r="BT471" s="5"/>
      <c r="BV471" s="40"/>
      <c r="BW471" s="5"/>
      <c r="BY471" s="40"/>
      <c r="BZ471" s="5"/>
      <c r="CB471" s="40"/>
      <c r="CC471" s="5"/>
      <c r="CE471" s="40"/>
      <c r="CF471" s="5"/>
      <c r="CH471" s="40"/>
      <c r="CI471" s="5"/>
      <c r="CK471" s="40"/>
      <c r="CL471" s="5"/>
      <c r="CN471" s="40"/>
      <c r="CO471" s="5"/>
      <c r="CQ471" s="40"/>
      <c r="CR471" s="5"/>
    </row>
    <row r="472">
      <c r="AO472" s="40"/>
      <c r="AP472" s="5"/>
      <c r="AR472" s="40"/>
      <c r="AS472" s="5"/>
      <c r="AU472" s="40"/>
      <c r="AV472" s="5"/>
      <c r="AX472" s="40"/>
      <c r="AY472" s="5"/>
      <c r="BA472" s="40"/>
      <c r="BB472" s="5"/>
      <c r="BD472" s="40"/>
      <c r="BE472" s="5"/>
      <c r="BG472" s="40"/>
      <c r="BH472" s="5"/>
      <c r="BJ472" s="40"/>
      <c r="BK472" s="5"/>
      <c r="BM472" s="40"/>
      <c r="BN472" s="5"/>
      <c r="BP472" s="40"/>
      <c r="BQ472" s="5"/>
      <c r="BS472" s="40"/>
      <c r="BT472" s="5"/>
      <c r="BV472" s="40"/>
      <c r="BW472" s="5"/>
      <c r="BY472" s="40"/>
      <c r="BZ472" s="5"/>
      <c r="CB472" s="40"/>
      <c r="CC472" s="5"/>
      <c r="CE472" s="40"/>
      <c r="CF472" s="5"/>
      <c r="CH472" s="40"/>
      <c r="CI472" s="5"/>
      <c r="CK472" s="40"/>
      <c r="CL472" s="5"/>
      <c r="CN472" s="40"/>
      <c r="CO472" s="5"/>
      <c r="CQ472" s="40"/>
      <c r="CR472" s="5"/>
    </row>
    <row r="473">
      <c r="AO473" s="40"/>
      <c r="AP473" s="5"/>
      <c r="AR473" s="40"/>
      <c r="AS473" s="5"/>
      <c r="AU473" s="40"/>
      <c r="AV473" s="5"/>
      <c r="AX473" s="40"/>
      <c r="AY473" s="5"/>
      <c r="BA473" s="40"/>
      <c r="BB473" s="5"/>
      <c r="BD473" s="40"/>
      <c r="BE473" s="5"/>
      <c r="BG473" s="40"/>
      <c r="BH473" s="5"/>
      <c r="BJ473" s="40"/>
      <c r="BK473" s="5"/>
      <c r="BM473" s="40"/>
      <c r="BN473" s="5"/>
      <c r="BP473" s="40"/>
      <c r="BQ473" s="5"/>
      <c r="BS473" s="40"/>
      <c r="BT473" s="5"/>
      <c r="BV473" s="40"/>
      <c r="BW473" s="5"/>
      <c r="BY473" s="40"/>
      <c r="BZ473" s="5"/>
      <c r="CB473" s="40"/>
      <c r="CC473" s="5"/>
      <c r="CE473" s="40"/>
      <c r="CF473" s="5"/>
      <c r="CH473" s="40"/>
      <c r="CI473" s="5"/>
      <c r="CK473" s="40"/>
      <c r="CL473" s="5"/>
      <c r="CN473" s="40"/>
      <c r="CO473" s="5"/>
      <c r="CQ473" s="40"/>
      <c r="CR473" s="5"/>
    </row>
    <row r="474">
      <c r="AO474" s="40"/>
      <c r="AP474" s="5"/>
      <c r="AR474" s="40"/>
      <c r="AS474" s="5"/>
      <c r="AU474" s="40"/>
      <c r="AV474" s="5"/>
      <c r="AX474" s="40"/>
      <c r="AY474" s="5"/>
      <c r="BA474" s="40"/>
      <c r="BB474" s="5"/>
      <c r="BD474" s="40"/>
      <c r="BE474" s="5"/>
      <c r="BG474" s="40"/>
      <c r="BH474" s="5"/>
      <c r="BJ474" s="40"/>
      <c r="BK474" s="5"/>
      <c r="BM474" s="40"/>
      <c r="BN474" s="5"/>
      <c r="BP474" s="40"/>
      <c r="BQ474" s="5"/>
      <c r="BS474" s="40"/>
      <c r="BT474" s="5"/>
      <c r="BV474" s="40"/>
      <c r="BW474" s="5"/>
      <c r="BY474" s="40"/>
      <c r="BZ474" s="5"/>
      <c r="CB474" s="40"/>
      <c r="CC474" s="5"/>
      <c r="CE474" s="40"/>
      <c r="CF474" s="5"/>
      <c r="CH474" s="40"/>
      <c r="CI474" s="5"/>
      <c r="CK474" s="40"/>
      <c r="CL474" s="5"/>
      <c r="CN474" s="40"/>
      <c r="CO474" s="5"/>
      <c r="CQ474" s="40"/>
      <c r="CR474" s="5"/>
    </row>
    <row r="475">
      <c r="AO475" s="40"/>
      <c r="AP475" s="5"/>
      <c r="AR475" s="40"/>
      <c r="AS475" s="5"/>
      <c r="AU475" s="40"/>
      <c r="AV475" s="5"/>
      <c r="AX475" s="40"/>
      <c r="AY475" s="5"/>
      <c r="BA475" s="40"/>
      <c r="BB475" s="5"/>
      <c r="BD475" s="40"/>
      <c r="BE475" s="5"/>
      <c r="BG475" s="40"/>
      <c r="BH475" s="5"/>
      <c r="BJ475" s="40"/>
      <c r="BK475" s="5"/>
      <c r="BM475" s="40"/>
      <c r="BN475" s="5"/>
      <c r="BP475" s="40"/>
      <c r="BQ475" s="5"/>
      <c r="BS475" s="40"/>
      <c r="BT475" s="5"/>
      <c r="BV475" s="40"/>
      <c r="BW475" s="5"/>
      <c r="BY475" s="40"/>
      <c r="BZ475" s="5"/>
      <c r="CB475" s="40"/>
      <c r="CC475" s="5"/>
      <c r="CE475" s="40"/>
      <c r="CF475" s="5"/>
      <c r="CH475" s="40"/>
      <c r="CI475" s="5"/>
      <c r="CK475" s="40"/>
      <c r="CL475" s="5"/>
      <c r="CN475" s="40"/>
      <c r="CO475" s="5"/>
      <c r="CQ475" s="40"/>
      <c r="CR475" s="5"/>
    </row>
    <row r="476">
      <c r="AO476" s="40"/>
      <c r="AP476" s="5"/>
      <c r="AR476" s="40"/>
      <c r="AS476" s="5"/>
      <c r="AU476" s="40"/>
      <c r="AV476" s="5"/>
      <c r="AX476" s="40"/>
      <c r="AY476" s="5"/>
      <c r="BA476" s="40"/>
      <c r="BB476" s="5"/>
      <c r="BD476" s="40"/>
      <c r="BE476" s="5"/>
      <c r="BG476" s="40"/>
      <c r="BH476" s="5"/>
      <c r="BJ476" s="40"/>
      <c r="BK476" s="5"/>
      <c r="BM476" s="40"/>
      <c r="BN476" s="5"/>
      <c r="BP476" s="40"/>
      <c r="BQ476" s="5"/>
      <c r="BS476" s="40"/>
      <c r="BT476" s="5"/>
      <c r="BV476" s="40"/>
      <c r="BW476" s="5"/>
      <c r="BY476" s="40"/>
      <c r="BZ476" s="5"/>
      <c r="CB476" s="40"/>
      <c r="CC476" s="5"/>
      <c r="CE476" s="40"/>
      <c r="CF476" s="5"/>
      <c r="CH476" s="40"/>
      <c r="CI476" s="5"/>
      <c r="CK476" s="40"/>
      <c r="CL476" s="5"/>
      <c r="CN476" s="40"/>
      <c r="CO476" s="5"/>
      <c r="CQ476" s="40"/>
      <c r="CR476" s="5"/>
    </row>
    <row r="477">
      <c r="AO477" s="40"/>
      <c r="AP477" s="5"/>
      <c r="AR477" s="40"/>
      <c r="AS477" s="5"/>
      <c r="AU477" s="40"/>
      <c r="AV477" s="5"/>
      <c r="AX477" s="40"/>
      <c r="AY477" s="5"/>
      <c r="BA477" s="40"/>
      <c r="BB477" s="5"/>
      <c r="BD477" s="40"/>
      <c r="BE477" s="5"/>
      <c r="BG477" s="40"/>
      <c r="BH477" s="5"/>
      <c r="BJ477" s="40"/>
      <c r="BK477" s="5"/>
      <c r="BM477" s="40"/>
      <c r="BN477" s="5"/>
      <c r="BP477" s="40"/>
      <c r="BQ477" s="5"/>
      <c r="BS477" s="40"/>
      <c r="BT477" s="5"/>
      <c r="BV477" s="40"/>
      <c r="BW477" s="5"/>
      <c r="BY477" s="40"/>
      <c r="BZ477" s="5"/>
      <c r="CB477" s="40"/>
      <c r="CC477" s="5"/>
      <c r="CE477" s="40"/>
      <c r="CF477" s="5"/>
      <c r="CH477" s="40"/>
      <c r="CI477" s="5"/>
      <c r="CK477" s="40"/>
      <c r="CL477" s="5"/>
      <c r="CN477" s="40"/>
      <c r="CO477" s="5"/>
      <c r="CQ477" s="40"/>
      <c r="CR477" s="5"/>
    </row>
    <row r="478">
      <c r="AO478" s="40"/>
      <c r="AP478" s="5"/>
      <c r="AR478" s="40"/>
      <c r="AS478" s="5"/>
      <c r="AU478" s="40"/>
      <c r="AV478" s="5"/>
      <c r="AX478" s="40"/>
      <c r="AY478" s="5"/>
      <c r="BA478" s="40"/>
      <c r="BB478" s="5"/>
      <c r="BD478" s="40"/>
      <c r="BE478" s="5"/>
      <c r="BG478" s="40"/>
      <c r="BH478" s="5"/>
      <c r="BJ478" s="40"/>
      <c r="BK478" s="5"/>
      <c r="BM478" s="40"/>
      <c r="BN478" s="5"/>
      <c r="BP478" s="40"/>
      <c r="BQ478" s="5"/>
      <c r="BS478" s="40"/>
      <c r="BT478" s="5"/>
      <c r="BV478" s="40"/>
      <c r="BW478" s="5"/>
      <c r="BY478" s="40"/>
      <c r="BZ478" s="5"/>
      <c r="CB478" s="40"/>
      <c r="CC478" s="5"/>
      <c r="CE478" s="40"/>
      <c r="CF478" s="5"/>
      <c r="CH478" s="40"/>
      <c r="CI478" s="5"/>
      <c r="CK478" s="40"/>
      <c r="CL478" s="5"/>
      <c r="CN478" s="40"/>
      <c r="CO478" s="5"/>
      <c r="CQ478" s="40"/>
      <c r="CR478" s="5"/>
    </row>
    <row r="479">
      <c r="AO479" s="40"/>
      <c r="AP479" s="5"/>
      <c r="AR479" s="40"/>
      <c r="AS479" s="5"/>
      <c r="AU479" s="40"/>
      <c r="AV479" s="5"/>
      <c r="AX479" s="40"/>
      <c r="AY479" s="5"/>
      <c r="BA479" s="40"/>
      <c r="BB479" s="5"/>
      <c r="BD479" s="40"/>
      <c r="BE479" s="5"/>
      <c r="BG479" s="40"/>
      <c r="BH479" s="5"/>
      <c r="BJ479" s="40"/>
      <c r="BK479" s="5"/>
      <c r="BM479" s="40"/>
      <c r="BN479" s="5"/>
      <c r="BP479" s="40"/>
      <c r="BQ479" s="5"/>
      <c r="BS479" s="40"/>
      <c r="BT479" s="5"/>
      <c r="BV479" s="40"/>
      <c r="BW479" s="5"/>
      <c r="BY479" s="40"/>
      <c r="BZ479" s="5"/>
      <c r="CB479" s="40"/>
      <c r="CC479" s="5"/>
      <c r="CE479" s="40"/>
      <c r="CF479" s="5"/>
      <c r="CH479" s="40"/>
      <c r="CI479" s="5"/>
      <c r="CK479" s="40"/>
      <c r="CL479" s="5"/>
      <c r="CN479" s="40"/>
      <c r="CO479" s="5"/>
      <c r="CQ479" s="40"/>
      <c r="CR479" s="5"/>
    </row>
    <row r="480">
      <c r="AO480" s="40"/>
      <c r="AP480" s="5"/>
      <c r="AR480" s="40"/>
      <c r="AS480" s="5"/>
      <c r="AU480" s="40"/>
      <c r="AV480" s="5"/>
      <c r="AX480" s="40"/>
      <c r="AY480" s="5"/>
      <c r="BA480" s="40"/>
      <c r="BB480" s="5"/>
      <c r="BD480" s="40"/>
      <c r="BE480" s="5"/>
      <c r="BG480" s="40"/>
      <c r="BH480" s="5"/>
      <c r="BJ480" s="40"/>
      <c r="BK480" s="5"/>
      <c r="BM480" s="40"/>
      <c r="BN480" s="5"/>
      <c r="BP480" s="40"/>
      <c r="BQ480" s="5"/>
      <c r="BS480" s="40"/>
      <c r="BT480" s="5"/>
      <c r="BV480" s="40"/>
      <c r="BW480" s="5"/>
      <c r="BY480" s="40"/>
      <c r="BZ480" s="5"/>
      <c r="CB480" s="40"/>
      <c r="CC480" s="5"/>
      <c r="CE480" s="40"/>
      <c r="CF480" s="5"/>
      <c r="CH480" s="40"/>
      <c r="CI480" s="5"/>
      <c r="CK480" s="40"/>
      <c r="CL480" s="5"/>
      <c r="CN480" s="40"/>
      <c r="CO480" s="5"/>
      <c r="CQ480" s="40"/>
      <c r="CR480" s="5"/>
    </row>
    <row r="481">
      <c r="AO481" s="40"/>
      <c r="AP481" s="5"/>
      <c r="AR481" s="40"/>
      <c r="AS481" s="5"/>
      <c r="AU481" s="40"/>
      <c r="AV481" s="5"/>
      <c r="AX481" s="40"/>
      <c r="AY481" s="5"/>
      <c r="BA481" s="40"/>
      <c r="BB481" s="5"/>
      <c r="BD481" s="40"/>
      <c r="BE481" s="5"/>
      <c r="BG481" s="40"/>
      <c r="BH481" s="5"/>
      <c r="BJ481" s="40"/>
      <c r="BK481" s="5"/>
      <c r="BM481" s="40"/>
      <c r="BN481" s="5"/>
      <c r="BP481" s="40"/>
      <c r="BQ481" s="5"/>
      <c r="BS481" s="40"/>
      <c r="BT481" s="5"/>
      <c r="BV481" s="40"/>
      <c r="BW481" s="5"/>
      <c r="BY481" s="40"/>
      <c r="BZ481" s="5"/>
      <c r="CB481" s="40"/>
      <c r="CC481" s="5"/>
      <c r="CE481" s="40"/>
      <c r="CF481" s="5"/>
      <c r="CH481" s="40"/>
      <c r="CI481" s="5"/>
      <c r="CK481" s="40"/>
      <c r="CL481" s="5"/>
      <c r="CN481" s="40"/>
      <c r="CO481" s="5"/>
      <c r="CQ481" s="40"/>
      <c r="CR481" s="5"/>
    </row>
    <row r="482">
      <c r="AO482" s="40"/>
      <c r="AP482" s="5"/>
      <c r="AR482" s="40"/>
      <c r="AS482" s="5"/>
      <c r="AU482" s="40"/>
      <c r="AV482" s="5"/>
      <c r="AX482" s="40"/>
      <c r="AY482" s="5"/>
      <c r="BA482" s="40"/>
      <c r="BB482" s="5"/>
      <c r="BD482" s="40"/>
      <c r="BE482" s="5"/>
      <c r="BG482" s="40"/>
      <c r="BH482" s="5"/>
      <c r="BJ482" s="40"/>
      <c r="BK482" s="5"/>
      <c r="BM482" s="40"/>
      <c r="BN482" s="5"/>
      <c r="BP482" s="40"/>
      <c r="BQ482" s="5"/>
      <c r="BS482" s="40"/>
      <c r="BT482" s="5"/>
      <c r="BV482" s="40"/>
      <c r="BW482" s="5"/>
      <c r="BY482" s="40"/>
      <c r="BZ482" s="5"/>
      <c r="CB482" s="40"/>
      <c r="CC482" s="5"/>
      <c r="CE482" s="40"/>
      <c r="CF482" s="5"/>
      <c r="CH482" s="40"/>
      <c r="CI482" s="5"/>
      <c r="CK482" s="40"/>
      <c r="CL482" s="5"/>
      <c r="CN482" s="40"/>
      <c r="CO482" s="5"/>
      <c r="CQ482" s="40"/>
      <c r="CR482" s="5"/>
    </row>
    <row r="483">
      <c r="AO483" s="40"/>
      <c r="AP483" s="5"/>
      <c r="AR483" s="40"/>
      <c r="AS483" s="5"/>
      <c r="AU483" s="40"/>
      <c r="AV483" s="5"/>
      <c r="AX483" s="40"/>
      <c r="AY483" s="5"/>
      <c r="BA483" s="40"/>
      <c r="BB483" s="5"/>
      <c r="BD483" s="40"/>
      <c r="BE483" s="5"/>
      <c r="BG483" s="40"/>
      <c r="BH483" s="5"/>
      <c r="BJ483" s="40"/>
      <c r="BK483" s="5"/>
      <c r="BM483" s="40"/>
      <c r="BN483" s="5"/>
      <c r="BP483" s="40"/>
      <c r="BQ483" s="5"/>
      <c r="BS483" s="40"/>
      <c r="BT483" s="5"/>
      <c r="BV483" s="40"/>
      <c r="BW483" s="5"/>
      <c r="BY483" s="40"/>
      <c r="BZ483" s="5"/>
      <c r="CB483" s="40"/>
      <c r="CC483" s="5"/>
      <c r="CE483" s="40"/>
      <c r="CF483" s="5"/>
      <c r="CH483" s="40"/>
      <c r="CI483" s="5"/>
      <c r="CK483" s="40"/>
      <c r="CL483" s="5"/>
      <c r="CN483" s="40"/>
      <c r="CO483" s="5"/>
      <c r="CQ483" s="40"/>
      <c r="CR483" s="5"/>
    </row>
    <row r="484">
      <c r="AO484" s="40"/>
      <c r="AP484" s="5"/>
      <c r="AR484" s="40"/>
      <c r="AS484" s="5"/>
      <c r="AU484" s="40"/>
      <c r="AV484" s="5"/>
      <c r="AX484" s="40"/>
      <c r="AY484" s="5"/>
      <c r="BA484" s="40"/>
      <c r="BB484" s="5"/>
      <c r="BD484" s="40"/>
      <c r="BE484" s="5"/>
      <c r="BG484" s="40"/>
      <c r="BH484" s="5"/>
      <c r="BJ484" s="40"/>
      <c r="BK484" s="5"/>
      <c r="BM484" s="40"/>
      <c r="BN484" s="5"/>
      <c r="BP484" s="40"/>
      <c r="BQ484" s="5"/>
      <c r="BS484" s="40"/>
      <c r="BT484" s="5"/>
      <c r="BV484" s="40"/>
      <c r="BW484" s="5"/>
      <c r="BY484" s="40"/>
      <c r="BZ484" s="5"/>
      <c r="CB484" s="40"/>
      <c r="CC484" s="5"/>
      <c r="CE484" s="40"/>
      <c r="CF484" s="5"/>
      <c r="CH484" s="40"/>
      <c r="CI484" s="5"/>
      <c r="CK484" s="40"/>
      <c r="CL484" s="5"/>
      <c r="CN484" s="40"/>
      <c r="CO484" s="5"/>
      <c r="CQ484" s="40"/>
      <c r="CR484" s="5"/>
    </row>
    <row r="485">
      <c r="AO485" s="40"/>
      <c r="AP485" s="5"/>
      <c r="AR485" s="40"/>
      <c r="AS485" s="5"/>
      <c r="AU485" s="40"/>
      <c r="AV485" s="5"/>
      <c r="AX485" s="40"/>
      <c r="AY485" s="5"/>
      <c r="BA485" s="40"/>
      <c r="BB485" s="5"/>
      <c r="BD485" s="40"/>
      <c r="BE485" s="5"/>
      <c r="BG485" s="40"/>
      <c r="BH485" s="5"/>
      <c r="BJ485" s="40"/>
      <c r="BK485" s="5"/>
      <c r="BM485" s="40"/>
      <c r="BN485" s="5"/>
      <c r="BP485" s="40"/>
      <c r="BQ485" s="5"/>
      <c r="BS485" s="40"/>
      <c r="BT485" s="5"/>
      <c r="BV485" s="40"/>
      <c r="BW485" s="5"/>
      <c r="BY485" s="40"/>
      <c r="BZ485" s="5"/>
      <c r="CB485" s="40"/>
      <c r="CC485" s="5"/>
      <c r="CE485" s="40"/>
      <c r="CF485" s="5"/>
      <c r="CH485" s="40"/>
      <c r="CI485" s="5"/>
      <c r="CK485" s="40"/>
      <c r="CL485" s="5"/>
      <c r="CN485" s="40"/>
      <c r="CO485" s="5"/>
      <c r="CQ485" s="40"/>
      <c r="CR485" s="5"/>
    </row>
    <row r="486">
      <c r="AO486" s="40"/>
      <c r="AP486" s="5"/>
      <c r="AR486" s="40"/>
      <c r="AS486" s="5"/>
      <c r="AU486" s="40"/>
      <c r="AV486" s="5"/>
      <c r="AX486" s="40"/>
      <c r="AY486" s="5"/>
      <c r="BA486" s="40"/>
      <c r="BB486" s="5"/>
      <c r="BD486" s="40"/>
      <c r="BE486" s="5"/>
      <c r="BG486" s="40"/>
      <c r="BH486" s="5"/>
      <c r="BJ486" s="40"/>
      <c r="BK486" s="5"/>
      <c r="BM486" s="40"/>
      <c r="BN486" s="5"/>
      <c r="BP486" s="40"/>
      <c r="BQ486" s="5"/>
      <c r="BS486" s="40"/>
      <c r="BT486" s="5"/>
      <c r="BV486" s="40"/>
      <c r="BW486" s="5"/>
      <c r="BY486" s="40"/>
      <c r="BZ486" s="5"/>
      <c r="CB486" s="40"/>
      <c r="CC486" s="5"/>
      <c r="CE486" s="40"/>
      <c r="CF486" s="5"/>
      <c r="CH486" s="40"/>
      <c r="CI486" s="5"/>
      <c r="CK486" s="40"/>
      <c r="CL486" s="5"/>
      <c r="CN486" s="40"/>
      <c r="CO486" s="5"/>
      <c r="CQ486" s="40"/>
      <c r="CR486" s="5"/>
    </row>
    <row r="487">
      <c r="AO487" s="40"/>
      <c r="AP487" s="5"/>
      <c r="AR487" s="40"/>
      <c r="AS487" s="5"/>
      <c r="AU487" s="40"/>
      <c r="AV487" s="5"/>
      <c r="AX487" s="40"/>
      <c r="AY487" s="5"/>
      <c r="BA487" s="40"/>
      <c r="BB487" s="5"/>
      <c r="BD487" s="40"/>
      <c r="BE487" s="5"/>
      <c r="BG487" s="40"/>
      <c r="BH487" s="5"/>
      <c r="BJ487" s="40"/>
      <c r="BK487" s="5"/>
      <c r="BM487" s="40"/>
      <c r="BN487" s="5"/>
      <c r="BP487" s="40"/>
      <c r="BQ487" s="5"/>
      <c r="BS487" s="40"/>
      <c r="BT487" s="5"/>
      <c r="BV487" s="40"/>
      <c r="BW487" s="5"/>
      <c r="BY487" s="40"/>
      <c r="BZ487" s="5"/>
      <c r="CB487" s="40"/>
      <c r="CC487" s="5"/>
      <c r="CE487" s="40"/>
      <c r="CF487" s="5"/>
      <c r="CH487" s="40"/>
      <c r="CI487" s="5"/>
      <c r="CK487" s="40"/>
      <c r="CL487" s="5"/>
      <c r="CN487" s="40"/>
      <c r="CO487" s="5"/>
      <c r="CQ487" s="40"/>
      <c r="CR487" s="5"/>
    </row>
    <row r="488">
      <c r="AO488" s="40"/>
      <c r="AP488" s="5"/>
      <c r="AR488" s="40"/>
      <c r="AS488" s="5"/>
      <c r="AU488" s="40"/>
      <c r="AV488" s="5"/>
      <c r="AX488" s="40"/>
      <c r="AY488" s="5"/>
      <c r="BA488" s="40"/>
      <c r="BB488" s="5"/>
      <c r="BD488" s="40"/>
      <c r="BE488" s="5"/>
      <c r="BG488" s="40"/>
      <c r="BH488" s="5"/>
      <c r="BJ488" s="40"/>
      <c r="BK488" s="5"/>
      <c r="BM488" s="40"/>
      <c r="BN488" s="5"/>
      <c r="BP488" s="40"/>
      <c r="BQ488" s="5"/>
      <c r="BS488" s="40"/>
      <c r="BT488" s="5"/>
      <c r="BV488" s="40"/>
      <c r="BW488" s="5"/>
      <c r="BY488" s="40"/>
      <c r="BZ488" s="5"/>
      <c r="CB488" s="40"/>
      <c r="CC488" s="5"/>
      <c r="CE488" s="40"/>
      <c r="CF488" s="5"/>
      <c r="CH488" s="40"/>
      <c r="CI488" s="5"/>
      <c r="CK488" s="40"/>
      <c r="CL488" s="5"/>
      <c r="CN488" s="40"/>
      <c r="CO488" s="5"/>
      <c r="CQ488" s="40"/>
      <c r="CR488" s="5"/>
    </row>
    <row r="489">
      <c r="AO489" s="40"/>
      <c r="AP489" s="5"/>
      <c r="AR489" s="40"/>
      <c r="AS489" s="5"/>
      <c r="AU489" s="40"/>
      <c r="AV489" s="5"/>
      <c r="AX489" s="40"/>
      <c r="AY489" s="5"/>
      <c r="BA489" s="40"/>
      <c r="BB489" s="5"/>
      <c r="BD489" s="40"/>
      <c r="BE489" s="5"/>
      <c r="BG489" s="40"/>
      <c r="BH489" s="5"/>
      <c r="BJ489" s="40"/>
      <c r="BK489" s="5"/>
      <c r="BM489" s="40"/>
      <c r="BN489" s="5"/>
      <c r="BP489" s="40"/>
      <c r="BQ489" s="5"/>
      <c r="BS489" s="40"/>
      <c r="BT489" s="5"/>
      <c r="BV489" s="40"/>
      <c r="BW489" s="5"/>
      <c r="BY489" s="40"/>
      <c r="BZ489" s="5"/>
      <c r="CB489" s="40"/>
      <c r="CC489" s="5"/>
      <c r="CE489" s="40"/>
      <c r="CF489" s="5"/>
      <c r="CH489" s="40"/>
      <c r="CI489" s="5"/>
      <c r="CK489" s="40"/>
      <c r="CL489" s="5"/>
      <c r="CN489" s="40"/>
      <c r="CO489" s="5"/>
      <c r="CQ489" s="40"/>
      <c r="CR489" s="5"/>
    </row>
    <row r="490">
      <c r="AO490" s="40"/>
      <c r="AP490" s="5"/>
      <c r="AR490" s="40"/>
      <c r="AS490" s="5"/>
      <c r="AU490" s="40"/>
      <c r="AV490" s="5"/>
      <c r="AX490" s="40"/>
      <c r="AY490" s="5"/>
      <c r="BA490" s="40"/>
      <c r="BB490" s="5"/>
      <c r="BD490" s="40"/>
      <c r="BE490" s="5"/>
      <c r="BG490" s="40"/>
      <c r="BH490" s="5"/>
      <c r="BJ490" s="40"/>
      <c r="BK490" s="5"/>
      <c r="BM490" s="40"/>
      <c r="BN490" s="5"/>
      <c r="BP490" s="40"/>
      <c r="BQ490" s="5"/>
      <c r="BS490" s="40"/>
      <c r="BT490" s="5"/>
      <c r="BV490" s="40"/>
      <c r="BW490" s="5"/>
      <c r="BY490" s="40"/>
      <c r="BZ490" s="5"/>
      <c r="CB490" s="40"/>
      <c r="CC490" s="5"/>
      <c r="CE490" s="40"/>
      <c r="CF490" s="5"/>
      <c r="CH490" s="40"/>
      <c r="CI490" s="5"/>
      <c r="CK490" s="40"/>
      <c r="CL490" s="5"/>
      <c r="CN490" s="40"/>
      <c r="CO490" s="5"/>
      <c r="CQ490" s="40"/>
      <c r="CR490" s="5"/>
    </row>
    <row r="491">
      <c r="AO491" s="40"/>
      <c r="AP491" s="5"/>
      <c r="AR491" s="40"/>
      <c r="AS491" s="5"/>
      <c r="AU491" s="40"/>
      <c r="AV491" s="5"/>
      <c r="AX491" s="40"/>
      <c r="AY491" s="5"/>
      <c r="BA491" s="40"/>
      <c r="BB491" s="5"/>
      <c r="BD491" s="40"/>
      <c r="BE491" s="5"/>
      <c r="BG491" s="40"/>
      <c r="BH491" s="5"/>
      <c r="BJ491" s="40"/>
      <c r="BK491" s="5"/>
      <c r="BM491" s="40"/>
      <c r="BN491" s="5"/>
      <c r="BP491" s="40"/>
      <c r="BQ491" s="5"/>
      <c r="BS491" s="40"/>
      <c r="BT491" s="5"/>
      <c r="BV491" s="40"/>
      <c r="BW491" s="5"/>
      <c r="BY491" s="40"/>
      <c r="BZ491" s="5"/>
      <c r="CB491" s="40"/>
      <c r="CC491" s="5"/>
      <c r="CE491" s="40"/>
      <c r="CF491" s="5"/>
      <c r="CH491" s="40"/>
      <c r="CI491" s="5"/>
      <c r="CK491" s="40"/>
      <c r="CL491" s="5"/>
      <c r="CN491" s="40"/>
      <c r="CO491" s="5"/>
      <c r="CQ491" s="40"/>
      <c r="CR491" s="5"/>
    </row>
    <row r="492">
      <c r="AO492" s="40"/>
      <c r="AP492" s="5"/>
      <c r="AR492" s="40"/>
      <c r="AS492" s="5"/>
      <c r="AU492" s="40"/>
      <c r="AV492" s="5"/>
      <c r="AX492" s="40"/>
      <c r="AY492" s="5"/>
      <c r="BA492" s="40"/>
      <c r="BB492" s="5"/>
      <c r="BD492" s="40"/>
      <c r="BE492" s="5"/>
      <c r="BG492" s="40"/>
      <c r="BH492" s="5"/>
      <c r="BJ492" s="40"/>
      <c r="BK492" s="5"/>
      <c r="BM492" s="40"/>
      <c r="BN492" s="5"/>
      <c r="BP492" s="40"/>
      <c r="BQ492" s="5"/>
      <c r="BS492" s="40"/>
      <c r="BT492" s="5"/>
      <c r="BV492" s="40"/>
      <c r="BW492" s="5"/>
      <c r="BY492" s="40"/>
      <c r="BZ492" s="5"/>
      <c r="CB492" s="40"/>
      <c r="CC492" s="5"/>
      <c r="CE492" s="40"/>
      <c r="CF492" s="5"/>
      <c r="CH492" s="40"/>
      <c r="CI492" s="5"/>
      <c r="CK492" s="40"/>
      <c r="CL492" s="5"/>
      <c r="CN492" s="40"/>
      <c r="CO492" s="5"/>
      <c r="CQ492" s="40"/>
      <c r="CR492" s="5"/>
    </row>
    <row r="493">
      <c r="AO493" s="40"/>
      <c r="AP493" s="5"/>
      <c r="AR493" s="40"/>
      <c r="AS493" s="5"/>
      <c r="AU493" s="40"/>
      <c r="AV493" s="5"/>
      <c r="AX493" s="40"/>
      <c r="AY493" s="5"/>
      <c r="BA493" s="40"/>
      <c r="BB493" s="5"/>
      <c r="BD493" s="40"/>
      <c r="BE493" s="5"/>
      <c r="BG493" s="40"/>
      <c r="BH493" s="5"/>
      <c r="BJ493" s="40"/>
      <c r="BK493" s="5"/>
      <c r="BM493" s="40"/>
      <c r="BN493" s="5"/>
      <c r="BP493" s="40"/>
      <c r="BQ493" s="5"/>
      <c r="BS493" s="40"/>
      <c r="BT493" s="5"/>
      <c r="BV493" s="40"/>
      <c r="BW493" s="5"/>
      <c r="BY493" s="40"/>
      <c r="BZ493" s="5"/>
      <c r="CB493" s="40"/>
      <c r="CC493" s="5"/>
      <c r="CE493" s="40"/>
      <c r="CF493" s="5"/>
      <c r="CH493" s="40"/>
      <c r="CI493" s="5"/>
      <c r="CK493" s="40"/>
      <c r="CL493" s="5"/>
      <c r="CN493" s="40"/>
      <c r="CO493" s="5"/>
      <c r="CQ493" s="40"/>
      <c r="CR493" s="5"/>
    </row>
    <row r="494">
      <c r="AO494" s="40"/>
      <c r="AP494" s="5"/>
      <c r="AR494" s="40"/>
      <c r="AS494" s="5"/>
      <c r="AU494" s="40"/>
      <c r="AV494" s="5"/>
      <c r="AX494" s="40"/>
      <c r="AY494" s="5"/>
      <c r="BA494" s="40"/>
      <c r="BB494" s="5"/>
      <c r="BD494" s="40"/>
      <c r="BE494" s="5"/>
      <c r="BG494" s="40"/>
      <c r="BH494" s="5"/>
      <c r="BJ494" s="40"/>
      <c r="BK494" s="5"/>
      <c r="BM494" s="40"/>
      <c r="BN494" s="5"/>
      <c r="BP494" s="40"/>
      <c r="BQ494" s="5"/>
      <c r="BS494" s="40"/>
      <c r="BT494" s="5"/>
      <c r="BV494" s="40"/>
      <c r="BW494" s="5"/>
      <c r="BY494" s="40"/>
      <c r="BZ494" s="5"/>
      <c r="CB494" s="40"/>
      <c r="CC494" s="5"/>
      <c r="CE494" s="40"/>
      <c r="CF494" s="5"/>
      <c r="CH494" s="40"/>
      <c r="CI494" s="5"/>
      <c r="CK494" s="40"/>
      <c r="CL494" s="5"/>
      <c r="CN494" s="40"/>
      <c r="CO494" s="5"/>
      <c r="CQ494" s="40"/>
      <c r="CR494" s="5"/>
    </row>
    <row r="495">
      <c r="AO495" s="40"/>
      <c r="AP495" s="5"/>
      <c r="AR495" s="40"/>
      <c r="AS495" s="5"/>
      <c r="AU495" s="40"/>
      <c r="AV495" s="5"/>
      <c r="AX495" s="40"/>
      <c r="AY495" s="5"/>
      <c r="BA495" s="40"/>
      <c r="BB495" s="5"/>
      <c r="BD495" s="40"/>
      <c r="BE495" s="5"/>
      <c r="BG495" s="40"/>
      <c r="BH495" s="5"/>
      <c r="BJ495" s="40"/>
      <c r="BK495" s="5"/>
      <c r="BM495" s="40"/>
      <c r="BN495" s="5"/>
      <c r="BP495" s="40"/>
      <c r="BQ495" s="5"/>
      <c r="BS495" s="40"/>
      <c r="BT495" s="5"/>
      <c r="BV495" s="40"/>
      <c r="BW495" s="5"/>
      <c r="BY495" s="40"/>
      <c r="BZ495" s="5"/>
      <c r="CB495" s="40"/>
      <c r="CC495" s="5"/>
      <c r="CE495" s="40"/>
      <c r="CF495" s="5"/>
      <c r="CH495" s="40"/>
      <c r="CI495" s="5"/>
      <c r="CK495" s="40"/>
      <c r="CL495" s="5"/>
      <c r="CN495" s="40"/>
      <c r="CO495" s="5"/>
      <c r="CQ495" s="40"/>
      <c r="CR495" s="5"/>
    </row>
    <row r="496">
      <c r="AO496" s="40"/>
      <c r="AP496" s="5"/>
      <c r="AR496" s="40"/>
      <c r="AS496" s="5"/>
      <c r="AU496" s="40"/>
      <c r="AV496" s="5"/>
      <c r="AX496" s="40"/>
      <c r="AY496" s="5"/>
      <c r="BA496" s="40"/>
      <c r="BB496" s="5"/>
      <c r="BD496" s="40"/>
      <c r="BE496" s="5"/>
      <c r="BG496" s="40"/>
      <c r="BH496" s="5"/>
      <c r="BJ496" s="40"/>
      <c r="BK496" s="5"/>
      <c r="BM496" s="40"/>
      <c r="BN496" s="5"/>
      <c r="BP496" s="40"/>
      <c r="BQ496" s="5"/>
      <c r="BS496" s="40"/>
      <c r="BT496" s="5"/>
      <c r="BV496" s="40"/>
      <c r="BW496" s="5"/>
      <c r="BY496" s="40"/>
      <c r="BZ496" s="5"/>
      <c r="CB496" s="40"/>
      <c r="CC496" s="5"/>
      <c r="CE496" s="40"/>
      <c r="CF496" s="5"/>
      <c r="CH496" s="40"/>
      <c r="CI496" s="5"/>
      <c r="CK496" s="40"/>
      <c r="CL496" s="5"/>
      <c r="CN496" s="40"/>
      <c r="CO496" s="5"/>
      <c r="CQ496" s="40"/>
      <c r="CR496" s="5"/>
    </row>
    <row r="497">
      <c r="AO497" s="40"/>
      <c r="AP497" s="5"/>
      <c r="AR497" s="40"/>
      <c r="AS497" s="5"/>
      <c r="AU497" s="40"/>
      <c r="AV497" s="5"/>
      <c r="AX497" s="40"/>
      <c r="AY497" s="5"/>
      <c r="BA497" s="40"/>
      <c r="BB497" s="5"/>
      <c r="BD497" s="40"/>
      <c r="BE497" s="5"/>
      <c r="BG497" s="40"/>
      <c r="BH497" s="5"/>
      <c r="BJ497" s="40"/>
      <c r="BK497" s="5"/>
      <c r="BM497" s="40"/>
      <c r="BN497" s="5"/>
      <c r="BP497" s="40"/>
      <c r="BQ497" s="5"/>
      <c r="BS497" s="40"/>
      <c r="BT497" s="5"/>
      <c r="BV497" s="40"/>
      <c r="BW497" s="5"/>
      <c r="BY497" s="40"/>
      <c r="BZ497" s="5"/>
      <c r="CB497" s="40"/>
      <c r="CC497" s="5"/>
      <c r="CE497" s="40"/>
      <c r="CF497" s="5"/>
      <c r="CH497" s="40"/>
      <c r="CI497" s="5"/>
      <c r="CK497" s="40"/>
      <c r="CL497" s="5"/>
      <c r="CN497" s="40"/>
      <c r="CO497" s="5"/>
      <c r="CQ497" s="40"/>
      <c r="CR497" s="5"/>
    </row>
    <row r="498">
      <c r="AO498" s="40"/>
      <c r="AP498" s="5"/>
      <c r="AR498" s="40"/>
      <c r="AS498" s="5"/>
      <c r="AU498" s="40"/>
      <c r="AV498" s="5"/>
      <c r="AX498" s="40"/>
      <c r="AY498" s="5"/>
      <c r="BA498" s="40"/>
      <c r="BB498" s="5"/>
      <c r="BD498" s="40"/>
      <c r="BE498" s="5"/>
      <c r="BG498" s="40"/>
      <c r="BH498" s="5"/>
      <c r="BJ498" s="40"/>
      <c r="BK498" s="5"/>
      <c r="BM498" s="40"/>
      <c r="BN498" s="5"/>
      <c r="BP498" s="40"/>
      <c r="BQ498" s="5"/>
      <c r="BS498" s="40"/>
      <c r="BT498" s="5"/>
      <c r="BV498" s="40"/>
      <c r="BW498" s="5"/>
      <c r="BY498" s="40"/>
      <c r="BZ498" s="5"/>
      <c r="CB498" s="40"/>
      <c r="CC498" s="5"/>
      <c r="CE498" s="40"/>
      <c r="CF498" s="5"/>
      <c r="CH498" s="40"/>
      <c r="CI498" s="5"/>
      <c r="CK498" s="40"/>
      <c r="CL498" s="5"/>
      <c r="CN498" s="40"/>
      <c r="CO498" s="5"/>
      <c r="CQ498" s="40"/>
      <c r="CR498" s="5"/>
    </row>
    <row r="499">
      <c r="AO499" s="40"/>
      <c r="AP499" s="5"/>
      <c r="AR499" s="40"/>
      <c r="AS499" s="5"/>
      <c r="AU499" s="40"/>
      <c r="AV499" s="5"/>
      <c r="AX499" s="40"/>
      <c r="AY499" s="5"/>
      <c r="BA499" s="40"/>
      <c r="BB499" s="5"/>
      <c r="BD499" s="40"/>
      <c r="BE499" s="5"/>
      <c r="BG499" s="40"/>
      <c r="BH499" s="5"/>
      <c r="BJ499" s="40"/>
      <c r="BK499" s="5"/>
      <c r="BM499" s="40"/>
      <c r="BN499" s="5"/>
      <c r="BP499" s="40"/>
      <c r="BQ499" s="5"/>
      <c r="BS499" s="40"/>
      <c r="BT499" s="5"/>
      <c r="BV499" s="40"/>
      <c r="BW499" s="5"/>
      <c r="BY499" s="40"/>
      <c r="BZ499" s="5"/>
      <c r="CB499" s="40"/>
      <c r="CC499" s="5"/>
      <c r="CE499" s="40"/>
      <c r="CF499" s="5"/>
      <c r="CH499" s="40"/>
      <c r="CI499" s="5"/>
      <c r="CK499" s="40"/>
      <c r="CL499" s="5"/>
      <c r="CN499" s="40"/>
      <c r="CO499" s="5"/>
      <c r="CQ499" s="40"/>
      <c r="CR499" s="5"/>
    </row>
    <row r="500">
      <c r="AO500" s="40"/>
      <c r="AP500" s="5"/>
      <c r="AR500" s="40"/>
      <c r="AS500" s="5"/>
      <c r="AU500" s="40"/>
      <c r="AV500" s="5"/>
      <c r="AX500" s="40"/>
      <c r="AY500" s="5"/>
      <c r="BA500" s="40"/>
      <c r="BB500" s="5"/>
      <c r="BD500" s="40"/>
      <c r="BE500" s="5"/>
      <c r="BG500" s="40"/>
      <c r="BH500" s="5"/>
      <c r="BJ500" s="40"/>
      <c r="BK500" s="5"/>
      <c r="BM500" s="40"/>
      <c r="BN500" s="5"/>
      <c r="BP500" s="40"/>
      <c r="BQ500" s="5"/>
      <c r="BS500" s="40"/>
      <c r="BT500" s="5"/>
      <c r="BV500" s="40"/>
      <c r="BW500" s="5"/>
      <c r="BY500" s="40"/>
      <c r="BZ500" s="5"/>
      <c r="CB500" s="40"/>
      <c r="CC500" s="5"/>
      <c r="CE500" s="40"/>
      <c r="CF500" s="5"/>
      <c r="CH500" s="40"/>
      <c r="CI500" s="5"/>
      <c r="CK500" s="40"/>
      <c r="CL500" s="5"/>
      <c r="CN500" s="40"/>
      <c r="CO500" s="5"/>
      <c r="CQ500" s="40"/>
      <c r="CR500" s="5"/>
    </row>
    <row r="501">
      <c r="AO501" s="40"/>
      <c r="AP501" s="5"/>
      <c r="AR501" s="40"/>
      <c r="AS501" s="5"/>
      <c r="AU501" s="40"/>
      <c r="AV501" s="5"/>
      <c r="AX501" s="40"/>
      <c r="AY501" s="5"/>
      <c r="BA501" s="40"/>
      <c r="BB501" s="5"/>
      <c r="BD501" s="40"/>
      <c r="BE501" s="5"/>
      <c r="BG501" s="40"/>
      <c r="BH501" s="5"/>
      <c r="BJ501" s="40"/>
      <c r="BK501" s="5"/>
      <c r="BM501" s="40"/>
      <c r="BN501" s="5"/>
      <c r="BP501" s="40"/>
      <c r="BQ501" s="5"/>
      <c r="BS501" s="40"/>
      <c r="BT501" s="5"/>
      <c r="BV501" s="40"/>
      <c r="BW501" s="5"/>
      <c r="BY501" s="40"/>
      <c r="BZ501" s="5"/>
      <c r="CB501" s="40"/>
      <c r="CC501" s="5"/>
      <c r="CE501" s="40"/>
      <c r="CF501" s="5"/>
      <c r="CH501" s="40"/>
      <c r="CI501" s="5"/>
      <c r="CK501" s="40"/>
      <c r="CL501" s="5"/>
      <c r="CN501" s="40"/>
      <c r="CO501" s="5"/>
      <c r="CQ501" s="40"/>
      <c r="CR501" s="5"/>
    </row>
    <row r="502">
      <c r="AO502" s="40"/>
      <c r="AP502" s="5"/>
      <c r="AR502" s="40"/>
      <c r="AS502" s="5"/>
      <c r="AU502" s="40"/>
      <c r="AV502" s="5"/>
      <c r="AX502" s="40"/>
      <c r="AY502" s="5"/>
      <c r="BA502" s="40"/>
      <c r="BB502" s="5"/>
      <c r="BD502" s="40"/>
      <c r="BE502" s="5"/>
      <c r="BG502" s="40"/>
      <c r="BH502" s="5"/>
      <c r="BJ502" s="40"/>
      <c r="BK502" s="5"/>
      <c r="BM502" s="40"/>
      <c r="BN502" s="5"/>
      <c r="BP502" s="40"/>
      <c r="BQ502" s="5"/>
      <c r="BS502" s="40"/>
      <c r="BT502" s="5"/>
      <c r="BV502" s="40"/>
      <c r="BW502" s="5"/>
      <c r="BY502" s="40"/>
      <c r="BZ502" s="5"/>
      <c r="CB502" s="40"/>
      <c r="CC502" s="5"/>
      <c r="CE502" s="40"/>
      <c r="CF502" s="5"/>
      <c r="CH502" s="40"/>
      <c r="CI502" s="5"/>
      <c r="CK502" s="40"/>
      <c r="CL502" s="5"/>
      <c r="CN502" s="40"/>
      <c r="CO502" s="5"/>
      <c r="CQ502" s="40"/>
      <c r="CR502" s="5"/>
    </row>
    <row r="503">
      <c r="AO503" s="40"/>
      <c r="AP503" s="5"/>
      <c r="AR503" s="40"/>
      <c r="AS503" s="5"/>
      <c r="AU503" s="40"/>
      <c r="AV503" s="5"/>
      <c r="AX503" s="40"/>
      <c r="AY503" s="5"/>
      <c r="BA503" s="40"/>
      <c r="BB503" s="5"/>
      <c r="BD503" s="40"/>
      <c r="BE503" s="5"/>
      <c r="BG503" s="40"/>
      <c r="BH503" s="5"/>
      <c r="BJ503" s="40"/>
      <c r="BK503" s="5"/>
      <c r="BM503" s="40"/>
      <c r="BN503" s="5"/>
      <c r="BP503" s="40"/>
      <c r="BQ503" s="5"/>
      <c r="BS503" s="40"/>
      <c r="BT503" s="5"/>
      <c r="BV503" s="40"/>
      <c r="BW503" s="5"/>
      <c r="BY503" s="40"/>
      <c r="BZ503" s="5"/>
      <c r="CB503" s="40"/>
      <c r="CC503" s="5"/>
      <c r="CE503" s="40"/>
      <c r="CF503" s="5"/>
      <c r="CH503" s="40"/>
      <c r="CI503" s="5"/>
      <c r="CK503" s="40"/>
      <c r="CL503" s="5"/>
      <c r="CN503" s="40"/>
      <c r="CO503" s="5"/>
      <c r="CQ503" s="40"/>
      <c r="CR503" s="5"/>
    </row>
    <row r="504">
      <c r="AO504" s="40"/>
      <c r="AP504" s="5"/>
      <c r="AR504" s="40"/>
      <c r="AS504" s="5"/>
      <c r="AU504" s="40"/>
      <c r="AV504" s="5"/>
      <c r="AX504" s="40"/>
      <c r="AY504" s="5"/>
      <c r="BA504" s="40"/>
      <c r="BB504" s="5"/>
      <c r="BD504" s="40"/>
      <c r="BE504" s="5"/>
      <c r="BG504" s="40"/>
      <c r="BH504" s="5"/>
      <c r="BJ504" s="40"/>
      <c r="BK504" s="5"/>
      <c r="BM504" s="40"/>
      <c r="BN504" s="5"/>
      <c r="BP504" s="40"/>
      <c r="BQ504" s="5"/>
      <c r="BS504" s="40"/>
      <c r="BT504" s="5"/>
      <c r="BV504" s="40"/>
      <c r="BW504" s="5"/>
      <c r="BY504" s="40"/>
      <c r="BZ504" s="5"/>
      <c r="CB504" s="40"/>
      <c r="CC504" s="5"/>
      <c r="CE504" s="40"/>
      <c r="CF504" s="5"/>
      <c r="CH504" s="40"/>
      <c r="CI504" s="5"/>
      <c r="CK504" s="40"/>
      <c r="CL504" s="5"/>
      <c r="CN504" s="40"/>
      <c r="CO504" s="5"/>
      <c r="CQ504" s="40"/>
      <c r="CR504" s="5"/>
    </row>
    <row r="505">
      <c r="AO505" s="40"/>
      <c r="AP505" s="5"/>
      <c r="AR505" s="40"/>
      <c r="AS505" s="5"/>
      <c r="AU505" s="40"/>
      <c r="AV505" s="5"/>
      <c r="AX505" s="40"/>
      <c r="AY505" s="5"/>
      <c r="BA505" s="40"/>
      <c r="BB505" s="5"/>
      <c r="BD505" s="40"/>
      <c r="BE505" s="5"/>
      <c r="BG505" s="40"/>
      <c r="BH505" s="5"/>
      <c r="BJ505" s="40"/>
      <c r="BK505" s="5"/>
      <c r="BM505" s="40"/>
      <c r="BN505" s="5"/>
      <c r="BP505" s="40"/>
      <c r="BQ505" s="5"/>
      <c r="BS505" s="40"/>
      <c r="BT505" s="5"/>
      <c r="BV505" s="40"/>
      <c r="BW505" s="5"/>
      <c r="BY505" s="40"/>
      <c r="BZ505" s="5"/>
      <c r="CB505" s="40"/>
      <c r="CC505" s="5"/>
      <c r="CE505" s="40"/>
      <c r="CF505" s="5"/>
      <c r="CH505" s="40"/>
      <c r="CI505" s="5"/>
      <c r="CK505" s="40"/>
      <c r="CL505" s="5"/>
      <c r="CN505" s="40"/>
      <c r="CO505" s="5"/>
      <c r="CQ505" s="40"/>
      <c r="CR505" s="5"/>
    </row>
    <row r="506">
      <c r="AO506" s="40"/>
      <c r="AP506" s="5"/>
      <c r="AR506" s="40"/>
      <c r="AS506" s="5"/>
      <c r="AU506" s="40"/>
      <c r="AV506" s="5"/>
      <c r="AX506" s="40"/>
      <c r="AY506" s="5"/>
      <c r="BA506" s="40"/>
      <c r="BB506" s="5"/>
      <c r="BD506" s="40"/>
      <c r="BE506" s="5"/>
      <c r="BG506" s="40"/>
      <c r="BH506" s="5"/>
      <c r="BJ506" s="40"/>
      <c r="BK506" s="5"/>
      <c r="BM506" s="40"/>
      <c r="BN506" s="5"/>
      <c r="BP506" s="40"/>
      <c r="BQ506" s="5"/>
      <c r="BS506" s="40"/>
      <c r="BT506" s="5"/>
      <c r="BV506" s="40"/>
      <c r="BW506" s="5"/>
      <c r="BY506" s="40"/>
      <c r="BZ506" s="5"/>
      <c r="CB506" s="40"/>
      <c r="CC506" s="5"/>
      <c r="CE506" s="40"/>
      <c r="CF506" s="5"/>
      <c r="CH506" s="40"/>
      <c r="CI506" s="5"/>
      <c r="CK506" s="40"/>
      <c r="CL506" s="5"/>
      <c r="CN506" s="40"/>
      <c r="CO506" s="5"/>
      <c r="CQ506" s="40"/>
      <c r="CR506" s="5"/>
    </row>
    <row r="507">
      <c r="AO507" s="40"/>
      <c r="AP507" s="5"/>
      <c r="AR507" s="40"/>
      <c r="AS507" s="5"/>
      <c r="AU507" s="40"/>
      <c r="AV507" s="5"/>
      <c r="AX507" s="40"/>
      <c r="AY507" s="5"/>
      <c r="BA507" s="40"/>
      <c r="BB507" s="5"/>
      <c r="BD507" s="40"/>
      <c r="BE507" s="5"/>
      <c r="BG507" s="40"/>
      <c r="BH507" s="5"/>
      <c r="BJ507" s="40"/>
      <c r="BK507" s="5"/>
      <c r="BM507" s="40"/>
      <c r="BN507" s="5"/>
      <c r="BP507" s="40"/>
      <c r="BQ507" s="5"/>
      <c r="BS507" s="40"/>
      <c r="BT507" s="5"/>
      <c r="BV507" s="40"/>
      <c r="BW507" s="5"/>
      <c r="BY507" s="40"/>
      <c r="BZ507" s="5"/>
      <c r="CB507" s="40"/>
      <c r="CC507" s="5"/>
      <c r="CE507" s="40"/>
      <c r="CF507" s="5"/>
      <c r="CH507" s="40"/>
      <c r="CI507" s="5"/>
      <c r="CK507" s="40"/>
      <c r="CL507" s="5"/>
      <c r="CN507" s="40"/>
      <c r="CO507" s="5"/>
      <c r="CQ507" s="40"/>
      <c r="CR507" s="5"/>
    </row>
    <row r="508">
      <c r="AO508" s="40"/>
      <c r="AP508" s="5"/>
      <c r="AR508" s="40"/>
      <c r="AS508" s="5"/>
      <c r="AU508" s="40"/>
      <c r="AV508" s="5"/>
      <c r="AX508" s="40"/>
      <c r="AY508" s="5"/>
      <c r="BA508" s="40"/>
      <c r="BB508" s="5"/>
      <c r="BD508" s="40"/>
      <c r="BE508" s="5"/>
      <c r="BG508" s="40"/>
      <c r="BH508" s="5"/>
      <c r="BJ508" s="40"/>
      <c r="BK508" s="5"/>
      <c r="BM508" s="40"/>
      <c r="BN508" s="5"/>
      <c r="BP508" s="40"/>
      <c r="BQ508" s="5"/>
      <c r="BS508" s="40"/>
      <c r="BT508" s="5"/>
      <c r="BV508" s="40"/>
      <c r="BW508" s="5"/>
      <c r="BY508" s="40"/>
      <c r="BZ508" s="5"/>
      <c r="CB508" s="40"/>
      <c r="CC508" s="5"/>
      <c r="CE508" s="40"/>
      <c r="CF508" s="5"/>
      <c r="CH508" s="40"/>
      <c r="CI508" s="5"/>
      <c r="CK508" s="40"/>
      <c r="CL508" s="5"/>
      <c r="CN508" s="40"/>
      <c r="CO508" s="5"/>
      <c r="CQ508" s="40"/>
      <c r="CR508" s="5"/>
    </row>
    <row r="509">
      <c r="AO509" s="40"/>
      <c r="AP509" s="5"/>
      <c r="AR509" s="40"/>
      <c r="AS509" s="5"/>
      <c r="AU509" s="40"/>
      <c r="AV509" s="5"/>
      <c r="AX509" s="40"/>
      <c r="AY509" s="5"/>
      <c r="BA509" s="40"/>
      <c r="BB509" s="5"/>
      <c r="BD509" s="40"/>
      <c r="BE509" s="5"/>
      <c r="BG509" s="40"/>
      <c r="BH509" s="5"/>
      <c r="BJ509" s="40"/>
      <c r="BK509" s="5"/>
      <c r="BM509" s="40"/>
      <c r="BN509" s="5"/>
      <c r="BP509" s="40"/>
      <c r="BQ509" s="5"/>
      <c r="BS509" s="40"/>
      <c r="BT509" s="5"/>
      <c r="BV509" s="40"/>
      <c r="BW509" s="5"/>
      <c r="BY509" s="40"/>
      <c r="BZ509" s="5"/>
      <c r="CB509" s="40"/>
      <c r="CC509" s="5"/>
      <c r="CE509" s="40"/>
      <c r="CF509" s="5"/>
      <c r="CH509" s="40"/>
      <c r="CI509" s="5"/>
      <c r="CK509" s="40"/>
      <c r="CL509" s="5"/>
      <c r="CN509" s="40"/>
      <c r="CO509" s="5"/>
      <c r="CQ509" s="40"/>
      <c r="CR509" s="5"/>
    </row>
    <row r="510">
      <c r="AO510" s="40"/>
      <c r="AP510" s="5"/>
      <c r="AR510" s="40"/>
      <c r="AS510" s="5"/>
      <c r="AU510" s="40"/>
      <c r="AV510" s="5"/>
      <c r="AX510" s="40"/>
      <c r="AY510" s="5"/>
      <c r="BA510" s="40"/>
      <c r="BB510" s="5"/>
      <c r="BD510" s="40"/>
      <c r="BE510" s="5"/>
      <c r="BG510" s="40"/>
      <c r="BH510" s="5"/>
      <c r="BJ510" s="40"/>
      <c r="BK510" s="5"/>
      <c r="BM510" s="40"/>
      <c r="BN510" s="5"/>
      <c r="BP510" s="40"/>
      <c r="BQ510" s="5"/>
      <c r="BS510" s="40"/>
      <c r="BT510" s="5"/>
      <c r="BV510" s="40"/>
      <c r="BW510" s="5"/>
      <c r="BY510" s="40"/>
      <c r="BZ510" s="5"/>
      <c r="CB510" s="40"/>
      <c r="CC510" s="5"/>
      <c r="CE510" s="40"/>
      <c r="CF510" s="5"/>
      <c r="CH510" s="40"/>
      <c r="CI510" s="5"/>
      <c r="CK510" s="40"/>
      <c r="CL510" s="5"/>
      <c r="CN510" s="40"/>
      <c r="CO510" s="5"/>
      <c r="CQ510" s="40"/>
      <c r="CR510" s="5"/>
    </row>
    <row r="511">
      <c r="AO511" s="40"/>
      <c r="AP511" s="5"/>
      <c r="AR511" s="40"/>
      <c r="AS511" s="5"/>
      <c r="AU511" s="40"/>
      <c r="AV511" s="5"/>
      <c r="AX511" s="40"/>
      <c r="AY511" s="5"/>
      <c r="BA511" s="40"/>
      <c r="BB511" s="5"/>
      <c r="BD511" s="40"/>
      <c r="BE511" s="5"/>
      <c r="BG511" s="40"/>
      <c r="BH511" s="5"/>
      <c r="BJ511" s="40"/>
      <c r="BK511" s="5"/>
      <c r="BM511" s="40"/>
      <c r="BN511" s="5"/>
      <c r="BP511" s="40"/>
      <c r="BQ511" s="5"/>
      <c r="BS511" s="40"/>
      <c r="BT511" s="5"/>
      <c r="BV511" s="40"/>
      <c r="BW511" s="5"/>
      <c r="BY511" s="40"/>
      <c r="BZ511" s="5"/>
      <c r="CB511" s="40"/>
      <c r="CC511" s="5"/>
      <c r="CE511" s="40"/>
      <c r="CF511" s="5"/>
      <c r="CH511" s="40"/>
      <c r="CI511" s="5"/>
      <c r="CK511" s="40"/>
      <c r="CL511" s="5"/>
      <c r="CN511" s="40"/>
      <c r="CO511" s="5"/>
      <c r="CQ511" s="40"/>
      <c r="CR511" s="5"/>
    </row>
    <row r="512">
      <c r="AO512" s="40"/>
      <c r="AP512" s="5"/>
      <c r="AR512" s="40"/>
      <c r="AS512" s="5"/>
      <c r="AU512" s="40"/>
      <c r="AV512" s="5"/>
      <c r="AX512" s="40"/>
      <c r="AY512" s="5"/>
      <c r="BA512" s="40"/>
      <c r="BB512" s="5"/>
      <c r="BD512" s="40"/>
      <c r="BE512" s="5"/>
      <c r="BG512" s="40"/>
      <c r="BH512" s="5"/>
      <c r="BJ512" s="40"/>
      <c r="BK512" s="5"/>
      <c r="BM512" s="40"/>
      <c r="BN512" s="5"/>
      <c r="BP512" s="40"/>
      <c r="BQ512" s="5"/>
      <c r="BS512" s="40"/>
      <c r="BT512" s="5"/>
      <c r="BV512" s="40"/>
      <c r="BW512" s="5"/>
      <c r="BY512" s="40"/>
      <c r="BZ512" s="5"/>
      <c r="CB512" s="40"/>
      <c r="CC512" s="5"/>
      <c r="CE512" s="40"/>
      <c r="CF512" s="5"/>
      <c r="CH512" s="40"/>
      <c r="CI512" s="5"/>
      <c r="CK512" s="40"/>
      <c r="CL512" s="5"/>
      <c r="CN512" s="40"/>
      <c r="CO512" s="5"/>
      <c r="CQ512" s="40"/>
      <c r="CR512" s="5"/>
    </row>
    <row r="513">
      <c r="AO513" s="40"/>
      <c r="AP513" s="5"/>
      <c r="AR513" s="40"/>
      <c r="AS513" s="5"/>
      <c r="AU513" s="40"/>
      <c r="AV513" s="5"/>
      <c r="AX513" s="40"/>
      <c r="AY513" s="5"/>
      <c r="BA513" s="40"/>
      <c r="BB513" s="5"/>
      <c r="BD513" s="40"/>
      <c r="BE513" s="5"/>
      <c r="BG513" s="40"/>
      <c r="BH513" s="5"/>
      <c r="BJ513" s="40"/>
      <c r="BK513" s="5"/>
      <c r="BM513" s="40"/>
      <c r="BN513" s="5"/>
      <c r="BP513" s="40"/>
      <c r="BQ513" s="5"/>
      <c r="BS513" s="40"/>
      <c r="BT513" s="5"/>
      <c r="BV513" s="40"/>
      <c r="BW513" s="5"/>
      <c r="BY513" s="40"/>
      <c r="BZ513" s="5"/>
      <c r="CB513" s="40"/>
      <c r="CC513" s="5"/>
      <c r="CE513" s="40"/>
      <c r="CF513" s="5"/>
      <c r="CH513" s="40"/>
      <c r="CI513" s="5"/>
      <c r="CK513" s="40"/>
      <c r="CL513" s="5"/>
      <c r="CN513" s="40"/>
      <c r="CO513" s="5"/>
      <c r="CQ513" s="40"/>
      <c r="CR513" s="5"/>
    </row>
    <row r="514">
      <c r="AO514" s="40"/>
      <c r="AP514" s="5"/>
      <c r="AR514" s="40"/>
      <c r="AS514" s="5"/>
      <c r="AU514" s="40"/>
      <c r="AV514" s="5"/>
      <c r="AX514" s="40"/>
      <c r="AY514" s="5"/>
      <c r="BA514" s="40"/>
      <c r="BB514" s="5"/>
      <c r="BD514" s="40"/>
      <c r="BE514" s="5"/>
      <c r="BG514" s="40"/>
      <c r="BH514" s="5"/>
      <c r="BJ514" s="40"/>
      <c r="BK514" s="5"/>
      <c r="BM514" s="40"/>
      <c r="BN514" s="5"/>
      <c r="BP514" s="40"/>
      <c r="BQ514" s="5"/>
      <c r="BS514" s="40"/>
      <c r="BT514" s="5"/>
      <c r="BV514" s="40"/>
      <c r="BW514" s="5"/>
      <c r="BY514" s="40"/>
      <c r="BZ514" s="5"/>
      <c r="CB514" s="40"/>
      <c r="CC514" s="5"/>
      <c r="CE514" s="40"/>
      <c r="CF514" s="5"/>
      <c r="CH514" s="40"/>
      <c r="CI514" s="5"/>
      <c r="CK514" s="40"/>
      <c r="CL514" s="5"/>
      <c r="CN514" s="40"/>
      <c r="CO514" s="5"/>
      <c r="CQ514" s="40"/>
      <c r="CR514" s="5"/>
    </row>
    <row r="515">
      <c r="AO515" s="40"/>
      <c r="AP515" s="5"/>
      <c r="AR515" s="40"/>
      <c r="AS515" s="5"/>
      <c r="AU515" s="40"/>
      <c r="AV515" s="5"/>
      <c r="AX515" s="40"/>
      <c r="AY515" s="5"/>
      <c r="BA515" s="40"/>
      <c r="BB515" s="5"/>
      <c r="BD515" s="40"/>
      <c r="BE515" s="5"/>
      <c r="BG515" s="40"/>
      <c r="BH515" s="5"/>
      <c r="BJ515" s="40"/>
      <c r="BK515" s="5"/>
      <c r="BM515" s="40"/>
      <c r="BN515" s="5"/>
      <c r="BP515" s="40"/>
      <c r="BQ515" s="5"/>
      <c r="BS515" s="40"/>
      <c r="BT515" s="5"/>
      <c r="BV515" s="40"/>
      <c r="BW515" s="5"/>
      <c r="BY515" s="40"/>
      <c r="BZ515" s="5"/>
      <c r="CB515" s="40"/>
      <c r="CC515" s="5"/>
      <c r="CE515" s="40"/>
      <c r="CF515" s="5"/>
      <c r="CH515" s="40"/>
      <c r="CI515" s="5"/>
      <c r="CK515" s="40"/>
      <c r="CL515" s="5"/>
      <c r="CN515" s="40"/>
      <c r="CO515" s="5"/>
      <c r="CQ515" s="40"/>
      <c r="CR515" s="5"/>
    </row>
    <row r="516">
      <c r="AO516" s="40"/>
      <c r="AP516" s="5"/>
      <c r="AR516" s="40"/>
      <c r="AS516" s="5"/>
      <c r="AU516" s="40"/>
      <c r="AV516" s="5"/>
      <c r="AX516" s="40"/>
      <c r="AY516" s="5"/>
      <c r="BA516" s="40"/>
      <c r="BB516" s="5"/>
      <c r="BD516" s="40"/>
      <c r="BE516" s="5"/>
      <c r="BG516" s="40"/>
      <c r="BH516" s="5"/>
      <c r="BJ516" s="40"/>
      <c r="BK516" s="5"/>
      <c r="BM516" s="40"/>
      <c r="BN516" s="5"/>
      <c r="BP516" s="40"/>
      <c r="BQ516" s="5"/>
      <c r="BS516" s="40"/>
      <c r="BT516" s="5"/>
      <c r="BV516" s="40"/>
      <c r="BW516" s="5"/>
      <c r="BY516" s="40"/>
      <c r="BZ516" s="5"/>
      <c r="CB516" s="40"/>
      <c r="CC516" s="5"/>
      <c r="CE516" s="40"/>
      <c r="CF516" s="5"/>
      <c r="CH516" s="40"/>
      <c r="CI516" s="5"/>
      <c r="CK516" s="40"/>
      <c r="CL516" s="5"/>
      <c r="CN516" s="40"/>
      <c r="CO516" s="5"/>
      <c r="CQ516" s="40"/>
      <c r="CR516" s="5"/>
    </row>
    <row r="517">
      <c r="AO517" s="40"/>
      <c r="AP517" s="5"/>
      <c r="AR517" s="40"/>
      <c r="AS517" s="5"/>
      <c r="AU517" s="40"/>
      <c r="AV517" s="5"/>
      <c r="AX517" s="40"/>
      <c r="AY517" s="5"/>
      <c r="BA517" s="40"/>
      <c r="BB517" s="5"/>
      <c r="BD517" s="40"/>
      <c r="BE517" s="5"/>
      <c r="BG517" s="40"/>
      <c r="BH517" s="5"/>
      <c r="BJ517" s="40"/>
      <c r="BK517" s="5"/>
      <c r="BM517" s="40"/>
      <c r="BN517" s="5"/>
      <c r="BP517" s="40"/>
      <c r="BQ517" s="5"/>
      <c r="BS517" s="40"/>
      <c r="BT517" s="5"/>
      <c r="BV517" s="40"/>
      <c r="BW517" s="5"/>
      <c r="BY517" s="40"/>
      <c r="BZ517" s="5"/>
      <c r="CB517" s="40"/>
      <c r="CC517" s="5"/>
      <c r="CE517" s="40"/>
      <c r="CF517" s="5"/>
      <c r="CH517" s="40"/>
      <c r="CI517" s="5"/>
      <c r="CK517" s="40"/>
      <c r="CL517" s="5"/>
      <c r="CN517" s="40"/>
      <c r="CO517" s="5"/>
      <c r="CQ517" s="40"/>
      <c r="CR517" s="5"/>
    </row>
    <row r="518">
      <c r="AO518" s="40"/>
      <c r="AP518" s="5"/>
      <c r="AR518" s="40"/>
      <c r="AS518" s="5"/>
      <c r="AU518" s="40"/>
      <c r="AV518" s="5"/>
      <c r="AX518" s="40"/>
      <c r="AY518" s="5"/>
      <c r="BA518" s="40"/>
      <c r="BB518" s="5"/>
      <c r="BD518" s="40"/>
      <c r="BE518" s="5"/>
      <c r="BG518" s="40"/>
      <c r="BH518" s="5"/>
      <c r="BJ518" s="40"/>
      <c r="BK518" s="5"/>
      <c r="BM518" s="40"/>
      <c r="BN518" s="5"/>
      <c r="BP518" s="40"/>
      <c r="BQ518" s="5"/>
      <c r="BS518" s="40"/>
      <c r="BT518" s="5"/>
      <c r="BV518" s="40"/>
      <c r="BW518" s="5"/>
      <c r="BY518" s="40"/>
      <c r="BZ518" s="5"/>
      <c r="CB518" s="40"/>
      <c r="CC518" s="5"/>
      <c r="CE518" s="40"/>
      <c r="CF518" s="5"/>
      <c r="CH518" s="40"/>
      <c r="CI518" s="5"/>
      <c r="CK518" s="40"/>
      <c r="CL518" s="5"/>
      <c r="CN518" s="40"/>
      <c r="CO518" s="5"/>
      <c r="CQ518" s="40"/>
      <c r="CR518" s="5"/>
    </row>
    <row r="519">
      <c r="AO519" s="40"/>
      <c r="AP519" s="5"/>
      <c r="AR519" s="40"/>
      <c r="AS519" s="5"/>
      <c r="AU519" s="40"/>
      <c r="AV519" s="5"/>
      <c r="AX519" s="40"/>
      <c r="AY519" s="5"/>
      <c r="BA519" s="40"/>
      <c r="BB519" s="5"/>
      <c r="BD519" s="40"/>
      <c r="BE519" s="5"/>
      <c r="BG519" s="40"/>
      <c r="BH519" s="5"/>
      <c r="BJ519" s="40"/>
      <c r="BK519" s="5"/>
      <c r="BM519" s="40"/>
      <c r="BN519" s="5"/>
      <c r="BP519" s="40"/>
      <c r="BQ519" s="5"/>
      <c r="BS519" s="40"/>
      <c r="BT519" s="5"/>
      <c r="BV519" s="40"/>
      <c r="BW519" s="5"/>
      <c r="BY519" s="40"/>
      <c r="BZ519" s="5"/>
      <c r="CB519" s="40"/>
      <c r="CC519" s="5"/>
      <c r="CE519" s="40"/>
      <c r="CF519" s="5"/>
      <c r="CH519" s="40"/>
      <c r="CI519" s="5"/>
      <c r="CK519" s="40"/>
      <c r="CL519" s="5"/>
      <c r="CN519" s="40"/>
      <c r="CO519" s="5"/>
      <c r="CQ519" s="40"/>
      <c r="CR519" s="5"/>
    </row>
    <row r="520">
      <c r="AO520" s="40"/>
      <c r="AP520" s="5"/>
      <c r="AR520" s="40"/>
      <c r="AS520" s="5"/>
      <c r="AU520" s="40"/>
      <c r="AV520" s="5"/>
      <c r="AX520" s="40"/>
      <c r="AY520" s="5"/>
      <c r="BA520" s="40"/>
      <c r="BB520" s="5"/>
      <c r="BD520" s="40"/>
      <c r="BE520" s="5"/>
      <c r="BG520" s="40"/>
      <c r="BH520" s="5"/>
      <c r="BJ520" s="40"/>
      <c r="BK520" s="5"/>
      <c r="BM520" s="40"/>
      <c r="BN520" s="5"/>
      <c r="BP520" s="40"/>
      <c r="BQ520" s="5"/>
      <c r="BS520" s="40"/>
      <c r="BT520" s="5"/>
      <c r="BV520" s="40"/>
      <c r="BW520" s="5"/>
      <c r="BY520" s="40"/>
      <c r="BZ520" s="5"/>
      <c r="CB520" s="40"/>
      <c r="CC520" s="5"/>
      <c r="CE520" s="40"/>
      <c r="CF520" s="5"/>
      <c r="CH520" s="40"/>
      <c r="CI520" s="5"/>
      <c r="CK520" s="40"/>
      <c r="CL520" s="5"/>
      <c r="CN520" s="40"/>
      <c r="CO520" s="5"/>
      <c r="CQ520" s="40"/>
      <c r="CR520" s="5"/>
    </row>
    <row r="521">
      <c r="AO521" s="40"/>
      <c r="AP521" s="5"/>
      <c r="AR521" s="40"/>
      <c r="AS521" s="5"/>
      <c r="AU521" s="40"/>
      <c r="AV521" s="5"/>
      <c r="AX521" s="40"/>
      <c r="AY521" s="5"/>
      <c r="BA521" s="40"/>
      <c r="BB521" s="5"/>
      <c r="BD521" s="40"/>
      <c r="BE521" s="5"/>
      <c r="BG521" s="40"/>
      <c r="BH521" s="5"/>
      <c r="BJ521" s="40"/>
      <c r="BK521" s="5"/>
      <c r="BM521" s="40"/>
      <c r="BN521" s="5"/>
      <c r="BP521" s="40"/>
      <c r="BQ521" s="5"/>
      <c r="BS521" s="40"/>
      <c r="BT521" s="5"/>
      <c r="BV521" s="40"/>
      <c r="BW521" s="5"/>
      <c r="BY521" s="40"/>
      <c r="BZ521" s="5"/>
      <c r="CB521" s="40"/>
      <c r="CC521" s="5"/>
      <c r="CE521" s="40"/>
      <c r="CF521" s="5"/>
      <c r="CH521" s="40"/>
      <c r="CI521" s="5"/>
      <c r="CK521" s="40"/>
      <c r="CL521" s="5"/>
      <c r="CN521" s="40"/>
      <c r="CO521" s="5"/>
      <c r="CQ521" s="40"/>
      <c r="CR521" s="5"/>
    </row>
    <row r="522">
      <c r="AO522" s="40"/>
      <c r="AP522" s="5"/>
      <c r="AR522" s="40"/>
      <c r="AS522" s="5"/>
      <c r="AU522" s="40"/>
      <c r="AV522" s="5"/>
      <c r="AX522" s="40"/>
      <c r="AY522" s="5"/>
      <c r="BA522" s="40"/>
      <c r="BB522" s="5"/>
      <c r="BD522" s="40"/>
      <c r="BE522" s="5"/>
      <c r="BG522" s="40"/>
      <c r="BH522" s="5"/>
      <c r="BJ522" s="40"/>
      <c r="BK522" s="5"/>
      <c r="BM522" s="40"/>
      <c r="BN522" s="5"/>
      <c r="BP522" s="40"/>
      <c r="BQ522" s="5"/>
      <c r="BS522" s="40"/>
      <c r="BT522" s="5"/>
      <c r="BV522" s="40"/>
      <c r="BW522" s="5"/>
      <c r="BY522" s="40"/>
      <c r="BZ522" s="5"/>
      <c r="CB522" s="40"/>
      <c r="CC522" s="5"/>
      <c r="CE522" s="40"/>
      <c r="CF522" s="5"/>
      <c r="CH522" s="40"/>
      <c r="CI522" s="5"/>
      <c r="CK522" s="40"/>
      <c r="CL522" s="5"/>
      <c r="CN522" s="40"/>
      <c r="CO522" s="5"/>
      <c r="CQ522" s="40"/>
      <c r="CR522" s="5"/>
    </row>
    <row r="523">
      <c r="AO523" s="40"/>
      <c r="AP523" s="5"/>
      <c r="AR523" s="40"/>
      <c r="AS523" s="5"/>
      <c r="AU523" s="40"/>
      <c r="AV523" s="5"/>
      <c r="AX523" s="40"/>
      <c r="AY523" s="5"/>
      <c r="BA523" s="40"/>
      <c r="BB523" s="5"/>
      <c r="BD523" s="40"/>
      <c r="BE523" s="5"/>
      <c r="BG523" s="40"/>
      <c r="BH523" s="5"/>
      <c r="BJ523" s="40"/>
      <c r="BK523" s="5"/>
      <c r="BM523" s="40"/>
      <c r="BN523" s="5"/>
      <c r="BP523" s="40"/>
      <c r="BQ523" s="5"/>
      <c r="BS523" s="40"/>
      <c r="BT523" s="5"/>
      <c r="BV523" s="40"/>
      <c r="BW523" s="5"/>
      <c r="BY523" s="40"/>
      <c r="BZ523" s="5"/>
      <c r="CB523" s="40"/>
      <c r="CC523" s="5"/>
      <c r="CE523" s="40"/>
      <c r="CF523" s="5"/>
      <c r="CH523" s="40"/>
      <c r="CI523" s="5"/>
      <c r="CK523" s="40"/>
      <c r="CL523" s="5"/>
      <c r="CN523" s="40"/>
      <c r="CO523" s="5"/>
      <c r="CQ523" s="40"/>
      <c r="CR523" s="5"/>
    </row>
    <row r="524">
      <c r="AO524" s="40"/>
      <c r="AP524" s="5"/>
      <c r="AR524" s="40"/>
      <c r="AS524" s="5"/>
      <c r="AU524" s="40"/>
      <c r="AV524" s="5"/>
      <c r="AX524" s="40"/>
      <c r="AY524" s="5"/>
      <c r="BA524" s="40"/>
      <c r="BB524" s="5"/>
      <c r="BD524" s="40"/>
      <c r="BE524" s="5"/>
      <c r="BG524" s="40"/>
      <c r="BH524" s="5"/>
      <c r="BJ524" s="40"/>
      <c r="BK524" s="5"/>
      <c r="BM524" s="40"/>
      <c r="BN524" s="5"/>
      <c r="BP524" s="40"/>
      <c r="BQ524" s="5"/>
      <c r="BS524" s="40"/>
      <c r="BT524" s="5"/>
      <c r="BV524" s="40"/>
      <c r="BW524" s="5"/>
      <c r="BY524" s="40"/>
      <c r="BZ524" s="5"/>
      <c r="CB524" s="40"/>
      <c r="CC524" s="5"/>
      <c r="CE524" s="40"/>
      <c r="CF524" s="5"/>
      <c r="CH524" s="40"/>
      <c r="CI524" s="5"/>
      <c r="CK524" s="40"/>
      <c r="CL524" s="5"/>
      <c r="CN524" s="40"/>
      <c r="CO524" s="5"/>
      <c r="CQ524" s="40"/>
      <c r="CR524" s="5"/>
    </row>
    <row r="525">
      <c r="AO525" s="40"/>
      <c r="AP525" s="5"/>
      <c r="AR525" s="40"/>
      <c r="AS525" s="5"/>
      <c r="AU525" s="40"/>
      <c r="AV525" s="5"/>
      <c r="AX525" s="40"/>
      <c r="AY525" s="5"/>
      <c r="BA525" s="40"/>
      <c r="BB525" s="5"/>
      <c r="BD525" s="40"/>
      <c r="BE525" s="5"/>
      <c r="BG525" s="40"/>
      <c r="BH525" s="5"/>
      <c r="BJ525" s="40"/>
      <c r="BK525" s="5"/>
      <c r="BM525" s="40"/>
      <c r="BN525" s="5"/>
      <c r="BP525" s="40"/>
      <c r="BQ525" s="5"/>
      <c r="BS525" s="40"/>
      <c r="BT525" s="5"/>
      <c r="BV525" s="40"/>
      <c r="BW525" s="5"/>
      <c r="BY525" s="40"/>
      <c r="BZ525" s="5"/>
      <c r="CB525" s="40"/>
      <c r="CC525" s="5"/>
      <c r="CE525" s="40"/>
      <c r="CF525" s="5"/>
      <c r="CH525" s="40"/>
      <c r="CI525" s="5"/>
      <c r="CK525" s="40"/>
      <c r="CL525" s="5"/>
      <c r="CN525" s="40"/>
      <c r="CO525" s="5"/>
      <c r="CQ525" s="40"/>
      <c r="CR525" s="5"/>
    </row>
    <row r="526">
      <c r="AO526" s="40"/>
      <c r="AP526" s="5"/>
      <c r="AR526" s="40"/>
      <c r="AS526" s="5"/>
      <c r="AU526" s="40"/>
      <c r="AV526" s="5"/>
      <c r="AX526" s="40"/>
      <c r="AY526" s="5"/>
      <c r="BA526" s="40"/>
      <c r="BB526" s="5"/>
      <c r="BD526" s="40"/>
      <c r="BE526" s="5"/>
      <c r="BG526" s="40"/>
      <c r="BH526" s="5"/>
      <c r="BJ526" s="40"/>
      <c r="BK526" s="5"/>
      <c r="BM526" s="40"/>
      <c r="BN526" s="5"/>
      <c r="BP526" s="40"/>
      <c r="BQ526" s="5"/>
      <c r="BS526" s="40"/>
      <c r="BT526" s="5"/>
      <c r="BV526" s="40"/>
      <c r="BW526" s="5"/>
      <c r="BY526" s="40"/>
      <c r="BZ526" s="5"/>
      <c r="CB526" s="40"/>
      <c r="CC526" s="5"/>
      <c r="CE526" s="40"/>
      <c r="CF526" s="5"/>
      <c r="CH526" s="40"/>
      <c r="CI526" s="5"/>
      <c r="CK526" s="40"/>
      <c r="CL526" s="5"/>
      <c r="CN526" s="40"/>
      <c r="CO526" s="5"/>
      <c r="CQ526" s="40"/>
      <c r="CR526" s="5"/>
    </row>
    <row r="527">
      <c r="AO527" s="40"/>
      <c r="AP527" s="5"/>
      <c r="AR527" s="40"/>
      <c r="AS527" s="5"/>
      <c r="AU527" s="40"/>
      <c r="AV527" s="5"/>
      <c r="AX527" s="40"/>
      <c r="AY527" s="5"/>
      <c r="BA527" s="40"/>
      <c r="BB527" s="5"/>
      <c r="BD527" s="40"/>
      <c r="BE527" s="5"/>
      <c r="BG527" s="40"/>
      <c r="BH527" s="5"/>
      <c r="BJ527" s="40"/>
      <c r="BK527" s="5"/>
      <c r="BM527" s="40"/>
      <c r="BN527" s="5"/>
      <c r="BP527" s="40"/>
      <c r="BQ527" s="5"/>
      <c r="BS527" s="40"/>
      <c r="BT527" s="5"/>
      <c r="BV527" s="40"/>
      <c r="BW527" s="5"/>
      <c r="BY527" s="40"/>
      <c r="BZ527" s="5"/>
      <c r="CB527" s="40"/>
      <c r="CC527" s="5"/>
      <c r="CE527" s="40"/>
      <c r="CF527" s="5"/>
      <c r="CH527" s="40"/>
      <c r="CI527" s="5"/>
      <c r="CK527" s="40"/>
      <c r="CL527" s="5"/>
      <c r="CN527" s="40"/>
      <c r="CO527" s="5"/>
      <c r="CQ527" s="40"/>
      <c r="CR527" s="5"/>
    </row>
    <row r="528">
      <c r="AO528" s="40"/>
      <c r="AP528" s="5"/>
      <c r="AR528" s="40"/>
      <c r="AS528" s="5"/>
      <c r="AU528" s="40"/>
      <c r="AV528" s="5"/>
      <c r="AX528" s="40"/>
      <c r="AY528" s="5"/>
      <c r="BA528" s="40"/>
      <c r="BB528" s="5"/>
      <c r="BD528" s="40"/>
      <c r="BE528" s="5"/>
      <c r="BG528" s="40"/>
      <c r="BH528" s="5"/>
      <c r="BJ528" s="40"/>
      <c r="BK528" s="5"/>
      <c r="BM528" s="40"/>
      <c r="BN528" s="5"/>
      <c r="BP528" s="40"/>
      <c r="BQ528" s="5"/>
      <c r="BS528" s="40"/>
      <c r="BT528" s="5"/>
      <c r="BV528" s="40"/>
      <c r="BW528" s="5"/>
      <c r="BY528" s="40"/>
      <c r="BZ528" s="5"/>
      <c r="CB528" s="40"/>
      <c r="CC528" s="5"/>
      <c r="CE528" s="40"/>
      <c r="CF528" s="5"/>
      <c r="CH528" s="40"/>
      <c r="CI528" s="5"/>
      <c r="CK528" s="40"/>
      <c r="CL528" s="5"/>
      <c r="CN528" s="40"/>
      <c r="CO528" s="5"/>
      <c r="CQ528" s="40"/>
      <c r="CR528" s="5"/>
    </row>
    <row r="529">
      <c r="AO529" s="40"/>
      <c r="AP529" s="5"/>
      <c r="AR529" s="40"/>
      <c r="AS529" s="5"/>
      <c r="AU529" s="40"/>
      <c r="AV529" s="5"/>
      <c r="AX529" s="40"/>
      <c r="AY529" s="5"/>
      <c r="BA529" s="40"/>
      <c r="BB529" s="5"/>
      <c r="BD529" s="40"/>
      <c r="BE529" s="5"/>
      <c r="BG529" s="40"/>
      <c r="BH529" s="5"/>
      <c r="BJ529" s="40"/>
      <c r="BK529" s="5"/>
      <c r="BM529" s="40"/>
      <c r="BN529" s="5"/>
      <c r="BP529" s="40"/>
      <c r="BQ529" s="5"/>
      <c r="BS529" s="40"/>
      <c r="BT529" s="5"/>
      <c r="BV529" s="40"/>
      <c r="BW529" s="5"/>
      <c r="BY529" s="40"/>
      <c r="BZ529" s="5"/>
      <c r="CB529" s="40"/>
      <c r="CC529" s="5"/>
      <c r="CE529" s="40"/>
      <c r="CF529" s="5"/>
      <c r="CH529" s="40"/>
      <c r="CI529" s="5"/>
      <c r="CK529" s="40"/>
      <c r="CL529" s="5"/>
      <c r="CN529" s="40"/>
      <c r="CO529" s="5"/>
      <c r="CQ529" s="40"/>
      <c r="CR529" s="5"/>
    </row>
    <row r="530">
      <c r="AO530" s="40"/>
      <c r="AP530" s="5"/>
      <c r="AR530" s="40"/>
      <c r="AS530" s="5"/>
      <c r="AU530" s="40"/>
      <c r="AV530" s="5"/>
      <c r="AX530" s="40"/>
      <c r="AY530" s="5"/>
      <c r="BA530" s="40"/>
      <c r="BB530" s="5"/>
      <c r="BD530" s="40"/>
      <c r="BE530" s="5"/>
      <c r="BG530" s="40"/>
      <c r="BH530" s="5"/>
      <c r="BJ530" s="40"/>
      <c r="BK530" s="5"/>
      <c r="BM530" s="40"/>
      <c r="BN530" s="5"/>
      <c r="BP530" s="40"/>
      <c r="BQ530" s="5"/>
      <c r="BS530" s="40"/>
      <c r="BT530" s="5"/>
      <c r="BV530" s="40"/>
      <c r="BW530" s="5"/>
      <c r="BY530" s="40"/>
      <c r="BZ530" s="5"/>
      <c r="CB530" s="40"/>
      <c r="CC530" s="5"/>
      <c r="CE530" s="40"/>
      <c r="CF530" s="5"/>
      <c r="CH530" s="40"/>
      <c r="CI530" s="5"/>
      <c r="CK530" s="40"/>
      <c r="CL530" s="5"/>
      <c r="CN530" s="40"/>
      <c r="CO530" s="5"/>
      <c r="CQ530" s="40"/>
      <c r="CR530" s="5"/>
    </row>
    <row r="531">
      <c r="AO531" s="40"/>
      <c r="AP531" s="5"/>
      <c r="AR531" s="40"/>
      <c r="AS531" s="5"/>
      <c r="AU531" s="40"/>
      <c r="AV531" s="5"/>
      <c r="AX531" s="40"/>
      <c r="AY531" s="5"/>
      <c r="BA531" s="40"/>
      <c r="BB531" s="5"/>
      <c r="BD531" s="40"/>
      <c r="BE531" s="5"/>
      <c r="BG531" s="40"/>
      <c r="BH531" s="5"/>
      <c r="BJ531" s="40"/>
      <c r="BK531" s="5"/>
      <c r="BM531" s="40"/>
      <c r="BN531" s="5"/>
      <c r="BP531" s="40"/>
      <c r="BQ531" s="5"/>
      <c r="BS531" s="40"/>
      <c r="BT531" s="5"/>
      <c r="BV531" s="40"/>
      <c r="BW531" s="5"/>
      <c r="BY531" s="40"/>
      <c r="BZ531" s="5"/>
      <c r="CB531" s="40"/>
      <c r="CC531" s="5"/>
      <c r="CE531" s="40"/>
      <c r="CF531" s="5"/>
      <c r="CH531" s="40"/>
      <c r="CI531" s="5"/>
      <c r="CK531" s="40"/>
      <c r="CL531" s="5"/>
      <c r="CN531" s="40"/>
      <c r="CO531" s="5"/>
      <c r="CQ531" s="40"/>
      <c r="CR531" s="5"/>
    </row>
    <row r="532">
      <c r="AO532" s="40"/>
      <c r="AP532" s="5"/>
      <c r="AR532" s="40"/>
      <c r="AS532" s="5"/>
      <c r="AU532" s="40"/>
      <c r="AV532" s="5"/>
      <c r="AX532" s="40"/>
      <c r="AY532" s="5"/>
      <c r="BA532" s="40"/>
      <c r="BB532" s="5"/>
      <c r="BD532" s="40"/>
      <c r="BE532" s="5"/>
      <c r="BG532" s="40"/>
      <c r="BH532" s="5"/>
      <c r="BJ532" s="40"/>
      <c r="BK532" s="5"/>
      <c r="BM532" s="40"/>
      <c r="BN532" s="5"/>
      <c r="BP532" s="40"/>
      <c r="BQ532" s="5"/>
      <c r="BS532" s="40"/>
      <c r="BT532" s="5"/>
      <c r="BV532" s="40"/>
      <c r="BW532" s="5"/>
      <c r="BY532" s="40"/>
      <c r="BZ532" s="5"/>
      <c r="CB532" s="40"/>
      <c r="CC532" s="5"/>
      <c r="CE532" s="40"/>
      <c r="CF532" s="5"/>
      <c r="CH532" s="40"/>
      <c r="CI532" s="5"/>
      <c r="CK532" s="40"/>
      <c r="CL532" s="5"/>
      <c r="CN532" s="40"/>
      <c r="CO532" s="5"/>
      <c r="CQ532" s="40"/>
      <c r="CR532" s="5"/>
    </row>
    <row r="533">
      <c r="AO533" s="40"/>
      <c r="AP533" s="5"/>
      <c r="AR533" s="40"/>
      <c r="AS533" s="5"/>
      <c r="AU533" s="40"/>
      <c r="AV533" s="5"/>
      <c r="AX533" s="40"/>
      <c r="AY533" s="5"/>
      <c r="BA533" s="40"/>
      <c r="BB533" s="5"/>
      <c r="BD533" s="40"/>
      <c r="BE533" s="5"/>
      <c r="BG533" s="40"/>
      <c r="BH533" s="5"/>
      <c r="BJ533" s="40"/>
      <c r="BK533" s="5"/>
      <c r="BM533" s="40"/>
      <c r="BN533" s="5"/>
      <c r="BP533" s="40"/>
      <c r="BQ533" s="5"/>
      <c r="BS533" s="40"/>
      <c r="BT533" s="5"/>
      <c r="BV533" s="40"/>
      <c r="BW533" s="5"/>
      <c r="BY533" s="40"/>
      <c r="BZ533" s="5"/>
      <c r="CB533" s="40"/>
      <c r="CC533" s="5"/>
      <c r="CE533" s="40"/>
      <c r="CF533" s="5"/>
      <c r="CH533" s="40"/>
      <c r="CI533" s="5"/>
      <c r="CK533" s="40"/>
      <c r="CL533" s="5"/>
      <c r="CN533" s="40"/>
      <c r="CO533" s="5"/>
      <c r="CQ533" s="40"/>
      <c r="CR533" s="5"/>
    </row>
    <row r="534">
      <c r="AO534" s="40"/>
      <c r="AP534" s="5"/>
      <c r="AR534" s="40"/>
      <c r="AS534" s="5"/>
      <c r="AU534" s="40"/>
      <c r="AV534" s="5"/>
      <c r="AX534" s="40"/>
      <c r="AY534" s="5"/>
      <c r="BA534" s="40"/>
      <c r="BB534" s="5"/>
      <c r="BD534" s="40"/>
      <c r="BE534" s="5"/>
      <c r="BG534" s="40"/>
      <c r="BH534" s="5"/>
      <c r="BJ534" s="40"/>
      <c r="BK534" s="5"/>
      <c r="BM534" s="40"/>
      <c r="BN534" s="5"/>
      <c r="BP534" s="40"/>
      <c r="BQ534" s="5"/>
      <c r="BS534" s="40"/>
      <c r="BT534" s="5"/>
      <c r="BV534" s="40"/>
      <c r="BW534" s="5"/>
      <c r="BY534" s="40"/>
      <c r="BZ534" s="5"/>
      <c r="CB534" s="40"/>
      <c r="CC534" s="5"/>
      <c r="CE534" s="40"/>
      <c r="CF534" s="5"/>
      <c r="CH534" s="40"/>
      <c r="CI534" s="5"/>
      <c r="CK534" s="40"/>
      <c r="CL534" s="5"/>
      <c r="CN534" s="40"/>
      <c r="CO534" s="5"/>
      <c r="CQ534" s="40"/>
      <c r="CR534" s="5"/>
    </row>
    <row r="535">
      <c r="AO535" s="40"/>
      <c r="AP535" s="5"/>
      <c r="AR535" s="40"/>
      <c r="AS535" s="5"/>
      <c r="AU535" s="40"/>
      <c r="AV535" s="5"/>
      <c r="AX535" s="40"/>
      <c r="AY535" s="5"/>
      <c r="BA535" s="40"/>
      <c r="BB535" s="5"/>
      <c r="BD535" s="40"/>
      <c r="BE535" s="5"/>
      <c r="BG535" s="40"/>
      <c r="BH535" s="5"/>
      <c r="BJ535" s="40"/>
      <c r="BK535" s="5"/>
      <c r="BM535" s="40"/>
      <c r="BN535" s="5"/>
      <c r="BP535" s="40"/>
      <c r="BQ535" s="5"/>
      <c r="BS535" s="40"/>
      <c r="BT535" s="5"/>
      <c r="BV535" s="40"/>
      <c r="BW535" s="5"/>
      <c r="BY535" s="40"/>
      <c r="BZ535" s="5"/>
      <c r="CB535" s="40"/>
      <c r="CC535" s="5"/>
      <c r="CE535" s="40"/>
      <c r="CF535" s="5"/>
      <c r="CH535" s="40"/>
      <c r="CI535" s="5"/>
      <c r="CK535" s="40"/>
      <c r="CL535" s="5"/>
      <c r="CN535" s="40"/>
      <c r="CO535" s="5"/>
      <c r="CQ535" s="40"/>
      <c r="CR535" s="5"/>
    </row>
    <row r="536">
      <c r="AO536" s="40"/>
      <c r="AP536" s="5"/>
      <c r="AR536" s="40"/>
      <c r="AS536" s="5"/>
      <c r="AU536" s="40"/>
      <c r="AV536" s="5"/>
      <c r="AX536" s="40"/>
      <c r="AY536" s="5"/>
      <c r="BA536" s="40"/>
      <c r="BB536" s="5"/>
      <c r="BD536" s="40"/>
      <c r="BE536" s="5"/>
      <c r="BG536" s="40"/>
      <c r="BH536" s="5"/>
      <c r="BJ536" s="40"/>
      <c r="BK536" s="5"/>
      <c r="BM536" s="40"/>
      <c r="BN536" s="5"/>
      <c r="BP536" s="40"/>
      <c r="BQ536" s="5"/>
      <c r="BS536" s="40"/>
      <c r="BT536" s="5"/>
      <c r="BV536" s="40"/>
      <c r="BW536" s="5"/>
      <c r="BY536" s="40"/>
      <c r="BZ536" s="5"/>
      <c r="CB536" s="40"/>
      <c r="CC536" s="5"/>
      <c r="CE536" s="40"/>
      <c r="CF536" s="5"/>
      <c r="CH536" s="40"/>
      <c r="CI536" s="5"/>
      <c r="CK536" s="40"/>
      <c r="CL536" s="5"/>
      <c r="CN536" s="40"/>
      <c r="CO536" s="5"/>
      <c r="CQ536" s="40"/>
      <c r="CR536" s="5"/>
    </row>
    <row r="537">
      <c r="AO537" s="40"/>
      <c r="AP537" s="5"/>
      <c r="AR537" s="40"/>
      <c r="AS537" s="5"/>
      <c r="AU537" s="40"/>
      <c r="AV537" s="5"/>
      <c r="AX537" s="40"/>
      <c r="AY537" s="5"/>
      <c r="BA537" s="40"/>
      <c r="BB537" s="5"/>
      <c r="BD537" s="40"/>
      <c r="BE537" s="5"/>
      <c r="BG537" s="40"/>
      <c r="BH537" s="5"/>
      <c r="BJ537" s="40"/>
      <c r="BK537" s="5"/>
      <c r="BM537" s="40"/>
      <c r="BN537" s="5"/>
      <c r="BP537" s="40"/>
      <c r="BQ537" s="5"/>
      <c r="BS537" s="40"/>
      <c r="BT537" s="5"/>
      <c r="BV537" s="40"/>
      <c r="BW537" s="5"/>
      <c r="BY537" s="40"/>
      <c r="BZ537" s="5"/>
      <c r="CB537" s="40"/>
      <c r="CC537" s="5"/>
      <c r="CE537" s="40"/>
      <c r="CF537" s="5"/>
      <c r="CH537" s="40"/>
      <c r="CI537" s="5"/>
      <c r="CK537" s="40"/>
      <c r="CL537" s="5"/>
      <c r="CN537" s="40"/>
      <c r="CO537" s="5"/>
      <c r="CQ537" s="40"/>
      <c r="CR537" s="5"/>
    </row>
    <row r="538">
      <c r="AO538" s="40"/>
      <c r="AP538" s="5"/>
      <c r="AR538" s="40"/>
      <c r="AS538" s="5"/>
      <c r="AU538" s="40"/>
      <c r="AV538" s="5"/>
      <c r="AX538" s="40"/>
      <c r="AY538" s="5"/>
      <c r="BA538" s="40"/>
      <c r="BB538" s="5"/>
      <c r="BD538" s="40"/>
      <c r="BE538" s="5"/>
      <c r="BG538" s="40"/>
      <c r="BH538" s="5"/>
      <c r="BJ538" s="40"/>
      <c r="BK538" s="5"/>
      <c r="BM538" s="40"/>
      <c r="BN538" s="5"/>
      <c r="BP538" s="40"/>
      <c r="BQ538" s="5"/>
      <c r="BS538" s="40"/>
      <c r="BT538" s="5"/>
      <c r="BV538" s="40"/>
      <c r="BW538" s="5"/>
      <c r="BY538" s="40"/>
      <c r="BZ538" s="5"/>
      <c r="CB538" s="40"/>
      <c r="CC538" s="5"/>
      <c r="CE538" s="40"/>
      <c r="CF538" s="5"/>
      <c r="CH538" s="40"/>
      <c r="CI538" s="5"/>
      <c r="CK538" s="40"/>
      <c r="CL538" s="5"/>
      <c r="CN538" s="40"/>
      <c r="CO538" s="5"/>
      <c r="CQ538" s="40"/>
      <c r="CR538" s="5"/>
    </row>
    <row r="539">
      <c r="AO539" s="40"/>
      <c r="AP539" s="5"/>
      <c r="AR539" s="40"/>
      <c r="AS539" s="5"/>
      <c r="AU539" s="40"/>
      <c r="AV539" s="5"/>
      <c r="AX539" s="40"/>
      <c r="AY539" s="5"/>
      <c r="BA539" s="40"/>
      <c r="BB539" s="5"/>
      <c r="BD539" s="40"/>
      <c r="BE539" s="5"/>
      <c r="BG539" s="40"/>
      <c r="BH539" s="5"/>
      <c r="BJ539" s="40"/>
      <c r="BK539" s="5"/>
      <c r="BM539" s="40"/>
      <c r="BN539" s="5"/>
      <c r="BP539" s="40"/>
      <c r="BQ539" s="5"/>
      <c r="BS539" s="40"/>
      <c r="BT539" s="5"/>
      <c r="BV539" s="40"/>
      <c r="BW539" s="5"/>
      <c r="BY539" s="40"/>
      <c r="BZ539" s="5"/>
      <c r="CB539" s="40"/>
      <c r="CC539" s="5"/>
      <c r="CE539" s="40"/>
      <c r="CF539" s="5"/>
      <c r="CH539" s="40"/>
      <c r="CI539" s="5"/>
      <c r="CK539" s="40"/>
      <c r="CL539" s="5"/>
      <c r="CN539" s="40"/>
      <c r="CO539" s="5"/>
      <c r="CQ539" s="40"/>
      <c r="CR539" s="5"/>
    </row>
    <row r="540">
      <c r="AO540" s="40"/>
      <c r="AP540" s="5"/>
      <c r="AR540" s="40"/>
      <c r="AS540" s="5"/>
      <c r="AU540" s="40"/>
      <c r="AV540" s="5"/>
      <c r="AX540" s="40"/>
      <c r="AY540" s="5"/>
      <c r="BA540" s="40"/>
      <c r="BB540" s="5"/>
      <c r="BD540" s="40"/>
      <c r="BE540" s="5"/>
      <c r="BG540" s="40"/>
      <c r="BH540" s="5"/>
      <c r="BJ540" s="40"/>
      <c r="BK540" s="5"/>
      <c r="BM540" s="40"/>
      <c r="BN540" s="5"/>
      <c r="BP540" s="40"/>
      <c r="BQ540" s="5"/>
      <c r="BS540" s="40"/>
      <c r="BT540" s="5"/>
      <c r="BV540" s="40"/>
      <c r="BW540" s="5"/>
      <c r="BY540" s="40"/>
      <c r="BZ540" s="5"/>
      <c r="CB540" s="40"/>
      <c r="CC540" s="5"/>
      <c r="CE540" s="40"/>
      <c r="CF540" s="5"/>
      <c r="CH540" s="40"/>
      <c r="CI540" s="5"/>
      <c r="CK540" s="40"/>
      <c r="CL540" s="5"/>
      <c r="CN540" s="40"/>
      <c r="CO540" s="5"/>
      <c r="CQ540" s="40"/>
      <c r="CR540" s="5"/>
    </row>
    <row r="541">
      <c r="AO541" s="40"/>
      <c r="AP541" s="5"/>
      <c r="AR541" s="40"/>
      <c r="AS541" s="5"/>
      <c r="AU541" s="40"/>
      <c r="AV541" s="5"/>
      <c r="AX541" s="40"/>
      <c r="AY541" s="5"/>
      <c r="BA541" s="40"/>
      <c r="BB541" s="5"/>
      <c r="BD541" s="40"/>
      <c r="BE541" s="5"/>
      <c r="BG541" s="40"/>
      <c r="BH541" s="5"/>
      <c r="BJ541" s="40"/>
      <c r="BK541" s="5"/>
      <c r="BM541" s="40"/>
      <c r="BN541" s="5"/>
      <c r="BP541" s="40"/>
      <c r="BQ541" s="5"/>
      <c r="BS541" s="40"/>
      <c r="BT541" s="5"/>
      <c r="BV541" s="40"/>
      <c r="BW541" s="5"/>
      <c r="BY541" s="40"/>
      <c r="BZ541" s="5"/>
      <c r="CB541" s="40"/>
      <c r="CC541" s="5"/>
      <c r="CE541" s="40"/>
      <c r="CF541" s="5"/>
      <c r="CH541" s="40"/>
      <c r="CI541" s="5"/>
      <c r="CK541" s="40"/>
      <c r="CL541" s="5"/>
      <c r="CN541" s="40"/>
      <c r="CO541" s="5"/>
      <c r="CQ541" s="40"/>
      <c r="CR541" s="5"/>
    </row>
    <row r="542">
      <c r="AO542" s="40"/>
      <c r="AP542" s="5"/>
      <c r="AR542" s="40"/>
      <c r="AS542" s="5"/>
      <c r="AU542" s="40"/>
      <c r="AV542" s="5"/>
      <c r="AX542" s="40"/>
      <c r="AY542" s="5"/>
      <c r="BA542" s="40"/>
      <c r="BB542" s="5"/>
      <c r="BD542" s="40"/>
      <c r="BE542" s="5"/>
      <c r="BG542" s="40"/>
      <c r="BH542" s="5"/>
      <c r="BJ542" s="40"/>
      <c r="BK542" s="5"/>
      <c r="BM542" s="40"/>
      <c r="BN542" s="5"/>
      <c r="BP542" s="40"/>
      <c r="BQ542" s="5"/>
      <c r="BS542" s="40"/>
      <c r="BT542" s="5"/>
      <c r="BV542" s="40"/>
      <c r="BW542" s="5"/>
      <c r="BY542" s="40"/>
      <c r="BZ542" s="5"/>
      <c r="CB542" s="40"/>
      <c r="CC542" s="5"/>
      <c r="CE542" s="40"/>
      <c r="CF542" s="5"/>
      <c r="CH542" s="40"/>
      <c r="CI542" s="5"/>
      <c r="CK542" s="40"/>
      <c r="CL542" s="5"/>
      <c r="CN542" s="40"/>
      <c r="CO542" s="5"/>
      <c r="CQ542" s="40"/>
      <c r="CR542" s="5"/>
    </row>
    <row r="543">
      <c r="AO543" s="40"/>
      <c r="AP543" s="5"/>
      <c r="AR543" s="40"/>
      <c r="AS543" s="5"/>
      <c r="AU543" s="40"/>
      <c r="AV543" s="5"/>
      <c r="AX543" s="40"/>
      <c r="AY543" s="5"/>
      <c r="BA543" s="40"/>
      <c r="BB543" s="5"/>
      <c r="BD543" s="40"/>
      <c r="BE543" s="5"/>
      <c r="BG543" s="40"/>
      <c r="BH543" s="5"/>
      <c r="BJ543" s="40"/>
      <c r="BK543" s="5"/>
      <c r="BM543" s="40"/>
      <c r="BN543" s="5"/>
      <c r="BP543" s="40"/>
      <c r="BQ543" s="5"/>
      <c r="BS543" s="40"/>
      <c r="BT543" s="5"/>
      <c r="BV543" s="40"/>
      <c r="BW543" s="5"/>
      <c r="BY543" s="40"/>
      <c r="BZ543" s="5"/>
      <c r="CB543" s="40"/>
      <c r="CC543" s="5"/>
      <c r="CE543" s="40"/>
      <c r="CF543" s="5"/>
      <c r="CH543" s="40"/>
      <c r="CI543" s="5"/>
      <c r="CK543" s="40"/>
      <c r="CL543" s="5"/>
      <c r="CN543" s="40"/>
      <c r="CO543" s="5"/>
      <c r="CQ543" s="40"/>
      <c r="CR543" s="5"/>
    </row>
    <row r="544">
      <c r="AO544" s="40"/>
      <c r="AP544" s="5"/>
      <c r="AR544" s="40"/>
      <c r="AS544" s="5"/>
      <c r="AU544" s="40"/>
      <c r="AV544" s="5"/>
      <c r="AX544" s="40"/>
      <c r="AY544" s="5"/>
      <c r="BA544" s="40"/>
      <c r="BB544" s="5"/>
      <c r="BD544" s="40"/>
      <c r="BE544" s="5"/>
      <c r="BG544" s="40"/>
      <c r="BH544" s="5"/>
      <c r="BJ544" s="40"/>
      <c r="BK544" s="5"/>
      <c r="BM544" s="40"/>
      <c r="BN544" s="5"/>
      <c r="BP544" s="40"/>
      <c r="BQ544" s="5"/>
      <c r="BS544" s="40"/>
      <c r="BT544" s="5"/>
      <c r="BV544" s="40"/>
      <c r="BW544" s="5"/>
      <c r="BY544" s="40"/>
      <c r="BZ544" s="5"/>
      <c r="CB544" s="40"/>
      <c r="CC544" s="5"/>
      <c r="CE544" s="40"/>
      <c r="CF544" s="5"/>
      <c r="CH544" s="40"/>
      <c r="CI544" s="5"/>
      <c r="CK544" s="40"/>
      <c r="CL544" s="5"/>
      <c r="CN544" s="40"/>
      <c r="CO544" s="5"/>
      <c r="CQ544" s="40"/>
      <c r="CR544" s="5"/>
    </row>
    <row r="545">
      <c r="AO545" s="40"/>
      <c r="AP545" s="5"/>
      <c r="AR545" s="40"/>
      <c r="AS545" s="5"/>
      <c r="AU545" s="40"/>
      <c r="AV545" s="5"/>
      <c r="AX545" s="40"/>
      <c r="AY545" s="5"/>
      <c r="BA545" s="40"/>
      <c r="BB545" s="5"/>
      <c r="BD545" s="40"/>
      <c r="BE545" s="5"/>
      <c r="BG545" s="40"/>
      <c r="BH545" s="5"/>
      <c r="BJ545" s="40"/>
      <c r="BK545" s="5"/>
      <c r="BM545" s="40"/>
      <c r="BN545" s="5"/>
      <c r="BP545" s="40"/>
      <c r="BQ545" s="5"/>
      <c r="BS545" s="40"/>
      <c r="BT545" s="5"/>
      <c r="BV545" s="40"/>
      <c r="BW545" s="5"/>
      <c r="BY545" s="40"/>
      <c r="BZ545" s="5"/>
      <c r="CB545" s="40"/>
      <c r="CC545" s="5"/>
      <c r="CE545" s="40"/>
      <c r="CF545" s="5"/>
      <c r="CH545" s="40"/>
      <c r="CI545" s="5"/>
      <c r="CK545" s="40"/>
      <c r="CL545" s="5"/>
      <c r="CN545" s="40"/>
      <c r="CO545" s="5"/>
      <c r="CQ545" s="40"/>
      <c r="CR545" s="5"/>
    </row>
    <row r="546">
      <c r="AO546" s="40"/>
      <c r="AP546" s="5"/>
      <c r="AR546" s="40"/>
      <c r="AS546" s="5"/>
      <c r="AU546" s="40"/>
      <c r="AV546" s="5"/>
      <c r="AX546" s="40"/>
      <c r="AY546" s="5"/>
      <c r="BA546" s="40"/>
      <c r="BB546" s="5"/>
      <c r="BD546" s="40"/>
      <c r="BE546" s="5"/>
      <c r="BG546" s="40"/>
      <c r="BH546" s="5"/>
      <c r="BJ546" s="40"/>
      <c r="BK546" s="5"/>
      <c r="BM546" s="40"/>
      <c r="BN546" s="5"/>
      <c r="BP546" s="40"/>
      <c r="BQ546" s="5"/>
      <c r="BS546" s="40"/>
      <c r="BT546" s="5"/>
      <c r="BV546" s="40"/>
      <c r="BW546" s="5"/>
      <c r="BY546" s="40"/>
      <c r="BZ546" s="5"/>
      <c r="CB546" s="40"/>
      <c r="CC546" s="5"/>
      <c r="CE546" s="40"/>
      <c r="CF546" s="5"/>
      <c r="CH546" s="40"/>
      <c r="CI546" s="5"/>
      <c r="CK546" s="40"/>
      <c r="CL546" s="5"/>
      <c r="CN546" s="40"/>
      <c r="CO546" s="5"/>
      <c r="CQ546" s="40"/>
      <c r="CR546" s="5"/>
    </row>
    <row r="547">
      <c r="AO547" s="40"/>
      <c r="AP547" s="5"/>
      <c r="AR547" s="40"/>
      <c r="AS547" s="5"/>
      <c r="AU547" s="40"/>
      <c r="AV547" s="5"/>
      <c r="AX547" s="40"/>
      <c r="AY547" s="5"/>
      <c r="BA547" s="40"/>
      <c r="BB547" s="5"/>
      <c r="BD547" s="40"/>
      <c r="BE547" s="5"/>
      <c r="BG547" s="40"/>
      <c r="BH547" s="5"/>
      <c r="BJ547" s="40"/>
      <c r="BK547" s="5"/>
      <c r="BM547" s="40"/>
      <c r="BN547" s="5"/>
      <c r="BP547" s="40"/>
      <c r="BQ547" s="5"/>
      <c r="BS547" s="40"/>
      <c r="BT547" s="5"/>
      <c r="BV547" s="40"/>
      <c r="BW547" s="5"/>
      <c r="BY547" s="40"/>
      <c r="BZ547" s="5"/>
      <c r="CB547" s="40"/>
      <c r="CC547" s="5"/>
      <c r="CE547" s="40"/>
      <c r="CF547" s="5"/>
      <c r="CH547" s="40"/>
      <c r="CI547" s="5"/>
      <c r="CK547" s="40"/>
      <c r="CL547" s="5"/>
      <c r="CN547" s="40"/>
      <c r="CO547" s="5"/>
      <c r="CQ547" s="40"/>
      <c r="CR547" s="5"/>
    </row>
    <row r="548">
      <c r="AO548" s="40"/>
      <c r="AP548" s="5"/>
      <c r="AR548" s="40"/>
      <c r="AS548" s="5"/>
      <c r="AU548" s="40"/>
      <c r="AV548" s="5"/>
      <c r="AX548" s="40"/>
      <c r="AY548" s="5"/>
      <c r="BA548" s="40"/>
      <c r="BB548" s="5"/>
      <c r="BD548" s="40"/>
      <c r="BE548" s="5"/>
      <c r="BG548" s="40"/>
      <c r="BH548" s="5"/>
      <c r="BJ548" s="40"/>
      <c r="BK548" s="5"/>
      <c r="BM548" s="40"/>
      <c r="BN548" s="5"/>
      <c r="BP548" s="40"/>
      <c r="BQ548" s="5"/>
      <c r="BS548" s="40"/>
      <c r="BT548" s="5"/>
      <c r="BV548" s="40"/>
      <c r="BW548" s="5"/>
      <c r="BY548" s="40"/>
      <c r="BZ548" s="5"/>
      <c r="CB548" s="40"/>
      <c r="CC548" s="5"/>
      <c r="CE548" s="40"/>
      <c r="CF548" s="5"/>
      <c r="CH548" s="40"/>
      <c r="CI548" s="5"/>
      <c r="CK548" s="40"/>
      <c r="CL548" s="5"/>
      <c r="CN548" s="40"/>
      <c r="CO548" s="5"/>
      <c r="CQ548" s="40"/>
      <c r="CR548" s="5"/>
    </row>
    <row r="549">
      <c r="AO549" s="40"/>
      <c r="AP549" s="5"/>
      <c r="AR549" s="40"/>
      <c r="AS549" s="5"/>
      <c r="AU549" s="40"/>
      <c r="AV549" s="5"/>
      <c r="AX549" s="40"/>
      <c r="AY549" s="5"/>
      <c r="BA549" s="40"/>
      <c r="BB549" s="5"/>
      <c r="BD549" s="40"/>
      <c r="BE549" s="5"/>
      <c r="BG549" s="40"/>
      <c r="BH549" s="5"/>
      <c r="BJ549" s="40"/>
      <c r="BK549" s="5"/>
      <c r="BM549" s="40"/>
      <c r="BN549" s="5"/>
      <c r="BP549" s="40"/>
      <c r="BQ549" s="5"/>
      <c r="BS549" s="40"/>
      <c r="BT549" s="5"/>
      <c r="BV549" s="40"/>
      <c r="BW549" s="5"/>
      <c r="BY549" s="40"/>
      <c r="BZ549" s="5"/>
      <c r="CB549" s="40"/>
      <c r="CC549" s="5"/>
      <c r="CE549" s="40"/>
      <c r="CF549" s="5"/>
      <c r="CH549" s="40"/>
      <c r="CI549" s="5"/>
      <c r="CK549" s="40"/>
      <c r="CL549" s="5"/>
      <c r="CN549" s="40"/>
      <c r="CO549" s="5"/>
      <c r="CQ549" s="40"/>
      <c r="CR549" s="5"/>
    </row>
    <row r="550">
      <c r="AO550" s="40"/>
      <c r="AP550" s="5"/>
      <c r="AR550" s="40"/>
      <c r="AS550" s="5"/>
      <c r="AU550" s="40"/>
      <c r="AV550" s="5"/>
      <c r="AX550" s="40"/>
      <c r="AY550" s="5"/>
      <c r="BA550" s="40"/>
      <c r="BB550" s="5"/>
      <c r="BD550" s="40"/>
      <c r="BE550" s="5"/>
      <c r="BG550" s="40"/>
      <c r="BH550" s="5"/>
      <c r="BJ550" s="40"/>
      <c r="BK550" s="5"/>
      <c r="BM550" s="40"/>
      <c r="BN550" s="5"/>
      <c r="BP550" s="40"/>
      <c r="BQ550" s="5"/>
      <c r="BS550" s="40"/>
      <c r="BT550" s="5"/>
      <c r="BV550" s="40"/>
      <c r="BW550" s="5"/>
      <c r="BY550" s="40"/>
      <c r="BZ550" s="5"/>
      <c r="CB550" s="40"/>
      <c r="CC550" s="5"/>
      <c r="CE550" s="40"/>
      <c r="CF550" s="5"/>
      <c r="CH550" s="40"/>
      <c r="CI550" s="5"/>
      <c r="CK550" s="40"/>
      <c r="CL550" s="5"/>
      <c r="CN550" s="40"/>
      <c r="CO550" s="5"/>
      <c r="CQ550" s="40"/>
      <c r="CR550" s="5"/>
    </row>
    <row r="551">
      <c r="AO551" s="40"/>
      <c r="AP551" s="5"/>
      <c r="AR551" s="40"/>
      <c r="AS551" s="5"/>
      <c r="AU551" s="40"/>
      <c r="AV551" s="5"/>
      <c r="AX551" s="40"/>
      <c r="AY551" s="5"/>
      <c r="BA551" s="40"/>
      <c r="BB551" s="5"/>
      <c r="BD551" s="40"/>
      <c r="BE551" s="5"/>
      <c r="BG551" s="40"/>
      <c r="BH551" s="5"/>
      <c r="BJ551" s="40"/>
      <c r="BK551" s="5"/>
      <c r="BM551" s="40"/>
      <c r="BN551" s="5"/>
      <c r="BP551" s="40"/>
      <c r="BQ551" s="5"/>
      <c r="BS551" s="40"/>
      <c r="BT551" s="5"/>
      <c r="BV551" s="40"/>
      <c r="BW551" s="5"/>
      <c r="BY551" s="40"/>
      <c r="BZ551" s="5"/>
      <c r="CB551" s="40"/>
      <c r="CC551" s="5"/>
      <c r="CE551" s="40"/>
      <c r="CF551" s="5"/>
      <c r="CH551" s="40"/>
      <c r="CI551" s="5"/>
      <c r="CK551" s="40"/>
      <c r="CL551" s="5"/>
      <c r="CN551" s="40"/>
      <c r="CO551" s="5"/>
      <c r="CQ551" s="40"/>
      <c r="CR551" s="5"/>
    </row>
    <row r="552">
      <c r="AO552" s="40"/>
      <c r="AP552" s="5"/>
      <c r="AR552" s="40"/>
      <c r="AS552" s="5"/>
      <c r="AU552" s="40"/>
      <c r="AV552" s="5"/>
      <c r="AX552" s="40"/>
      <c r="AY552" s="5"/>
      <c r="BA552" s="40"/>
      <c r="BB552" s="5"/>
      <c r="BD552" s="40"/>
      <c r="BE552" s="5"/>
      <c r="BG552" s="40"/>
      <c r="BH552" s="5"/>
      <c r="BJ552" s="40"/>
      <c r="BK552" s="5"/>
      <c r="BM552" s="40"/>
      <c r="BN552" s="5"/>
      <c r="BP552" s="40"/>
      <c r="BQ552" s="5"/>
      <c r="BS552" s="40"/>
      <c r="BT552" s="5"/>
      <c r="BV552" s="40"/>
      <c r="BW552" s="5"/>
      <c r="BY552" s="40"/>
      <c r="BZ552" s="5"/>
      <c r="CB552" s="40"/>
      <c r="CC552" s="5"/>
      <c r="CE552" s="40"/>
      <c r="CF552" s="5"/>
      <c r="CH552" s="40"/>
      <c r="CI552" s="5"/>
      <c r="CK552" s="40"/>
      <c r="CL552" s="5"/>
      <c r="CN552" s="40"/>
      <c r="CO552" s="5"/>
      <c r="CQ552" s="40"/>
      <c r="CR552" s="5"/>
    </row>
    <row r="553">
      <c r="AO553" s="40"/>
      <c r="AP553" s="5"/>
      <c r="AR553" s="40"/>
      <c r="AS553" s="5"/>
      <c r="AU553" s="40"/>
      <c r="AV553" s="5"/>
      <c r="AX553" s="40"/>
      <c r="AY553" s="5"/>
      <c r="BA553" s="40"/>
      <c r="BB553" s="5"/>
      <c r="BD553" s="40"/>
      <c r="BE553" s="5"/>
      <c r="BG553" s="40"/>
      <c r="BH553" s="5"/>
      <c r="BJ553" s="40"/>
      <c r="BK553" s="5"/>
      <c r="BM553" s="40"/>
      <c r="BN553" s="5"/>
      <c r="BP553" s="40"/>
      <c r="BQ553" s="5"/>
      <c r="BS553" s="40"/>
      <c r="BT553" s="5"/>
      <c r="BV553" s="40"/>
      <c r="BW553" s="5"/>
      <c r="BY553" s="40"/>
      <c r="BZ553" s="5"/>
      <c r="CB553" s="40"/>
      <c r="CC553" s="5"/>
      <c r="CE553" s="40"/>
      <c r="CF553" s="5"/>
      <c r="CH553" s="40"/>
      <c r="CI553" s="5"/>
      <c r="CK553" s="40"/>
      <c r="CL553" s="5"/>
      <c r="CN553" s="40"/>
      <c r="CO553" s="5"/>
      <c r="CQ553" s="40"/>
      <c r="CR553" s="5"/>
    </row>
    <row r="554">
      <c r="AO554" s="40"/>
      <c r="AP554" s="5"/>
      <c r="AR554" s="40"/>
      <c r="AS554" s="5"/>
      <c r="AU554" s="40"/>
      <c r="AV554" s="5"/>
      <c r="AX554" s="40"/>
      <c r="AY554" s="5"/>
      <c r="BA554" s="40"/>
      <c r="BB554" s="5"/>
      <c r="BD554" s="40"/>
      <c r="BE554" s="5"/>
      <c r="BG554" s="40"/>
      <c r="BH554" s="5"/>
      <c r="BJ554" s="40"/>
      <c r="BK554" s="5"/>
      <c r="BM554" s="40"/>
      <c r="BN554" s="5"/>
      <c r="BP554" s="40"/>
      <c r="BQ554" s="5"/>
      <c r="BS554" s="40"/>
      <c r="BT554" s="5"/>
      <c r="BV554" s="40"/>
      <c r="BW554" s="5"/>
      <c r="BY554" s="40"/>
      <c r="BZ554" s="5"/>
      <c r="CB554" s="40"/>
      <c r="CC554" s="5"/>
      <c r="CE554" s="40"/>
      <c r="CF554" s="5"/>
      <c r="CH554" s="40"/>
      <c r="CI554" s="5"/>
      <c r="CK554" s="40"/>
      <c r="CL554" s="5"/>
      <c r="CN554" s="40"/>
      <c r="CO554" s="5"/>
      <c r="CQ554" s="40"/>
      <c r="CR554" s="5"/>
    </row>
    <row r="555">
      <c r="AO555" s="40"/>
      <c r="AP555" s="5"/>
      <c r="AR555" s="40"/>
      <c r="AS555" s="5"/>
      <c r="AU555" s="40"/>
      <c r="AV555" s="5"/>
      <c r="AX555" s="40"/>
      <c r="AY555" s="5"/>
      <c r="BA555" s="40"/>
      <c r="BB555" s="5"/>
      <c r="BD555" s="40"/>
      <c r="BE555" s="5"/>
      <c r="BG555" s="40"/>
      <c r="BH555" s="5"/>
      <c r="BJ555" s="40"/>
      <c r="BK555" s="5"/>
      <c r="BM555" s="40"/>
      <c r="BN555" s="5"/>
      <c r="BP555" s="40"/>
      <c r="BQ555" s="5"/>
      <c r="BS555" s="40"/>
      <c r="BT555" s="5"/>
      <c r="BV555" s="40"/>
      <c r="BW555" s="5"/>
      <c r="BY555" s="40"/>
      <c r="BZ555" s="5"/>
      <c r="CB555" s="40"/>
      <c r="CC555" s="5"/>
      <c r="CE555" s="40"/>
      <c r="CF555" s="5"/>
      <c r="CH555" s="40"/>
      <c r="CI555" s="5"/>
      <c r="CK555" s="40"/>
      <c r="CL555" s="5"/>
      <c r="CN555" s="40"/>
      <c r="CO555" s="5"/>
      <c r="CQ555" s="40"/>
      <c r="CR555" s="5"/>
    </row>
    <row r="556">
      <c r="AO556" s="40"/>
      <c r="AP556" s="5"/>
      <c r="AR556" s="40"/>
      <c r="AS556" s="5"/>
      <c r="AU556" s="40"/>
      <c r="AV556" s="5"/>
      <c r="AX556" s="40"/>
      <c r="AY556" s="5"/>
      <c r="BA556" s="40"/>
      <c r="BB556" s="5"/>
      <c r="BD556" s="40"/>
      <c r="BE556" s="5"/>
      <c r="BG556" s="40"/>
      <c r="BH556" s="5"/>
      <c r="BJ556" s="40"/>
      <c r="BK556" s="5"/>
      <c r="BM556" s="40"/>
      <c r="BN556" s="5"/>
      <c r="BP556" s="40"/>
      <c r="BQ556" s="5"/>
      <c r="BS556" s="40"/>
      <c r="BT556" s="5"/>
      <c r="BV556" s="40"/>
      <c r="BW556" s="5"/>
      <c r="BY556" s="40"/>
      <c r="BZ556" s="5"/>
      <c r="CB556" s="40"/>
      <c r="CC556" s="5"/>
      <c r="CE556" s="40"/>
      <c r="CF556" s="5"/>
      <c r="CH556" s="40"/>
      <c r="CI556" s="5"/>
      <c r="CK556" s="40"/>
      <c r="CL556" s="5"/>
      <c r="CN556" s="40"/>
      <c r="CO556" s="5"/>
      <c r="CQ556" s="40"/>
      <c r="CR556" s="5"/>
    </row>
    <row r="557">
      <c r="AO557" s="40"/>
      <c r="AP557" s="5"/>
      <c r="AR557" s="40"/>
      <c r="AS557" s="5"/>
      <c r="AU557" s="40"/>
      <c r="AV557" s="5"/>
      <c r="AX557" s="40"/>
      <c r="AY557" s="5"/>
      <c r="BA557" s="40"/>
      <c r="BB557" s="5"/>
      <c r="BD557" s="40"/>
      <c r="BE557" s="5"/>
      <c r="BG557" s="40"/>
      <c r="BH557" s="5"/>
      <c r="BJ557" s="40"/>
      <c r="BK557" s="5"/>
      <c r="BM557" s="40"/>
      <c r="BN557" s="5"/>
      <c r="BP557" s="40"/>
      <c r="BQ557" s="5"/>
      <c r="BS557" s="40"/>
      <c r="BT557" s="5"/>
      <c r="BV557" s="40"/>
      <c r="BW557" s="5"/>
      <c r="BY557" s="40"/>
      <c r="BZ557" s="5"/>
      <c r="CB557" s="40"/>
      <c r="CC557" s="5"/>
      <c r="CE557" s="40"/>
      <c r="CF557" s="5"/>
      <c r="CH557" s="40"/>
      <c r="CI557" s="5"/>
      <c r="CK557" s="40"/>
      <c r="CL557" s="5"/>
      <c r="CN557" s="40"/>
      <c r="CO557" s="5"/>
      <c r="CQ557" s="40"/>
      <c r="CR557" s="5"/>
    </row>
    <row r="558">
      <c r="AO558" s="40"/>
      <c r="AP558" s="5"/>
      <c r="AR558" s="40"/>
      <c r="AS558" s="5"/>
      <c r="AU558" s="40"/>
      <c r="AV558" s="5"/>
      <c r="AX558" s="40"/>
      <c r="AY558" s="5"/>
      <c r="BA558" s="40"/>
      <c r="BB558" s="5"/>
      <c r="BD558" s="40"/>
      <c r="BE558" s="5"/>
      <c r="BG558" s="40"/>
      <c r="BH558" s="5"/>
      <c r="BJ558" s="40"/>
      <c r="BK558" s="5"/>
      <c r="BM558" s="40"/>
      <c r="BN558" s="5"/>
      <c r="BP558" s="40"/>
      <c r="BQ558" s="5"/>
      <c r="BS558" s="40"/>
      <c r="BT558" s="5"/>
      <c r="BV558" s="40"/>
      <c r="BW558" s="5"/>
      <c r="BY558" s="40"/>
      <c r="BZ558" s="5"/>
      <c r="CB558" s="40"/>
      <c r="CC558" s="5"/>
      <c r="CE558" s="40"/>
      <c r="CF558" s="5"/>
      <c r="CH558" s="40"/>
      <c r="CI558" s="5"/>
      <c r="CK558" s="40"/>
      <c r="CL558" s="5"/>
      <c r="CN558" s="40"/>
      <c r="CO558" s="5"/>
      <c r="CQ558" s="40"/>
      <c r="CR558" s="5"/>
    </row>
    <row r="559">
      <c r="AO559" s="40"/>
      <c r="AP559" s="5"/>
      <c r="AR559" s="40"/>
      <c r="AS559" s="5"/>
      <c r="AU559" s="40"/>
      <c r="AV559" s="5"/>
      <c r="AX559" s="40"/>
      <c r="AY559" s="5"/>
      <c r="BA559" s="40"/>
      <c r="BB559" s="5"/>
      <c r="BD559" s="40"/>
      <c r="BE559" s="5"/>
      <c r="BG559" s="40"/>
      <c r="BH559" s="5"/>
      <c r="BJ559" s="40"/>
      <c r="BK559" s="5"/>
      <c r="BM559" s="40"/>
      <c r="BN559" s="5"/>
      <c r="BP559" s="40"/>
      <c r="BQ559" s="5"/>
      <c r="BS559" s="40"/>
      <c r="BT559" s="5"/>
      <c r="BV559" s="40"/>
      <c r="BW559" s="5"/>
      <c r="BY559" s="40"/>
      <c r="BZ559" s="5"/>
      <c r="CB559" s="40"/>
      <c r="CC559" s="5"/>
      <c r="CE559" s="40"/>
      <c r="CF559" s="5"/>
      <c r="CH559" s="40"/>
      <c r="CI559" s="5"/>
      <c r="CK559" s="40"/>
      <c r="CL559" s="5"/>
      <c r="CN559" s="40"/>
      <c r="CO559" s="5"/>
      <c r="CQ559" s="40"/>
      <c r="CR559" s="5"/>
    </row>
    <row r="560">
      <c r="AO560" s="40"/>
      <c r="AP560" s="5"/>
      <c r="AR560" s="40"/>
      <c r="AS560" s="5"/>
      <c r="AU560" s="40"/>
      <c r="AV560" s="5"/>
      <c r="AX560" s="40"/>
      <c r="AY560" s="5"/>
      <c r="BA560" s="40"/>
      <c r="BB560" s="5"/>
      <c r="BD560" s="40"/>
      <c r="BE560" s="5"/>
      <c r="BG560" s="40"/>
      <c r="BH560" s="5"/>
      <c r="BJ560" s="40"/>
      <c r="BK560" s="5"/>
      <c r="BM560" s="40"/>
      <c r="BN560" s="5"/>
      <c r="BP560" s="40"/>
      <c r="BQ560" s="5"/>
      <c r="BS560" s="40"/>
      <c r="BT560" s="5"/>
      <c r="BV560" s="40"/>
      <c r="BW560" s="5"/>
      <c r="BY560" s="40"/>
      <c r="BZ560" s="5"/>
      <c r="CB560" s="40"/>
      <c r="CC560" s="5"/>
      <c r="CE560" s="40"/>
      <c r="CF560" s="5"/>
      <c r="CH560" s="40"/>
      <c r="CI560" s="5"/>
      <c r="CK560" s="40"/>
      <c r="CL560" s="5"/>
      <c r="CN560" s="40"/>
      <c r="CO560" s="5"/>
      <c r="CQ560" s="40"/>
      <c r="CR560" s="5"/>
    </row>
    <row r="561">
      <c r="AO561" s="40"/>
      <c r="AP561" s="5"/>
      <c r="AR561" s="40"/>
      <c r="AS561" s="5"/>
      <c r="AU561" s="40"/>
      <c r="AV561" s="5"/>
      <c r="AX561" s="40"/>
      <c r="AY561" s="5"/>
      <c r="BA561" s="40"/>
      <c r="BB561" s="5"/>
      <c r="BD561" s="40"/>
      <c r="BE561" s="5"/>
      <c r="BG561" s="40"/>
      <c r="BH561" s="5"/>
      <c r="BJ561" s="40"/>
      <c r="BK561" s="5"/>
      <c r="BM561" s="40"/>
      <c r="BN561" s="5"/>
      <c r="BP561" s="40"/>
      <c r="BQ561" s="5"/>
      <c r="BS561" s="40"/>
      <c r="BT561" s="5"/>
      <c r="BV561" s="40"/>
      <c r="BW561" s="5"/>
      <c r="BY561" s="40"/>
      <c r="BZ561" s="5"/>
      <c r="CB561" s="40"/>
      <c r="CC561" s="5"/>
      <c r="CE561" s="40"/>
      <c r="CF561" s="5"/>
      <c r="CH561" s="40"/>
      <c r="CI561" s="5"/>
      <c r="CK561" s="40"/>
      <c r="CL561" s="5"/>
      <c r="CN561" s="40"/>
      <c r="CO561" s="5"/>
      <c r="CQ561" s="40"/>
      <c r="CR561" s="5"/>
    </row>
    <row r="562">
      <c r="AO562" s="40"/>
      <c r="AP562" s="5"/>
      <c r="AR562" s="40"/>
      <c r="AS562" s="5"/>
      <c r="AU562" s="40"/>
      <c r="AV562" s="5"/>
      <c r="AX562" s="40"/>
      <c r="AY562" s="5"/>
      <c r="BA562" s="40"/>
      <c r="BB562" s="5"/>
      <c r="BD562" s="40"/>
      <c r="BE562" s="5"/>
      <c r="BG562" s="40"/>
      <c r="BH562" s="5"/>
      <c r="BJ562" s="40"/>
      <c r="BK562" s="5"/>
      <c r="BM562" s="40"/>
      <c r="BN562" s="5"/>
      <c r="BP562" s="40"/>
      <c r="BQ562" s="5"/>
      <c r="BS562" s="40"/>
      <c r="BT562" s="5"/>
      <c r="BV562" s="40"/>
      <c r="BW562" s="5"/>
      <c r="BY562" s="40"/>
      <c r="BZ562" s="5"/>
      <c r="CB562" s="40"/>
      <c r="CC562" s="5"/>
      <c r="CE562" s="40"/>
      <c r="CF562" s="5"/>
      <c r="CH562" s="40"/>
      <c r="CI562" s="5"/>
      <c r="CK562" s="40"/>
      <c r="CL562" s="5"/>
      <c r="CN562" s="40"/>
      <c r="CO562" s="5"/>
      <c r="CQ562" s="40"/>
      <c r="CR562" s="5"/>
    </row>
    <row r="563">
      <c r="AO563" s="40"/>
      <c r="AP563" s="5"/>
      <c r="AR563" s="40"/>
      <c r="AS563" s="5"/>
      <c r="AU563" s="40"/>
      <c r="AV563" s="5"/>
      <c r="AX563" s="40"/>
      <c r="AY563" s="5"/>
      <c r="BA563" s="40"/>
      <c r="BB563" s="5"/>
      <c r="BD563" s="40"/>
      <c r="BE563" s="5"/>
      <c r="BG563" s="40"/>
      <c r="BH563" s="5"/>
      <c r="BJ563" s="40"/>
      <c r="BK563" s="5"/>
      <c r="BM563" s="40"/>
      <c r="BN563" s="5"/>
      <c r="BP563" s="40"/>
      <c r="BQ563" s="5"/>
      <c r="BS563" s="40"/>
      <c r="BT563" s="5"/>
      <c r="BV563" s="40"/>
      <c r="BW563" s="5"/>
      <c r="BY563" s="40"/>
      <c r="BZ563" s="5"/>
      <c r="CB563" s="40"/>
      <c r="CC563" s="5"/>
      <c r="CE563" s="40"/>
      <c r="CF563" s="5"/>
      <c r="CH563" s="40"/>
      <c r="CI563" s="5"/>
      <c r="CK563" s="40"/>
      <c r="CL563" s="5"/>
      <c r="CN563" s="40"/>
      <c r="CO563" s="5"/>
      <c r="CQ563" s="40"/>
      <c r="CR563" s="5"/>
    </row>
    <row r="564">
      <c r="AO564" s="40"/>
      <c r="AP564" s="5"/>
      <c r="AR564" s="40"/>
      <c r="AS564" s="5"/>
      <c r="AU564" s="40"/>
      <c r="AV564" s="5"/>
      <c r="AX564" s="40"/>
      <c r="AY564" s="5"/>
      <c r="BA564" s="40"/>
      <c r="BB564" s="5"/>
      <c r="BD564" s="40"/>
      <c r="BE564" s="5"/>
      <c r="BG564" s="40"/>
      <c r="BH564" s="5"/>
      <c r="BJ564" s="40"/>
      <c r="BK564" s="5"/>
      <c r="BM564" s="40"/>
      <c r="BN564" s="5"/>
      <c r="BP564" s="40"/>
      <c r="BQ564" s="5"/>
      <c r="BS564" s="40"/>
      <c r="BT564" s="5"/>
      <c r="BV564" s="40"/>
      <c r="BW564" s="5"/>
      <c r="BY564" s="40"/>
      <c r="BZ564" s="5"/>
      <c r="CB564" s="40"/>
      <c r="CC564" s="5"/>
      <c r="CE564" s="40"/>
      <c r="CF564" s="5"/>
      <c r="CH564" s="40"/>
      <c r="CI564" s="5"/>
      <c r="CK564" s="40"/>
      <c r="CL564" s="5"/>
      <c r="CN564" s="40"/>
      <c r="CO564" s="5"/>
      <c r="CQ564" s="40"/>
      <c r="CR564" s="5"/>
    </row>
    <row r="565">
      <c r="AO565" s="40"/>
      <c r="AP565" s="5"/>
      <c r="AR565" s="40"/>
      <c r="AS565" s="5"/>
      <c r="AU565" s="40"/>
      <c r="AV565" s="5"/>
      <c r="AX565" s="40"/>
      <c r="AY565" s="5"/>
      <c r="BA565" s="40"/>
      <c r="BB565" s="5"/>
      <c r="BD565" s="40"/>
      <c r="BE565" s="5"/>
      <c r="BG565" s="40"/>
      <c r="BH565" s="5"/>
      <c r="BJ565" s="40"/>
      <c r="BK565" s="5"/>
      <c r="BM565" s="40"/>
      <c r="BN565" s="5"/>
      <c r="BP565" s="40"/>
      <c r="BQ565" s="5"/>
      <c r="BS565" s="40"/>
      <c r="BT565" s="5"/>
      <c r="BV565" s="40"/>
      <c r="BW565" s="5"/>
      <c r="BY565" s="40"/>
      <c r="BZ565" s="5"/>
      <c r="CB565" s="40"/>
      <c r="CC565" s="5"/>
      <c r="CE565" s="40"/>
      <c r="CF565" s="5"/>
      <c r="CH565" s="40"/>
      <c r="CI565" s="5"/>
      <c r="CK565" s="40"/>
      <c r="CL565" s="5"/>
      <c r="CN565" s="40"/>
      <c r="CO565" s="5"/>
      <c r="CQ565" s="40"/>
      <c r="CR565" s="5"/>
    </row>
    <row r="566">
      <c r="AO566" s="40"/>
      <c r="AP566" s="5"/>
      <c r="AR566" s="40"/>
      <c r="AS566" s="5"/>
      <c r="AU566" s="40"/>
      <c r="AV566" s="5"/>
      <c r="AX566" s="40"/>
      <c r="AY566" s="5"/>
      <c r="BA566" s="40"/>
      <c r="BB566" s="5"/>
      <c r="BD566" s="40"/>
      <c r="BE566" s="5"/>
      <c r="BG566" s="40"/>
      <c r="BH566" s="5"/>
      <c r="BJ566" s="40"/>
      <c r="BK566" s="5"/>
      <c r="BM566" s="40"/>
      <c r="BN566" s="5"/>
      <c r="BP566" s="40"/>
      <c r="BQ566" s="5"/>
      <c r="BS566" s="40"/>
      <c r="BT566" s="5"/>
      <c r="BV566" s="40"/>
      <c r="BW566" s="5"/>
      <c r="BY566" s="40"/>
      <c r="BZ566" s="5"/>
      <c r="CB566" s="40"/>
      <c r="CC566" s="5"/>
      <c r="CE566" s="40"/>
      <c r="CF566" s="5"/>
      <c r="CH566" s="40"/>
      <c r="CI566" s="5"/>
      <c r="CK566" s="40"/>
      <c r="CL566" s="5"/>
      <c r="CN566" s="40"/>
      <c r="CO566" s="5"/>
      <c r="CQ566" s="40"/>
      <c r="CR566" s="5"/>
    </row>
    <row r="567">
      <c r="AO567" s="40"/>
      <c r="AP567" s="5"/>
      <c r="AR567" s="40"/>
      <c r="AS567" s="5"/>
      <c r="AU567" s="40"/>
      <c r="AV567" s="5"/>
      <c r="AX567" s="40"/>
      <c r="AY567" s="5"/>
      <c r="BA567" s="40"/>
      <c r="BB567" s="5"/>
      <c r="BD567" s="40"/>
      <c r="BE567" s="5"/>
      <c r="BG567" s="40"/>
      <c r="BH567" s="5"/>
      <c r="BJ567" s="40"/>
      <c r="BK567" s="5"/>
      <c r="BM567" s="40"/>
      <c r="BN567" s="5"/>
      <c r="BP567" s="40"/>
      <c r="BQ567" s="5"/>
      <c r="BS567" s="40"/>
      <c r="BT567" s="5"/>
      <c r="BV567" s="40"/>
      <c r="BW567" s="5"/>
      <c r="BY567" s="40"/>
      <c r="BZ567" s="5"/>
      <c r="CB567" s="40"/>
      <c r="CC567" s="5"/>
      <c r="CE567" s="40"/>
      <c r="CF567" s="5"/>
      <c r="CH567" s="40"/>
      <c r="CI567" s="5"/>
      <c r="CK567" s="40"/>
      <c r="CL567" s="5"/>
      <c r="CN567" s="40"/>
      <c r="CO567" s="5"/>
      <c r="CQ567" s="40"/>
      <c r="CR567" s="5"/>
    </row>
    <row r="568">
      <c r="AO568" s="40"/>
      <c r="AP568" s="5"/>
      <c r="AR568" s="40"/>
      <c r="AS568" s="5"/>
      <c r="AU568" s="40"/>
      <c r="AV568" s="5"/>
      <c r="AX568" s="40"/>
      <c r="AY568" s="5"/>
      <c r="BA568" s="40"/>
      <c r="BB568" s="5"/>
      <c r="BD568" s="40"/>
      <c r="BE568" s="5"/>
      <c r="BG568" s="40"/>
      <c r="BH568" s="5"/>
      <c r="BJ568" s="40"/>
      <c r="BK568" s="5"/>
      <c r="BM568" s="40"/>
      <c r="BN568" s="5"/>
      <c r="BP568" s="40"/>
      <c r="BQ568" s="5"/>
      <c r="BS568" s="40"/>
      <c r="BT568" s="5"/>
      <c r="BV568" s="40"/>
      <c r="BW568" s="5"/>
      <c r="BY568" s="40"/>
      <c r="BZ568" s="5"/>
      <c r="CB568" s="40"/>
      <c r="CC568" s="5"/>
      <c r="CE568" s="40"/>
      <c r="CF568" s="5"/>
      <c r="CH568" s="40"/>
      <c r="CI568" s="5"/>
      <c r="CK568" s="40"/>
      <c r="CL568" s="5"/>
      <c r="CN568" s="40"/>
      <c r="CO568" s="5"/>
      <c r="CQ568" s="40"/>
      <c r="CR568" s="5"/>
    </row>
    <row r="569">
      <c r="AO569" s="40"/>
      <c r="AP569" s="5"/>
      <c r="AR569" s="40"/>
      <c r="AS569" s="5"/>
      <c r="AU569" s="40"/>
      <c r="AV569" s="5"/>
      <c r="AX569" s="40"/>
      <c r="AY569" s="5"/>
      <c r="BA569" s="40"/>
      <c r="BB569" s="5"/>
      <c r="BD569" s="40"/>
      <c r="BE569" s="5"/>
      <c r="BG569" s="40"/>
      <c r="BH569" s="5"/>
      <c r="BJ569" s="40"/>
      <c r="BK569" s="5"/>
      <c r="BM569" s="40"/>
      <c r="BN569" s="5"/>
      <c r="BP569" s="40"/>
      <c r="BQ569" s="5"/>
      <c r="BS569" s="40"/>
      <c r="BT569" s="5"/>
      <c r="BV569" s="40"/>
      <c r="BW569" s="5"/>
      <c r="BY569" s="40"/>
      <c r="BZ569" s="5"/>
      <c r="CB569" s="40"/>
      <c r="CC569" s="5"/>
      <c r="CE569" s="40"/>
      <c r="CF569" s="5"/>
      <c r="CH569" s="40"/>
      <c r="CI569" s="5"/>
      <c r="CK569" s="40"/>
      <c r="CL569" s="5"/>
      <c r="CN569" s="40"/>
      <c r="CO569" s="5"/>
      <c r="CQ569" s="40"/>
      <c r="CR569" s="5"/>
    </row>
    <row r="570">
      <c r="AO570" s="40"/>
      <c r="AP570" s="5"/>
      <c r="AR570" s="40"/>
      <c r="AS570" s="5"/>
      <c r="AU570" s="40"/>
      <c r="AV570" s="5"/>
      <c r="AX570" s="40"/>
      <c r="AY570" s="5"/>
      <c r="BA570" s="40"/>
      <c r="BB570" s="5"/>
      <c r="BD570" s="40"/>
      <c r="BE570" s="5"/>
      <c r="BG570" s="40"/>
      <c r="BH570" s="5"/>
      <c r="BJ570" s="40"/>
      <c r="BK570" s="5"/>
      <c r="BM570" s="40"/>
      <c r="BN570" s="5"/>
      <c r="BP570" s="40"/>
      <c r="BQ570" s="5"/>
      <c r="BS570" s="40"/>
      <c r="BT570" s="5"/>
      <c r="BV570" s="40"/>
      <c r="BW570" s="5"/>
      <c r="BY570" s="40"/>
      <c r="BZ570" s="5"/>
      <c r="CB570" s="40"/>
      <c r="CC570" s="5"/>
      <c r="CE570" s="40"/>
      <c r="CF570" s="5"/>
      <c r="CH570" s="40"/>
      <c r="CI570" s="5"/>
      <c r="CK570" s="40"/>
      <c r="CL570" s="5"/>
      <c r="CN570" s="40"/>
      <c r="CO570" s="5"/>
      <c r="CQ570" s="40"/>
      <c r="CR570" s="5"/>
    </row>
    <row r="571">
      <c r="AO571" s="40"/>
      <c r="AP571" s="5"/>
      <c r="AR571" s="40"/>
      <c r="AS571" s="5"/>
      <c r="AU571" s="40"/>
      <c r="AV571" s="5"/>
      <c r="AX571" s="40"/>
      <c r="AY571" s="5"/>
      <c r="BA571" s="40"/>
      <c r="BB571" s="5"/>
      <c r="BD571" s="40"/>
      <c r="BE571" s="5"/>
      <c r="BG571" s="40"/>
      <c r="BH571" s="5"/>
      <c r="BJ571" s="40"/>
      <c r="BK571" s="5"/>
      <c r="BM571" s="40"/>
      <c r="BN571" s="5"/>
      <c r="BP571" s="40"/>
      <c r="BQ571" s="5"/>
      <c r="BS571" s="40"/>
      <c r="BT571" s="5"/>
      <c r="BV571" s="40"/>
      <c r="BW571" s="5"/>
      <c r="BY571" s="40"/>
      <c r="BZ571" s="5"/>
      <c r="CB571" s="40"/>
      <c r="CC571" s="5"/>
      <c r="CE571" s="40"/>
      <c r="CF571" s="5"/>
      <c r="CH571" s="40"/>
      <c r="CI571" s="5"/>
      <c r="CK571" s="40"/>
      <c r="CL571" s="5"/>
      <c r="CN571" s="40"/>
      <c r="CO571" s="5"/>
      <c r="CQ571" s="40"/>
      <c r="CR571" s="5"/>
    </row>
    <row r="572">
      <c r="AO572" s="40"/>
      <c r="AP572" s="5"/>
      <c r="AR572" s="40"/>
      <c r="AS572" s="5"/>
      <c r="AU572" s="40"/>
      <c r="AV572" s="5"/>
      <c r="AX572" s="40"/>
      <c r="AY572" s="5"/>
      <c r="BA572" s="40"/>
      <c r="BB572" s="5"/>
      <c r="BD572" s="40"/>
      <c r="BE572" s="5"/>
      <c r="BG572" s="40"/>
      <c r="BH572" s="5"/>
      <c r="BJ572" s="40"/>
      <c r="BK572" s="5"/>
      <c r="BM572" s="40"/>
      <c r="BN572" s="5"/>
      <c r="BP572" s="40"/>
      <c r="BQ572" s="5"/>
      <c r="BS572" s="40"/>
      <c r="BT572" s="5"/>
      <c r="BV572" s="40"/>
      <c r="BW572" s="5"/>
      <c r="BY572" s="40"/>
      <c r="BZ572" s="5"/>
      <c r="CB572" s="40"/>
      <c r="CC572" s="5"/>
      <c r="CE572" s="40"/>
      <c r="CF572" s="5"/>
      <c r="CH572" s="40"/>
      <c r="CI572" s="5"/>
      <c r="CK572" s="40"/>
      <c r="CL572" s="5"/>
      <c r="CN572" s="40"/>
      <c r="CO572" s="5"/>
      <c r="CQ572" s="40"/>
      <c r="CR572" s="5"/>
    </row>
    <row r="573">
      <c r="AO573" s="40"/>
      <c r="AP573" s="5"/>
      <c r="AR573" s="40"/>
      <c r="AS573" s="5"/>
      <c r="AU573" s="40"/>
      <c r="AV573" s="5"/>
      <c r="AX573" s="40"/>
      <c r="AY573" s="5"/>
      <c r="BA573" s="40"/>
      <c r="BB573" s="5"/>
      <c r="BD573" s="40"/>
      <c r="BE573" s="5"/>
      <c r="BG573" s="40"/>
      <c r="BH573" s="5"/>
      <c r="BJ573" s="40"/>
      <c r="BK573" s="5"/>
      <c r="BM573" s="40"/>
      <c r="BN573" s="5"/>
      <c r="BP573" s="40"/>
      <c r="BQ573" s="5"/>
      <c r="BS573" s="40"/>
      <c r="BT573" s="5"/>
      <c r="BV573" s="40"/>
      <c r="BW573" s="5"/>
      <c r="BY573" s="40"/>
      <c r="BZ573" s="5"/>
      <c r="CB573" s="40"/>
      <c r="CC573" s="5"/>
      <c r="CE573" s="40"/>
      <c r="CF573" s="5"/>
      <c r="CH573" s="40"/>
      <c r="CI573" s="5"/>
      <c r="CK573" s="40"/>
      <c r="CL573" s="5"/>
      <c r="CN573" s="40"/>
      <c r="CO573" s="5"/>
      <c r="CQ573" s="40"/>
      <c r="CR573" s="5"/>
    </row>
    <row r="574">
      <c r="AO574" s="40"/>
      <c r="AP574" s="5"/>
      <c r="AR574" s="40"/>
      <c r="AS574" s="5"/>
      <c r="AU574" s="40"/>
      <c r="AV574" s="5"/>
      <c r="AX574" s="40"/>
      <c r="AY574" s="5"/>
      <c r="BA574" s="40"/>
      <c r="BB574" s="5"/>
      <c r="BD574" s="40"/>
      <c r="BE574" s="5"/>
      <c r="BG574" s="40"/>
      <c r="BH574" s="5"/>
      <c r="BJ574" s="40"/>
      <c r="BK574" s="5"/>
      <c r="BM574" s="40"/>
      <c r="BN574" s="5"/>
      <c r="BP574" s="40"/>
      <c r="BQ574" s="5"/>
      <c r="BS574" s="40"/>
      <c r="BT574" s="5"/>
      <c r="BV574" s="40"/>
      <c r="BW574" s="5"/>
      <c r="BY574" s="40"/>
      <c r="BZ574" s="5"/>
      <c r="CB574" s="40"/>
      <c r="CC574" s="5"/>
      <c r="CE574" s="40"/>
      <c r="CF574" s="5"/>
      <c r="CH574" s="40"/>
      <c r="CI574" s="5"/>
      <c r="CK574" s="40"/>
      <c r="CL574" s="5"/>
      <c r="CN574" s="40"/>
      <c r="CO574" s="5"/>
      <c r="CQ574" s="40"/>
      <c r="CR574" s="5"/>
    </row>
    <row r="575">
      <c r="AO575" s="40"/>
      <c r="AP575" s="5"/>
      <c r="AR575" s="40"/>
      <c r="AS575" s="5"/>
      <c r="AU575" s="40"/>
      <c r="AV575" s="5"/>
      <c r="AX575" s="40"/>
      <c r="AY575" s="5"/>
      <c r="BA575" s="40"/>
      <c r="BB575" s="5"/>
      <c r="BD575" s="40"/>
      <c r="BE575" s="5"/>
      <c r="BG575" s="40"/>
      <c r="BH575" s="5"/>
      <c r="BJ575" s="40"/>
      <c r="BK575" s="5"/>
      <c r="BM575" s="40"/>
      <c r="BN575" s="5"/>
      <c r="BP575" s="40"/>
      <c r="BQ575" s="5"/>
      <c r="BS575" s="40"/>
      <c r="BT575" s="5"/>
      <c r="BV575" s="40"/>
      <c r="BW575" s="5"/>
      <c r="BY575" s="40"/>
      <c r="BZ575" s="5"/>
      <c r="CB575" s="40"/>
      <c r="CC575" s="5"/>
      <c r="CE575" s="40"/>
      <c r="CF575" s="5"/>
      <c r="CH575" s="40"/>
      <c r="CI575" s="5"/>
      <c r="CK575" s="40"/>
      <c r="CL575" s="5"/>
      <c r="CN575" s="40"/>
      <c r="CO575" s="5"/>
      <c r="CQ575" s="40"/>
      <c r="CR575" s="5"/>
    </row>
    <row r="576">
      <c r="AO576" s="40"/>
      <c r="AP576" s="5"/>
      <c r="AR576" s="40"/>
      <c r="AS576" s="5"/>
      <c r="AU576" s="40"/>
      <c r="AV576" s="5"/>
      <c r="AX576" s="40"/>
      <c r="AY576" s="5"/>
      <c r="BA576" s="40"/>
      <c r="BB576" s="5"/>
      <c r="BD576" s="40"/>
      <c r="BE576" s="5"/>
      <c r="BG576" s="40"/>
      <c r="BH576" s="5"/>
      <c r="BJ576" s="40"/>
      <c r="BK576" s="5"/>
      <c r="BM576" s="40"/>
      <c r="BN576" s="5"/>
      <c r="BP576" s="40"/>
      <c r="BQ576" s="5"/>
      <c r="BS576" s="40"/>
      <c r="BT576" s="5"/>
      <c r="BV576" s="40"/>
      <c r="BW576" s="5"/>
      <c r="BY576" s="40"/>
      <c r="BZ576" s="5"/>
      <c r="CB576" s="40"/>
      <c r="CC576" s="5"/>
      <c r="CE576" s="40"/>
      <c r="CF576" s="5"/>
      <c r="CH576" s="40"/>
      <c r="CI576" s="5"/>
      <c r="CK576" s="40"/>
      <c r="CL576" s="5"/>
      <c r="CN576" s="40"/>
      <c r="CO576" s="5"/>
      <c r="CQ576" s="40"/>
      <c r="CR576" s="5"/>
    </row>
    <row r="577">
      <c r="AO577" s="40"/>
      <c r="AP577" s="5"/>
      <c r="AR577" s="40"/>
      <c r="AS577" s="5"/>
      <c r="AU577" s="40"/>
      <c r="AV577" s="5"/>
      <c r="AX577" s="40"/>
      <c r="AY577" s="5"/>
      <c r="BA577" s="40"/>
      <c r="BB577" s="5"/>
      <c r="BD577" s="40"/>
      <c r="BE577" s="5"/>
      <c r="BG577" s="40"/>
      <c r="BH577" s="5"/>
      <c r="BJ577" s="40"/>
      <c r="BK577" s="5"/>
      <c r="BM577" s="40"/>
      <c r="BN577" s="5"/>
      <c r="BP577" s="40"/>
      <c r="BQ577" s="5"/>
      <c r="BS577" s="40"/>
      <c r="BT577" s="5"/>
      <c r="BV577" s="40"/>
      <c r="BW577" s="5"/>
      <c r="BY577" s="40"/>
      <c r="BZ577" s="5"/>
      <c r="CB577" s="40"/>
      <c r="CC577" s="5"/>
      <c r="CE577" s="40"/>
      <c r="CF577" s="5"/>
      <c r="CH577" s="40"/>
      <c r="CI577" s="5"/>
      <c r="CK577" s="40"/>
      <c r="CL577" s="5"/>
      <c r="CN577" s="40"/>
      <c r="CO577" s="5"/>
      <c r="CQ577" s="40"/>
      <c r="CR577" s="5"/>
    </row>
    <row r="578">
      <c r="AO578" s="40"/>
      <c r="AP578" s="5"/>
      <c r="AR578" s="40"/>
      <c r="AS578" s="5"/>
      <c r="AU578" s="40"/>
      <c r="AV578" s="5"/>
      <c r="AX578" s="40"/>
      <c r="AY578" s="5"/>
      <c r="BA578" s="40"/>
      <c r="BB578" s="5"/>
      <c r="BD578" s="40"/>
      <c r="BE578" s="5"/>
      <c r="BG578" s="40"/>
      <c r="BH578" s="5"/>
      <c r="BJ578" s="40"/>
      <c r="BK578" s="5"/>
      <c r="BM578" s="40"/>
      <c r="BN578" s="5"/>
      <c r="BP578" s="40"/>
      <c r="BQ578" s="5"/>
      <c r="BS578" s="40"/>
      <c r="BT578" s="5"/>
      <c r="BV578" s="40"/>
      <c r="BW578" s="5"/>
      <c r="BY578" s="40"/>
      <c r="BZ578" s="5"/>
      <c r="CB578" s="40"/>
      <c r="CC578" s="5"/>
      <c r="CE578" s="40"/>
      <c r="CF578" s="5"/>
      <c r="CH578" s="40"/>
      <c r="CI578" s="5"/>
      <c r="CK578" s="40"/>
      <c r="CL578" s="5"/>
      <c r="CN578" s="40"/>
      <c r="CO578" s="5"/>
      <c r="CQ578" s="40"/>
      <c r="CR578" s="5"/>
    </row>
    <row r="579">
      <c r="AO579" s="40"/>
      <c r="AP579" s="5"/>
      <c r="AR579" s="40"/>
      <c r="AS579" s="5"/>
      <c r="AU579" s="40"/>
      <c r="AV579" s="5"/>
      <c r="AX579" s="40"/>
      <c r="AY579" s="5"/>
      <c r="BA579" s="40"/>
      <c r="BB579" s="5"/>
      <c r="BD579" s="40"/>
      <c r="BE579" s="5"/>
      <c r="BG579" s="40"/>
      <c r="BH579" s="5"/>
      <c r="BJ579" s="40"/>
      <c r="BK579" s="5"/>
      <c r="BM579" s="40"/>
      <c r="BN579" s="5"/>
      <c r="BP579" s="40"/>
      <c r="BQ579" s="5"/>
      <c r="BS579" s="40"/>
      <c r="BT579" s="5"/>
      <c r="BV579" s="40"/>
      <c r="BW579" s="5"/>
      <c r="BY579" s="40"/>
      <c r="BZ579" s="5"/>
      <c r="CB579" s="40"/>
      <c r="CC579" s="5"/>
      <c r="CE579" s="40"/>
      <c r="CF579" s="5"/>
      <c r="CH579" s="40"/>
      <c r="CI579" s="5"/>
      <c r="CK579" s="40"/>
      <c r="CL579" s="5"/>
      <c r="CN579" s="40"/>
      <c r="CO579" s="5"/>
      <c r="CQ579" s="40"/>
      <c r="CR579" s="5"/>
    </row>
    <row r="580">
      <c r="AO580" s="40"/>
      <c r="AP580" s="5"/>
      <c r="AR580" s="40"/>
      <c r="AS580" s="5"/>
      <c r="AU580" s="40"/>
      <c r="AV580" s="5"/>
      <c r="AX580" s="40"/>
      <c r="AY580" s="5"/>
      <c r="BA580" s="40"/>
      <c r="BB580" s="5"/>
      <c r="BD580" s="40"/>
      <c r="BE580" s="5"/>
      <c r="BG580" s="40"/>
      <c r="BH580" s="5"/>
      <c r="BJ580" s="40"/>
      <c r="BK580" s="5"/>
      <c r="BM580" s="40"/>
      <c r="BN580" s="5"/>
      <c r="BP580" s="40"/>
      <c r="BQ580" s="5"/>
      <c r="BS580" s="40"/>
      <c r="BT580" s="5"/>
      <c r="BV580" s="40"/>
      <c r="BW580" s="5"/>
      <c r="BY580" s="40"/>
      <c r="BZ580" s="5"/>
      <c r="CB580" s="40"/>
      <c r="CC580" s="5"/>
      <c r="CE580" s="40"/>
      <c r="CF580" s="5"/>
      <c r="CH580" s="40"/>
      <c r="CI580" s="5"/>
      <c r="CK580" s="40"/>
      <c r="CL580" s="5"/>
      <c r="CN580" s="40"/>
      <c r="CO580" s="5"/>
      <c r="CQ580" s="40"/>
      <c r="CR580" s="5"/>
    </row>
    <row r="581">
      <c r="AO581" s="40"/>
      <c r="AP581" s="5"/>
      <c r="AR581" s="40"/>
      <c r="AS581" s="5"/>
      <c r="AU581" s="40"/>
      <c r="AV581" s="5"/>
      <c r="AX581" s="40"/>
      <c r="AY581" s="5"/>
      <c r="BA581" s="40"/>
      <c r="BB581" s="5"/>
      <c r="BD581" s="40"/>
      <c r="BE581" s="5"/>
      <c r="BG581" s="40"/>
      <c r="BH581" s="5"/>
      <c r="BJ581" s="40"/>
      <c r="BK581" s="5"/>
      <c r="BM581" s="40"/>
      <c r="BN581" s="5"/>
      <c r="BP581" s="40"/>
      <c r="BQ581" s="5"/>
      <c r="BS581" s="40"/>
      <c r="BT581" s="5"/>
      <c r="BV581" s="40"/>
      <c r="BW581" s="5"/>
      <c r="BY581" s="40"/>
      <c r="BZ581" s="5"/>
      <c r="CB581" s="40"/>
      <c r="CC581" s="5"/>
      <c r="CE581" s="40"/>
      <c r="CF581" s="5"/>
      <c r="CH581" s="40"/>
      <c r="CI581" s="5"/>
      <c r="CK581" s="40"/>
      <c r="CL581" s="5"/>
      <c r="CN581" s="40"/>
      <c r="CO581" s="5"/>
      <c r="CQ581" s="40"/>
      <c r="CR581" s="5"/>
    </row>
    <row r="582">
      <c r="AO582" s="40"/>
      <c r="AP582" s="5"/>
      <c r="AR582" s="40"/>
      <c r="AS582" s="5"/>
      <c r="AU582" s="40"/>
      <c r="AV582" s="5"/>
      <c r="AX582" s="40"/>
      <c r="AY582" s="5"/>
      <c r="BA582" s="40"/>
      <c r="BB582" s="5"/>
      <c r="BD582" s="40"/>
      <c r="BE582" s="5"/>
      <c r="BG582" s="40"/>
      <c r="BH582" s="5"/>
      <c r="BJ582" s="40"/>
      <c r="BK582" s="5"/>
      <c r="BM582" s="40"/>
      <c r="BN582" s="5"/>
      <c r="BP582" s="40"/>
      <c r="BQ582" s="5"/>
      <c r="BS582" s="40"/>
      <c r="BT582" s="5"/>
      <c r="BV582" s="40"/>
      <c r="BW582" s="5"/>
      <c r="BY582" s="40"/>
      <c r="BZ582" s="5"/>
      <c r="CB582" s="40"/>
      <c r="CC582" s="5"/>
      <c r="CE582" s="40"/>
      <c r="CF582" s="5"/>
      <c r="CH582" s="40"/>
      <c r="CI582" s="5"/>
      <c r="CK582" s="40"/>
      <c r="CL582" s="5"/>
      <c r="CN582" s="40"/>
      <c r="CO582" s="5"/>
      <c r="CQ582" s="40"/>
      <c r="CR582" s="5"/>
    </row>
    <row r="583">
      <c r="AO583" s="40"/>
      <c r="AP583" s="5"/>
      <c r="AR583" s="40"/>
      <c r="AS583" s="5"/>
      <c r="AU583" s="40"/>
      <c r="AV583" s="5"/>
      <c r="AX583" s="40"/>
      <c r="AY583" s="5"/>
      <c r="BA583" s="40"/>
      <c r="BB583" s="5"/>
      <c r="BD583" s="40"/>
      <c r="BE583" s="5"/>
      <c r="BG583" s="40"/>
      <c r="BH583" s="5"/>
      <c r="BJ583" s="40"/>
      <c r="BK583" s="5"/>
      <c r="BM583" s="40"/>
      <c r="BN583" s="5"/>
      <c r="BP583" s="40"/>
      <c r="BQ583" s="5"/>
      <c r="BS583" s="40"/>
      <c r="BT583" s="5"/>
      <c r="BV583" s="40"/>
      <c r="BW583" s="5"/>
      <c r="BY583" s="40"/>
      <c r="BZ583" s="5"/>
      <c r="CB583" s="40"/>
      <c r="CC583" s="5"/>
      <c r="CE583" s="40"/>
      <c r="CF583" s="5"/>
      <c r="CH583" s="40"/>
      <c r="CI583" s="5"/>
      <c r="CK583" s="40"/>
      <c r="CL583" s="5"/>
      <c r="CN583" s="40"/>
      <c r="CO583" s="5"/>
      <c r="CQ583" s="40"/>
      <c r="CR583" s="5"/>
    </row>
    <row r="584">
      <c r="AO584" s="40"/>
      <c r="AP584" s="5"/>
      <c r="AR584" s="40"/>
      <c r="AS584" s="5"/>
      <c r="AU584" s="40"/>
      <c r="AV584" s="5"/>
      <c r="AX584" s="40"/>
      <c r="AY584" s="5"/>
      <c r="BA584" s="40"/>
      <c r="BB584" s="5"/>
      <c r="BD584" s="40"/>
      <c r="BE584" s="5"/>
      <c r="BG584" s="40"/>
      <c r="BH584" s="5"/>
      <c r="BJ584" s="40"/>
      <c r="BK584" s="5"/>
      <c r="BM584" s="40"/>
      <c r="BN584" s="5"/>
      <c r="BP584" s="40"/>
      <c r="BQ584" s="5"/>
      <c r="BS584" s="40"/>
      <c r="BT584" s="5"/>
      <c r="BV584" s="40"/>
      <c r="BW584" s="5"/>
      <c r="BY584" s="40"/>
      <c r="BZ584" s="5"/>
      <c r="CB584" s="40"/>
      <c r="CC584" s="5"/>
      <c r="CE584" s="40"/>
      <c r="CF584" s="5"/>
      <c r="CH584" s="40"/>
      <c r="CI584" s="5"/>
      <c r="CK584" s="40"/>
      <c r="CL584" s="5"/>
      <c r="CN584" s="40"/>
      <c r="CO584" s="5"/>
      <c r="CQ584" s="40"/>
      <c r="CR584" s="5"/>
    </row>
    <row r="585">
      <c r="AO585" s="40"/>
      <c r="AP585" s="5"/>
      <c r="AR585" s="40"/>
      <c r="AS585" s="5"/>
      <c r="AU585" s="40"/>
      <c r="AV585" s="5"/>
      <c r="AX585" s="40"/>
      <c r="AY585" s="5"/>
      <c r="BA585" s="40"/>
      <c r="BB585" s="5"/>
      <c r="BD585" s="40"/>
      <c r="BE585" s="5"/>
      <c r="BG585" s="40"/>
      <c r="BH585" s="5"/>
      <c r="BJ585" s="40"/>
      <c r="BK585" s="5"/>
      <c r="BM585" s="40"/>
      <c r="BN585" s="5"/>
      <c r="BP585" s="40"/>
      <c r="BQ585" s="5"/>
      <c r="BS585" s="40"/>
      <c r="BT585" s="5"/>
      <c r="BV585" s="40"/>
      <c r="BW585" s="5"/>
      <c r="BY585" s="40"/>
      <c r="BZ585" s="5"/>
      <c r="CB585" s="40"/>
      <c r="CC585" s="5"/>
      <c r="CE585" s="40"/>
      <c r="CF585" s="5"/>
      <c r="CH585" s="40"/>
      <c r="CI585" s="5"/>
      <c r="CK585" s="40"/>
      <c r="CL585" s="5"/>
      <c r="CN585" s="40"/>
      <c r="CO585" s="5"/>
      <c r="CQ585" s="40"/>
      <c r="CR585" s="5"/>
    </row>
    <row r="586">
      <c r="AO586" s="40"/>
      <c r="AP586" s="5"/>
      <c r="AR586" s="40"/>
      <c r="AS586" s="5"/>
      <c r="AU586" s="40"/>
      <c r="AV586" s="5"/>
      <c r="AX586" s="40"/>
      <c r="AY586" s="5"/>
      <c r="BA586" s="40"/>
      <c r="BB586" s="5"/>
      <c r="BD586" s="40"/>
      <c r="BE586" s="5"/>
      <c r="BG586" s="40"/>
      <c r="BH586" s="5"/>
      <c r="BJ586" s="40"/>
      <c r="BK586" s="5"/>
      <c r="BM586" s="40"/>
      <c r="BN586" s="5"/>
      <c r="BP586" s="40"/>
      <c r="BQ586" s="5"/>
      <c r="BS586" s="40"/>
      <c r="BT586" s="5"/>
      <c r="BV586" s="40"/>
      <c r="BW586" s="5"/>
      <c r="BY586" s="40"/>
      <c r="BZ586" s="5"/>
      <c r="CB586" s="40"/>
      <c r="CC586" s="5"/>
      <c r="CE586" s="40"/>
      <c r="CF586" s="5"/>
      <c r="CH586" s="40"/>
      <c r="CI586" s="5"/>
      <c r="CK586" s="40"/>
      <c r="CL586" s="5"/>
      <c r="CN586" s="40"/>
      <c r="CO586" s="5"/>
      <c r="CQ586" s="40"/>
      <c r="CR586" s="5"/>
    </row>
    <row r="587">
      <c r="AO587" s="40"/>
      <c r="AP587" s="5"/>
      <c r="AR587" s="40"/>
      <c r="AS587" s="5"/>
      <c r="AU587" s="40"/>
      <c r="AV587" s="5"/>
      <c r="AX587" s="40"/>
      <c r="AY587" s="5"/>
      <c r="BA587" s="40"/>
      <c r="BB587" s="5"/>
      <c r="BD587" s="40"/>
      <c r="BE587" s="5"/>
      <c r="BG587" s="40"/>
      <c r="BH587" s="5"/>
      <c r="BJ587" s="40"/>
      <c r="BK587" s="5"/>
      <c r="BM587" s="40"/>
      <c r="BN587" s="5"/>
      <c r="BP587" s="40"/>
      <c r="BQ587" s="5"/>
      <c r="BS587" s="40"/>
      <c r="BT587" s="5"/>
      <c r="BV587" s="40"/>
      <c r="BW587" s="5"/>
      <c r="BY587" s="40"/>
      <c r="BZ587" s="5"/>
      <c r="CB587" s="40"/>
      <c r="CC587" s="5"/>
      <c r="CE587" s="40"/>
      <c r="CF587" s="5"/>
      <c r="CH587" s="40"/>
      <c r="CI587" s="5"/>
      <c r="CK587" s="40"/>
      <c r="CL587" s="5"/>
      <c r="CN587" s="40"/>
      <c r="CO587" s="5"/>
      <c r="CQ587" s="40"/>
      <c r="CR587" s="5"/>
    </row>
    <row r="588">
      <c r="AO588" s="40"/>
      <c r="AP588" s="5"/>
      <c r="AR588" s="40"/>
      <c r="AS588" s="5"/>
      <c r="AU588" s="40"/>
      <c r="AV588" s="5"/>
      <c r="AX588" s="40"/>
      <c r="AY588" s="5"/>
      <c r="BA588" s="40"/>
      <c r="BB588" s="5"/>
      <c r="BD588" s="40"/>
      <c r="BE588" s="5"/>
      <c r="BG588" s="40"/>
      <c r="BH588" s="5"/>
      <c r="BJ588" s="40"/>
      <c r="BK588" s="5"/>
      <c r="BM588" s="40"/>
      <c r="BN588" s="5"/>
      <c r="BP588" s="40"/>
      <c r="BQ588" s="5"/>
      <c r="BS588" s="40"/>
      <c r="BT588" s="5"/>
      <c r="BV588" s="40"/>
      <c r="BW588" s="5"/>
      <c r="BY588" s="40"/>
      <c r="BZ588" s="5"/>
      <c r="CB588" s="40"/>
      <c r="CC588" s="5"/>
      <c r="CE588" s="40"/>
      <c r="CF588" s="5"/>
      <c r="CH588" s="40"/>
      <c r="CI588" s="5"/>
      <c r="CK588" s="40"/>
      <c r="CL588" s="5"/>
      <c r="CN588" s="40"/>
      <c r="CO588" s="5"/>
      <c r="CQ588" s="40"/>
      <c r="CR588" s="5"/>
    </row>
    <row r="589">
      <c r="AO589" s="40"/>
      <c r="AP589" s="5"/>
      <c r="AR589" s="40"/>
      <c r="AS589" s="5"/>
      <c r="AU589" s="40"/>
      <c r="AV589" s="5"/>
      <c r="AX589" s="40"/>
      <c r="AY589" s="5"/>
      <c r="BA589" s="40"/>
      <c r="BB589" s="5"/>
      <c r="BD589" s="40"/>
      <c r="BE589" s="5"/>
      <c r="BG589" s="40"/>
      <c r="BH589" s="5"/>
      <c r="BJ589" s="40"/>
      <c r="BK589" s="5"/>
      <c r="BM589" s="40"/>
      <c r="BN589" s="5"/>
      <c r="BP589" s="40"/>
      <c r="BQ589" s="5"/>
      <c r="BS589" s="40"/>
      <c r="BT589" s="5"/>
      <c r="BV589" s="40"/>
      <c r="BW589" s="5"/>
      <c r="BY589" s="40"/>
      <c r="BZ589" s="5"/>
      <c r="CB589" s="40"/>
      <c r="CC589" s="5"/>
      <c r="CE589" s="40"/>
      <c r="CF589" s="5"/>
      <c r="CH589" s="40"/>
      <c r="CI589" s="5"/>
      <c r="CK589" s="40"/>
      <c r="CL589" s="5"/>
      <c r="CN589" s="40"/>
      <c r="CO589" s="5"/>
      <c r="CQ589" s="40"/>
      <c r="CR589" s="5"/>
    </row>
    <row r="590">
      <c r="AO590" s="40"/>
      <c r="AP590" s="5"/>
      <c r="AR590" s="40"/>
      <c r="AS590" s="5"/>
      <c r="AU590" s="40"/>
      <c r="AV590" s="5"/>
      <c r="AX590" s="40"/>
      <c r="AY590" s="5"/>
      <c r="BA590" s="40"/>
      <c r="BB590" s="5"/>
      <c r="BD590" s="40"/>
      <c r="BE590" s="5"/>
      <c r="BG590" s="40"/>
      <c r="BH590" s="5"/>
      <c r="BJ590" s="40"/>
      <c r="BK590" s="5"/>
      <c r="BM590" s="40"/>
      <c r="BN590" s="5"/>
      <c r="BP590" s="40"/>
      <c r="BQ590" s="5"/>
      <c r="BS590" s="40"/>
      <c r="BT590" s="5"/>
      <c r="BV590" s="40"/>
      <c r="BW590" s="5"/>
      <c r="BY590" s="40"/>
      <c r="BZ590" s="5"/>
      <c r="CB590" s="40"/>
      <c r="CC590" s="5"/>
      <c r="CE590" s="40"/>
      <c r="CF590" s="5"/>
      <c r="CH590" s="40"/>
      <c r="CI590" s="5"/>
      <c r="CK590" s="40"/>
      <c r="CL590" s="5"/>
      <c r="CN590" s="40"/>
      <c r="CO590" s="5"/>
      <c r="CQ590" s="40"/>
      <c r="CR590" s="5"/>
    </row>
    <row r="591">
      <c r="AO591" s="40"/>
      <c r="AP591" s="5"/>
      <c r="AR591" s="40"/>
      <c r="AS591" s="5"/>
      <c r="AU591" s="40"/>
      <c r="AV591" s="5"/>
      <c r="AX591" s="40"/>
      <c r="AY591" s="5"/>
      <c r="BA591" s="40"/>
      <c r="BB591" s="5"/>
      <c r="BD591" s="40"/>
      <c r="BE591" s="5"/>
      <c r="BG591" s="40"/>
      <c r="BH591" s="5"/>
      <c r="BJ591" s="40"/>
      <c r="BK591" s="5"/>
      <c r="BM591" s="40"/>
      <c r="BN591" s="5"/>
      <c r="BP591" s="40"/>
      <c r="BQ591" s="5"/>
      <c r="BS591" s="40"/>
      <c r="BT591" s="5"/>
      <c r="BV591" s="40"/>
      <c r="BW591" s="5"/>
      <c r="BY591" s="40"/>
      <c r="BZ591" s="5"/>
      <c r="CB591" s="40"/>
      <c r="CC591" s="5"/>
      <c r="CE591" s="40"/>
      <c r="CF591" s="5"/>
      <c r="CH591" s="40"/>
      <c r="CI591" s="5"/>
      <c r="CK591" s="40"/>
      <c r="CL591" s="5"/>
      <c r="CN591" s="40"/>
      <c r="CO591" s="5"/>
      <c r="CQ591" s="40"/>
      <c r="CR591" s="5"/>
    </row>
    <row r="592">
      <c r="AO592" s="40"/>
      <c r="AP592" s="5"/>
      <c r="AR592" s="40"/>
      <c r="AS592" s="5"/>
      <c r="AU592" s="40"/>
      <c r="AV592" s="5"/>
      <c r="AX592" s="40"/>
      <c r="AY592" s="5"/>
      <c r="BA592" s="40"/>
      <c r="BB592" s="5"/>
      <c r="BD592" s="40"/>
      <c r="BE592" s="5"/>
      <c r="BG592" s="40"/>
      <c r="BH592" s="5"/>
      <c r="BJ592" s="40"/>
      <c r="BK592" s="5"/>
      <c r="BM592" s="40"/>
      <c r="BN592" s="5"/>
      <c r="BP592" s="40"/>
      <c r="BQ592" s="5"/>
      <c r="BS592" s="40"/>
      <c r="BT592" s="5"/>
      <c r="BV592" s="40"/>
      <c r="BW592" s="5"/>
      <c r="BY592" s="40"/>
      <c r="BZ592" s="5"/>
      <c r="CB592" s="40"/>
      <c r="CC592" s="5"/>
      <c r="CE592" s="40"/>
      <c r="CF592" s="5"/>
      <c r="CH592" s="40"/>
      <c r="CI592" s="5"/>
      <c r="CK592" s="40"/>
      <c r="CL592" s="5"/>
      <c r="CN592" s="40"/>
      <c r="CO592" s="5"/>
      <c r="CQ592" s="40"/>
      <c r="CR592" s="5"/>
    </row>
    <row r="593">
      <c r="AO593" s="40"/>
      <c r="AP593" s="5"/>
      <c r="AR593" s="40"/>
      <c r="AS593" s="5"/>
      <c r="AU593" s="40"/>
      <c r="AV593" s="5"/>
      <c r="AX593" s="40"/>
      <c r="AY593" s="5"/>
      <c r="BA593" s="40"/>
      <c r="BB593" s="5"/>
      <c r="BD593" s="40"/>
      <c r="BE593" s="5"/>
      <c r="BG593" s="40"/>
      <c r="BH593" s="5"/>
      <c r="BJ593" s="40"/>
      <c r="BK593" s="5"/>
      <c r="BM593" s="40"/>
      <c r="BN593" s="5"/>
      <c r="BP593" s="40"/>
      <c r="BQ593" s="5"/>
      <c r="BS593" s="40"/>
      <c r="BT593" s="5"/>
      <c r="BV593" s="40"/>
      <c r="BW593" s="5"/>
      <c r="BY593" s="40"/>
      <c r="BZ593" s="5"/>
      <c r="CB593" s="40"/>
      <c r="CC593" s="5"/>
      <c r="CE593" s="40"/>
      <c r="CF593" s="5"/>
      <c r="CH593" s="40"/>
      <c r="CI593" s="5"/>
      <c r="CK593" s="40"/>
      <c r="CL593" s="5"/>
      <c r="CN593" s="40"/>
      <c r="CO593" s="5"/>
      <c r="CQ593" s="40"/>
      <c r="CR593" s="5"/>
    </row>
    <row r="594">
      <c r="AO594" s="40"/>
      <c r="AP594" s="5"/>
      <c r="AR594" s="40"/>
      <c r="AS594" s="5"/>
      <c r="AU594" s="40"/>
      <c r="AV594" s="5"/>
      <c r="AX594" s="40"/>
      <c r="AY594" s="5"/>
      <c r="BA594" s="40"/>
      <c r="BB594" s="5"/>
      <c r="BD594" s="40"/>
      <c r="BE594" s="5"/>
      <c r="BG594" s="40"/>
      <c r="BH594" s="5"/>
      <c r="BJ594" s="40"/>
      <c r="BK594" s="5"/>
      <c r="BM594" s="40"/>
      <c r="BN594" s="5"/>
      <c r="BP594" s="40"/>
      <c r="BQ594" s="5"/>
      <c r="BS594" s="40"/>
      <c r="BT594" s="5"/>
      <c r="BV594" s="40"/>
      <c r="BW594" s="5"/>
      <c r="BY594" s="40"/>
      <c r="BZ594" s="5"/>
      <c r="CB594" s="40"/>
      <c r="CC594" s="5"/>
      <c r="CE594" s="40"/>
      <c r="CF594" s="5"/>
      <c r="CH594" s="40"/>
      <c r="CI594" s="5"/>
      <c r="CK594" s="40"/>
      <c r="CL594" s="5"/>
      <c r="CN594" s="40"/>
      <c r="CO594" s="5"/>
      <c r="CQ594" s="40"/>
      <c r="CR594" s="5"/>
    </row>
    <row r="595">
      <c r="AO595" s="40"/>
      <c r="AP595" s="5"/>
      <c r="AR595" s="40"/>
      <c r="AS595" s="5"/>
      <c r="AU595" s="40"/>
      <c r="AV595" s="5"/>
      <c r="AX595" s="40"/>
      <c r="AY595" s="5"/>
      <c r="BA595" s="40"/>
      <c r="BB595" s="5"/>
      <c r="BD595" s="40"/>
      <c r="BE595" s="5"/>
      <c r="BG595" s="40"/>
      <c r="BH595" s="5"/>
      <c r="BJ595" s="40"/>
      <c r="BK595" s="5"/>
      <c r="BM595" s="40"/>
      <c r="BN595" s="5"/>
      <c r="BP595" s="40"/>
      <c r="BQ595" s="5"/>
      <c r="BS595" s="40"/>
      <c r="BT595" s="5"/>
      <c r="BV595" s="40"/>
      <c r="BW595" s="5"/>
      <c r="BY595" s="40"/>
      <c r="BZ595" s="5"/>
      <c r="CB595" s="40"/>
      <c r="CC595" s="5"/>
      <c r="CE595" s="40"/>
      <c r="CF595" s="5"/>
      <c r="CH595" s="40"/>
      <c r="CI595" s="5"/>
      <c r="CK595" s="40"/>
      <c r="CL595" s="5"/>
      <c r="CN595" s="40"/>
      <c r="CO595" s="5"/>
      <c r="CQ595" s="40"/>
      <c r="CR595" s="5"/>
    </row>
    <row r="596">
      <c r="AO596" s="40"/>
      <c r="AP596" s="5"/>
      <c r="AR596" s="40"/>
      <c r="AS596" s="5"/>
      <c r="AU596" s="40"/>
      <c r="AV596" s="5"/>
      <c r="AX596" s="40"/>
      <c r="AY596" s="5"/>
      <c r="BA596" s="40"/>
      <c r="BB596" s="5"/>
      <c r="BD596" s="40"/>
      <c r="BE596" s="5"/>
      <c r="BG596" s="40"/>
      <c r="BH596" s="5"/>
      <c r="BJ596" s="40"/>
      <c r="BK596" s="5"/>
      <c r="BM596" s="40"/>
      <c r="BN596" s="5"/>
      <c r="BP596" s="40"/>
      <c r="BQ596" s="5"/>
      <c r="BS596" s="40"/>
      <c r="BT596" s="5"/>
      <c r="BV596" s="40"/>
      <c r="BW596" s="5"/>
      <c r="BY596" s="40"/>
      <c r="BZ596" s="5"/>
      <c r="CB596" s="40"/>
      <c r="CC596" s="5"/>
      <c r="CE596" s="40"/>
      <c r="CF596" s="5"/>
      <c r="CH596" s="40"/>
      <c r="CI596" s="5"/>
      <c r="CK596" s="40"/>
      <c r="CL596" s="5"/>
      <c r="CN596" s="40"/>
      <c r="CO596" s="5"/>
      <c r="CQ596" s="40"/>
      <c r="CR596" s="5"/>
    </row>
    <row r="597">
      <c r="AO597" s="40"/>
      <c r="AP597" s="5"/>
      <c r="AR597" s="40"/>
      <c r="AS597" s="5"/>
      <c r="AU597" s="40"/>
      <c r="AV597" s="5"/>
      <c r="AX597" s="40"/>
      <c r="AY597" s="5"/>
      <c r="BA597" s="40"/>
      <c r="BB597" s="5"/>
      <c r="BD597" s="40"/>
      <c r="BE597" s="5"/>
      <c r="BG597" s="40"/>
      <c r="BH597" s="5"/>
      <c r="BJ597" s="40"/>
      <c r="BK597" s="5"/>
      <c r="BM597" s="40"/>
      <c r="BN597" s="5"/>
      <c r="BP597" s="40"/>
      <c r="BQ597" s="5"/>
      <c r="BS597" s="40"/>
      <c r="BT597" s="5"/>
      <c r="BV597" s="40"/>
      <c r="BW597" s="5"/>
      <c r="BY597" s="40"/>
      <c r="BZ597" s="5"/>
      <c r="CB597" s="40"/>
      <c r="CC597" s="5"/>
      <c r="CE597" s="40"/>
      <c r="CF597" s="5"/>
      <c r="CH597" s="40"/>
      <c r="CI597" s="5"/>
      <c r="CK597" s="40"/>
      <c r="CL597" s="5"/>
      <c r="CN597" s="40"/>
      <c r="CO597" s="5"/>
      <c r="CQ597" s="40"/>
      <c r="CR597" s="5"/>
    </row>
    <row r="598">
      <c r="AO598" s="40"/>
      <c r="AP598" s="5"/>
      <c r="AR598" s="40"/>
      <c r="AS598" s="5"/>
      <c r="AU598" s="40"/>
      <c r="AV598" s="5"/>
      <c r="AX598" s="40"/>
      <c r="AY598" s="5"/>
      <c r="BA598" s="40"/>
      <c r="BB598" s="5"/>
      <c r="BD598" s="40"/>
      <c r="BE598" s="5"/>
      <c r="BG598" s="40"/>
      <c r="BH598" s="5"/>
      <c r="BJ598" s="40"/>
      <c r="BK598" s="5"/>
      <c r="BM598" s="40"/>
      <c r="BN598" s="5"/>
      <c r="BP598" s="40"/>
      <c r="BQ598" s="5"/>
      <c r="BS598" s="40"/>
      <c r="BT598" s="5"/>
      <c r="BV598" s="40"/>
      <c r="BW598" s="5"/>
      <c r="BY598" s="40"/>
      <c r="BZ598" s="5"/>
      <c r="CB598" s="40"/>
      <c r="CC598" s="5"/>
      <c r="CE598" s="40"/>
      <c r="CF598" s="5"/>
      <c r="CH598" s="40"/>
      <c r="CI598" s="5"/>
      <c r="CK598" s="40"/>
      <c r="CL598" s="5"/>
      <c r="CN598" s="40"/>
      <c r="CO598" s="5"/>
      <c r="CQ598" s="40"/>
      <c r="CR598" s="5"/>
    </row>
    <row r="599">
      <c r="AO599" s="40"/>
      <c r="AP599" s="5"/>
      <c r="AR599" s="40"/>
      <c r="AS599" s="5"/>
      <c r="AU599" s="40"/>
      <c r="AV599" s="5"/>
      <c r="AX599" s="40"/>
      <c r="AY599" s="5"/>
      <c r="BA599" s="40"/>
      <c r="BB599" s="5"/>
      <c r="BD599" s="40"/>
      <c r="BE599" s="5"/>
      <c r="BG599" s="40"/>
      <c r="BH599" s="5"/>
      <c r="BJ599" s="40"/>
      <c r="BK599" s="5"/>
      <c r="BM599" s="40"/>
      <c r="BN599" s="5"/>
      <c r="BP599" s="40"/>
      <c r="BQ599" s="5"/>
      <c r="BS599" s="40"/>
      <c r="BT599" s="5"/>
      <c r="BV599" s="40"/>
      <c r="BW599" s="5"/>
      <c r="BY599" s="40"/>
      <c r="BZ599" s="5"/>
      <c r="CB599" s="40"/>
      <c r="CC599" s="5"/>
      <c r="CE599" s="40"/>
      <c r="CF599" s="5"/>
      <c r="CH599" s="40"/>
      <c r="CI599" s="5"/>
      <c r="CK599" s="40"/>
      <c r="CL599" s="5"/>
      <c r="CN599" s="40"/>
      <c r="CO599" s="5"/>
      <c r="CQ599" s="40"/>
      <c r="CR599" s="5"/>
    </row>
    <row r="600">
      <c r="AO600" s="40"/>
      <c r="AP600" s="5"/>
      <c r="AR600" s="40"/>
      <c r="AS600" s="5"/>
      <c r="AU600" s="40"/>
      <c r="AV600" s="5"/>
      <c r="AX600" s="40"/>
      <c r="AY600" s="5"/>
      <c r="BA600" s="40"/>
      <c r="BB600" s="5"/>
      <c r="BD600" s="40"/>
      <c r="BE600" s="5"/>
      <c r="BG600" s="40"/>
      <c r="BH600" s="5"/>
      <c r="BJ600" s="40"/>
      <c r="BK600" s="5"/>
      <c r="BM600" s="40"/>
      <c r="BN600" s="5"/>
      <c r="BP600" s="40"/>
      <c r="BQ600" s="5"/>
      <c r="BS600" s="40"/>
      <c r="BT600" s="5"/>
      <c r="BV600" s="40"/>
      <c r="BW600" s="5"/>
      <c r="BY600" s="40"/>
      <c r="BZ600" s="5"/>
      <c r="CB600" s="40"/>
      <c r="CC600" s="5"/>
      <c r="CE600" s="40"/>
      <c r="CF600" s="5"/>
      <c r="CH600" s="40"/>
      <c r="CI600" s="5"/>
      <c r="CK600" s="40"/>
      <c r="CL600" s="5"/>
      <c r="CN600" s="40"/>
      <c r="CO600" s="5"/>
      <c r="CQ600" s="40"/>
      <c r="CR600" s="5"/>
    </row>
    <row r="601">
      <c r="AO601" s="40"/>
      <c r="AP601" s="5"/>
      <c r="AR601" s="40"/>
      <c r="AS601" s="5"/>
      <c r="AU601" s="40"/>
      <c r="AV601" s="5"/>
      <c r="AX601" s="40"/>
      <c r="AY601" s="5"/>
      <c r="BA601" s="40"/>
      <c r="BB601" s="5"/>
      <c r="BD601" s="40"/>
      <c r="BE601" s="5"/>
      <c r="BG601" s="40"/>
      <c r="BH601" s="5"/>
      <c r="BJ601" s="40"/>
      <c r="BK601" s="5"/>
      <c r="BM601" s="40"/>
      <c r="BN601" s="5"/>
      <c r="BP601" s="40"/>
      <c r="BQ601" s="5"/>
      <c r="BS601" s="40"/>
      <c r="BT601" s="5"/>
      <c r="BV601" s="40"/>
      <c r="BW601" s="5"/>
      <c r="BY601" s="40"/>
      <c r="BZ601" s="5"/>
      <c r="CB601" s="40"/>
      <c r="CC601" s="5"/>
      <c r="CE601" s="40"/>
      <c r="CF601" s="5"/>
      <c r="CH601" s="40"/>
      <c r="CI601" s="5"/>
      <c r="CK601" s="40"/>
      <c r="CL601" s="5"/>
      <c r="CN601" s="40"/>
      <c r="CO601" s="5"/>
      <c r="CQ601" s="40"/>
      <c r="CR601" s="5"/>
    </row>
    <row r="602">
      <c r="AO602" s="40"/>
      <c r="AP602" s="5"/>
      <c r="AR602" s="40"/>
      <c r="AS602" s="5"/>
      <c r="AU602" s="40"/>
      <c r="AV602" s="5"/>
      <c r="AX602" s="40"/>
      <c r="AY602" s="5"/>
      <c r="BA602" s="40"/>
      <c r="BB602" s="5"/>
      <c r="BD602" s="40"/>
      <c r="BE602" s="5"/>
      <c r="BG602" s="40"/>
      <c r="BH602" s="5"/>
      <c r="BJ602" s="40"/>
      <c r="BK602" s="5"/>
      <c r="BM602" s="40"/>
      <c r="BN602" s="5"/>
      <c r="BP602" s="40"/>
      <c r="BQ602" s="5"/>
      <c r="BS602" s="40"/>
      <c r="BT602" s="5"/>
      <c r="BV602" s="40"/>
      <c r="BW602" s="5"/>
      <c r="BY602" s="40"/>
      <c r="BZ602" s="5"/>
      <c r="CB602" s="40"/>
      <c r="CC602" s="5"/>
      <c r="CE602" s="40"/>
      <c r="CF602" s="5"/>
      <c r="CH602" s="40"/>
      <c r="CI602" s="5"/>
      <c r="CK602" s="40"/>
      <c r="CL602" s="5"/>
      <c r="CN602" s="40"/>
      <c r="CO602" s="5"/>
      <c r="CQ602" s="40"/>
      <c r="CR602" s="5"/>
    </row>
    <row r="603">
      <c r="AO603" s="40"/>
      <c r="AP603" s="5"/>
      <c r="AR603" s="40"/>
      <c r="AS603" s="5"/>
      <c r="AU603" s="40"/>
      <c r="AV603" s="5"/>
      <c r="AX603" s="40"/>
      <c r="AY603" s="5"/>
      <c r="BA603" s="40"/>
      <c r="BB603" s="5"/>
      <c r="BD603" s="40"/>
      <c r="BE603" s="5"/>
      <c r="BG603" s="40"/>
      <c r="BH603" s="5"/>
      <c r="BJ603" s="40"/>
      <c r="BK603" s="5"/>
      <c r="BM603" s="40"/>
      <c r="BN603" s="5"/>
      <c r="BP603" s="40"/>
      <c r="BQ603" s="5"/>
      <c r="BS603" s="40"/>
      <c r="BT603" s="5"/>
      <c r="BV603" s="40"/>
      <c r="BW603" s="5"/>
      <c r="BY603" s="40"/>
      <c r="BZ603" s="5"/>
      <c r="CB603" s="40"/>
      <c r="CC603" s="5"/>
      <c r="CE603" s="40"/>
      <c r="CF603" s="5"/>
      <c r="CH603" s="40"/>
      <c r="CI603" s="5"/>
      <c r="CK603" s="40"/>
      <c r="CL603" s="5"/>
      <c r="CN603" s="40"/>
      <c r="CO603" s="5"/>
      <c r="CQ603" s="40"/>
      <c r="CR603" s="5"/>
    </row>
    <row r="604">
      <c r="AO604" s="40"/>
      <c r="AP604" s="5"/>
      <c r="AR604" s="40"/>
      <c r="AS604" s="5"/>
      <c r="AU604" s="40"/>
      <c r="AV604" s="5"/>
      <c r="AX604" s="40"/>
      <c r="AY604" s="5"/>
      <c r="BA604" s="40"/>
      <c r="BB604" s="5"/>
      <c r="BD604" s="40"/>
      <c r="BE604" s="5"/>
      <c r="BG604" s="40"/>
      <c r="BH604" s="5"/>
      <c r="BJ604" s="40"/>
      <c r="BK604" s="5"/>
      <c r="BM604" s="40"/>
      <c r="BN604" s="5"/>
      <c r="BP604" s="40"/>
      <c r="BQ604" s="5"/>
      <c r="BS604" s="40"/>
      <c r="BT604" s="5"/>
      <c r="BV604" s="40"/>
      <c r="BW604" s="5"/>
      <c r="BY604" s="40"/>
      <c r="BZ604" s="5"/>
      <c r="CB604" s="40"/>
      <c r="CC604" s="5"/>
      <c r="CE604" s="40"/>
      <c r="CF604" s="5"/>
      <c r="CH604" s="40"/>
      <c r="CI604" s="5"/>
      <c r="CK604" s="40"/>
      <c r="CL604" s="5"/>
      <c r="CN604" s="40"/>
      <c r="CO604" s="5"/>
      <c r="CQ604" s="40"/>
      <c r="CR604" s="5"/>
    </row>
    <row r="605">
      <c r="AO605" s="40"/>
      <c r="AP605" s="5"/>
      <c r="AR605" s="40"/>
      <c r="AS605" s="5"/>
      <c r="AU605" s="40"/>
      <c r="AV605" s="5"/>
      <c r="AX605" s="40"/>
      <c r="AY605" s="5"/>
      <c r="BA605" s="40"/>
      <c r="BB605" s="5"/>
      <c r="BD605" s="40"/>
      <c r="BE605" s="5"/>
      <c r="BG605" s="40"/>
      <c r="BH605" s="5"/>
      <c r="BJ605" s="40"/>
      <c r="BK605" s="5"/>
      <c r="BM605" s="40"/>
      <c r="BN605" s="5"/>
      <c r="BP605" s="40"/>
      <c r="BQ605" s="5"/>
      <c r="BS605" s="40"/>
      <c r="BT605" s="5"/>
      <c r="BV605" s="40"/>
      <c r="BW605" s="5"/>
      <c r="BY605" s="40"/>
      <c r="BZ605" s="5"/>
      <c r="CB605" s="40"/>
      <c r="CC605" s="5"/>
      <c r="CE605" s="40"/>
      <c r="CF605" s="5"/>
      <c r="CH605" s="40"/>
      <c r="CI605" s="5"/>
      <c r="CK605" s="40"/>
      <c r="CL605" s="5"/>
      <c r="CN605" s="40"/>
      <c r="CO605" s="5"/>
      <c r="CQ605" s="40"/>
      <c r="CR605" s="5"/>
    </row>
    <row r="606">
      <c r="AO606" s="40"/>
      <c r="AP606" s="5"/>
      <c r="AR606" s="40"/>
      <c r="AS606" s="5"/>
      <c r="AU606" s="40"/>
      <c r="AV606" s="5"/>
      <c r="AX606" s="40"/>
      <c r="AY606" s="5"/>
      <c r="BA606" s="40"/>
      <c r="BB606" s="5"/>
      <c r="BD606" s="40"/>
      <c r="BE606" s="5"/>
      <c r="BG606" s="40"/>
      <c r="BH606" s="5"/>
      <c r="BJ606" s="40"/>
      <c r="BK606" s="5"/>
      <c r="BM606" s="40"/>
      <c r="BN606" s="5"/>
      <c r="BP606" s="40"/>
      <c r="BQ606" s="5"/>
      <c r="BS606" s="40"/>
      <c r="BT606" s="5"/>
      <c r="BV606" s="40"/>
      <c r="BW606" s="5"/>
      <c r="BY606" s="40"/>
      <c r="BZ606" s="5"/>
      <c r="CB606" s="40"/>
      <c r="CC606" s="5"/>
      <c r="CE606" s="40"/>
      <c r="CF606" s="5"/>
      <c r="CH606" s="40"/>
      <c r="CI606" s="5"/>
      <c r="CK606" s="40"/>
      <c r="CL606" s="5"/>
      <c r="CN606" s="40"/>
      <c r="CO606" s="5"/>
      <c r="CQ606" s="40"/>
      <c r="CR606" s="5"/>
    </row>
    <row r="607">
      <c r="AO607" s="40"/>
      <c r="AP607" s="5"/>
      <c r="AR607" s="40"/>
      <c r="AS607" s="5"/>
      <c r="AU607" s="40"/>
      <c r="AV607" s="5"/>
      <c r="AX607" s="40"/>
      <c r="AY607" s="5"/>
      <c r="BA607" s="40"/>
      <c r="BB607" s="5"/>
      <c r="BD607" s="40"/>
      <c r="BE607" s="5"/>
      <c r="BG607" s="40"/>
      <c r="BH607" s="5"/>
      <c r="BJ607" s="40"/>
      <c r="BK607" s="5"/>
      <c r="BM607" s="40"/>
      <c r="BN607" s="5"/>
      <c r="BP607" s="40"/>
      <c r="BQ607" s="5"/>
      <c r="BS607" s="40"/>
      <c r="BT607" s="5"/>
      <c r="BV607" s="40"/>
      <c r="BW607" s="5"/>
      <c r="BY607" s="40"/>
      <c r="BZ607" s="5"/>
      <c r="CB607" s="40"/>
      <c r="CC607" s="5"/>
      <c r="CE607" s="40"/>
      <c r="CF607" s="5"/>
      <c r="CH607" s="40"/>
      <c r="CI607" s="5"/>
      <c r="CK607" s="40"/>
      <c r="CL607" s="5"/>
      <c r="CN607" s="40"/>
      <c r="CO607" s="5"/>
      <c r="CQ607" s="40"/>
      <c r="CR607" s="5"/>
    </row>
    <row r="608">
      <c r="AO608" s="40"/>
      <c r="AP608" s="5"/>
      <c r="AR608" s="40"/>
      <c r="AS608" s="5"/>
      <c r="AU608" s="40"/>
      <c r="AV608" s="5"/>
      <c r="AX608" s="40"/>
      <c r="AY608" s="5"/>
      <c r="BA608" s="40"/>
      <c r="BB608" s="5"/>
      <c r="BD608" s="40"/>
      <c r="BE608" s="5"/>
      <c r="BG608" s="40"/>
      <c r="BH608" s="5"/>
      <c r="BJ608" s="40"/>
      <c r="BK608" s="5"/>
      <c r="BM608" s="40"/>
      <c r="BN608" s="5"/>
      <c r="BP608" s="40"/>
      <c r="BQ608" s="5"/>
      <c r="BS608" s="40"/>
      <c r="BT608" s="5"/>
      <c r="BV608" s="40"/>
      <c r="BW608" s="5"/>
      <c r="BY608" s="40"/>
      <c r="BZ608" s="5"/>
      <c r="CB608" s="40"/>
      <c r="CC608" s="5"/>
      <c r="CE608" s="40"/>
      <c r="CF608" s="5"/>
      <c r="CH608" s="40"/>
      <c r="CI608" s="5"/>
      <c r="CK608" s="40"/>
      <c r="CL608" s="5"/>
      <c r="CN608" s="40"/>
      <c r="CO608" s="5"/>
      <c r="CQ608" s="40"/>
      <c r="CR608" s="5"/>
    </row>
    <row r="609">
      <c r="AO609" s="40"/>
      <c r="AP609" s="5"/>
      <c r="AR609" s="40"/>
      <c r="AS609" s="5"/>
      <c r="AU609" s="40"/>
      <c r="AV609" s="5"/>
      <c r="AX609" s="40"/>
      <c r="AY609" s="5"/>
      <c r="BA609" s="40"/>
      <c r="BB609" s="5"/>
      <c r="BD609" s="40"/>
      <c r="BE609" s="5"/>
      <c r="BG609" s="40"/>
      <c r="BH609" s="5"/>
      <c r="BJ609" s="40"/>
      <c r="BK609" s="5"/>
      <c r="BM609" s="40"/>
      <c r="BN609" s="5"/>
      <c r="BP609" s="40"/>
      <c r="BQ609" s="5"/>
      <c r="BS609" s="40"/>
      <c r="BT609" s="5"/>
      <c r="BV609" s="40"/>
      <c r="BW609" s="5"/>
      <c r="BY609" s="40"/>
      <c r="BZ609" s="5"/>
      <c r="CB609" s="40"/>
      <c r="CC609" s="5"/>
      <c r="CE609" s="40"/>
      <c r="CF609" s="5"/>
      <c r="CH609" s="40"/>
      <c r="CI609" s="5"/>
      <c r="CK609" s="40"/>
      <c r="CL609" s="5"/>
      <c r="CN609" s="40"/>
      <c r="CO609" s="5"/>
      <c r="CQ609" s="40"/>
      <c r="CR609" s="5"/>
    </row>
    <row r="610">
      <c r="AO610" s="40"/>
      <c r="AP610" s="5"/>
      <c r="AR610" s="40"/>
      <c r="AS610" s="5"/>
      <c r="AU610" s="40"/>
      <c r="AV610" s="5"/>
      <c r="AX610" s="40"/>
      <c r="AY610" s="5"/>
      <c r="BA610" s="40"/>
      <c r="BB610" s="5"/>
      <c r="BD610" s="40"/>
      <c r="BE610" s="5"/>
      <c r="BG610" s="40"/>
      <c r="BH610" s="5"/>
      <c r="BJ610" s="40"/>
      <c r="BK610" s="5"/>
      <c r="BM610" s="40"/>
      <c r="BN610" s="5"/>
      <c r="BP610" s="40"/>
      <c r="BQ610" s="5"/>
      <c r="BS610" s="40"/>
      <c r="BT610" s="5"/>
      <c r="BV610" s="40"/>
      <c r="BW610" s="5"/>
      <c r="BY610" s="40"/>
      <c r="BZ610" s="5"/>
      <c r="CB610" s="40"/>
      <c r="CC610" s="5"/>
      <c r="CE610" s="40"/>
      <c r="CF610" s="5"/>
      <c r="CH610" s="40"/>
      <c r="CI610" s="5"/>
      <c r="CK610" s="40"/>
      <c r="CL610" s="5"/>
      <c r="CN610" s="40"/>
      <c r="CO610" s="5"/>
      <c r="CQ610" s="40"/>
      <c r="CR610" s="5"/>
    </row>
    <row r="611">
      <c r="AO611" s="40"/>
      <c r="AP611" s="5"/>
      <c r="AR611" s="40"/>
      <c r="AS611" s="5"/>
      <c r="AU611" s="40"/>
      <c r="AV611" s="5"/>
      <c r="AX611" s="40"/>
      <c r="AY611" s="5"/>
      <c r="BA611" s="40"/>
      <c r="BB611" s="5"/>
      <c r="BD611" s="40"/>
      <c r="BE611" s="5"/>
      <c r="BG611" s="40"/>
      <c r="BH611" s="5"/>
      <c r="BJ611" s="40"/>
      <c r="BK611" s="5"/>
      <c r="BM611" s="40"/>
      <c r="BN611" s="5"/>
      <c r="BP611" s="40"/>
      <c r="BQ611" s="5"/>
      <c r="BS611" s="40"/>
      <c r="BT611" s="5"/>
      <c r="BV611" s="40"/>
      <c r="BW611" s="5"/>
      <c r="BY611" s="40"/>
      <c r="BZ611" s="5"/>
      <c r="CB611" s="40"/>
      <c r="CC611" s="5"/>
      <c r="CE611" s="40"/>
      <c r="CF611" s="5"/>
      <c r="CH611" s="40"/>
      <c r="CI611" s="5"/>
      <c r="CK611" s="40"/>
      <c r="CL611" s="5"/>
      <c r="CN611" s="40"/>
      <c r="CO611" s="5"/>
      <c r="CQ611" s="40"/>
      <c r="CR611" s="5"/>
    </row>
    <row r="612">
      <c r="AO612" s="40"/>
      <c r="AP612" s="5"/>
      <c r="AR612" s="40"/>
      <c r="AS612" s="5"/>
      <c r="AU612" s="40"/>
      <c r="AV612" s="5"/>
      <c r="AX612" s="40"/>
      <c r="AY612" s="5"/>
      <c r="BA612" s="40"/>
      <c r="BB612" s="5"/>
      <c r="BD612" s="40"/>
      <c r="BE612" s="5"/>
      <c r="BG612" s="40"/>
      <c r="BH612" s="5"/>
      <c r="BJ612" s="40"/>
      <c r="BK612" s="5"/>
      <c r="BM612" s="40"/>
      <c r="BN612" s="5"/>
      <c r="BP612" s="40"/>
      <c r="BQ612" s="5"/>
      <c r="BS612" s="40"/>
      <c r="BT612" s="5"/>
      <c r="BV612" s="40"/>
      <c r="BW612" s="5"/>
      <c r="BY612" s="40"/>
      <c r="BZ612" s="5"/>
      <c r="CB612" s="40"/>
      <c r="CC612" s="5"/>
      <c r="CE612" s="40"/>
      <c r="CF612" s="5"/>
      <c r="CH612" s="40"/>
      <c r="CI612" s="5"/>
      <c r="CK612" s="40"/>
      <c r="CL612" s="5"/>
      <c r="CN612" s="40"/>
      <c r="CO612" s="5"/>
      <c r="CQ612" s="40"/>
      <c r="CR612" s="5"/>
    </row>
    <row r="613">
      <c r="AO613" s="40"/>
      <c r="AP613" s="5"/>
      <c r="AR613" s="40"/>
      <c r="AS613" s="5"/>
      <c r="AU613" s="40"/>
      <c r="AV613" s="5"/>
      <c r="AX613" s="40"/>
      <c r="AY613" s="5"/>
      <c r="BA613" s="40"/>
      <c r="BB613" s="5"/>
      <c r="BD613" s="40"/>
      <c r="BE613" s="5"/>
      <c r="BG613" s="40"/>
      <c r="BH613" s="5"/>
      <c r="BJ613" s="40"/>
      <c r="BK613" s="5"/>
      <c r="BM613" s="40"/>
      <c r="BN613" s="5"/>
      <c r="BP613" s="40"/>
      <c r="BQ613" s="5"/>
      <c r="BS613" s="40"/>
      <c r="BT613" s="5"/>
      <c r="BV613" s="40"/>
      <c r="BW613" s="5"/>
      <c r="BY613" s="40"/>
      <c r="BZ613" s="5"/>
      <c r="CB613" s="40"/>
      <c r="CC613" s="5"/>
      <c r="CE613" s="40"/>
      <c r="CF613" s="5"/>
      <c r="CH613" s="40"/>
      <c r="CI613" s="5"/>
      <c r="CK613" s="40"/>
      <c r="CL613" s="5"/>
      <c r="CN613" s="40"/>
      <c r="CO613" s="5"/>
      <c r="CQ613" s="40"/>
      <c r="CR613" s="5"/>
    </row>
    <row r="614">
      <c r="AO614" s="40"/>
      <c r="AP614" s="5"/>
      <c r="AR614" s="40"/>
      <c r="AS614" s="5"/>
      <c r="AU614" s="40"/>
      <c r="AV614" s="5"/>
      <c r="AX614" s="40"/>
      <c r="AY614" s="5"/>
      <c r="BA614" s="40"/>
      <c r="BB614" s="5"/>
      <c r="BD614" s="40"/>
      <c r="BE614" s="5"/>
      <c r="BG614" s="40"/>
      <c r="BH614" s="5"/>
      <c r="BJ614" s="40"/>
      <c r="BK614" s="5"/>
      <c r="BM614" s="40"/>
      <c r="BN614" s="5"/>
      <c r="BP614" s="40"/>
      <c r="BQ614" s="5"/>
      <c r="BS614" s="40"/>
      <c r="BT614" s="5"/>
      <c r="BV614" s="40"/>
      <c r="BW614" s="5"/>
      <c r="BY614" s="40"/>
      <c r="BZ614" s="5"/>
      <c r="CB614" s="40"/>
      <c r="CC614" s="5"/>
      <c r="CE614" s="40"/>
      <c r="CF614" s="5"/>
      <c r="CH614" s="40"/>
      <c r="CI614" s="5"/>
      <c r="CK614" s="40"/>
      <c r="CL614" s="5"/>
      <c r="CN614" s="40"/>
      <c r="CO614" s="5"/>
      <c r="CQ614" s="40"/>
      <c r="CR614" s="5"/>
    </row>
    <row r="615">
      <c r="AO615" s="40"/>
      <c r="AP615" s="5"/>
      <c r="AR615" s="40"/>
      <c r="AS615" s="5"/>
      <c r="AU615" s="40"/>
      <c r="AV615" s="5"/>
      <c r="AX615" s="40"/>
      <c r="AY615" s="5"/>
      <c r="BA615" s="40"/>
      <c r="BB615" s="5"/>
      <c r="BD615" s="40"/>
      <c r="BE615" s="5"/>
      <c r="BG615" s="40"/>
      <c r="BH615" s="5"/>
      <c r="BJ615" s="40"/>
      <c r="BK615" s="5"/>
      <c r="BM615" s="40"/>
      <c r="BN615" s="5"/>
      <c r="BP615" s="40"/>
      <c r="BQ615" s="5"/>
      <c r="BS615" s="40"/>
      <c r="BT615" s="5"/>
      <c r="BV615" s="40"/>
      <c r="BW615" s="5"/>
      <c r="BY615" s="40"/>
      <c r="BZ615" s="5"/>
      <c r="CB615" s="40"/>
      <c r="CC615" s="5"/>
      <c r="CE615" s="40"/>
      <c r="CF615" s="5"/>
      <c r="CH615" s="40"/>
      <c r="CI615" s="5"/>
      <c r="CK615" s="40"/>
      <c r="CL615" s="5"/>
      <c r="CN615" s="40"/>
      <c r="CO615" s="5"/>
      <c r="CQ615" s="40"/>
      <c r="CR615" s="5"/>
    </row>
    <row r="616">
      <c r="AO616" s="40"/>
      <c r="AP616" s="5"/>
      <c r="AR616" s="40"/>
      <c r="AS616" s="5"/>
      <c r="AU616" s="40"/>
      <c r="AV616" s="5"/>
      <c r="AX616" s="40"/>
      <c r="AY616" s="5"/>
      <c r="BA616" s="40"/>
      <c r="BB616" s="5"/>
      <c r="BD616" s="40"/>
      <c r="BE616" s="5"/>
      <c r="BG616" s="40"/>
      <c r="BH616" s="5"/>
      <c r="BJ616" s="40"/>
      <c r="BK616" s="5"/>
      <c r="BM616" s="40"/>
      <c r="BN616" s="5"/>
      <c r="BP616" s="40"/>
      <c r="BQ616" s="5"/>
      <c r="BS616" s="40"/>
      <c r="BT616" s="5"/>
      <c r="BV616" s="40"/>
      <c r="BW616" s="5"/>
      <c r="BY616" s="40"/>
      <c r="BZ616" s="5"/>
      <c r="CB616" s="40"/>
      <c r="CC616" s="5"/>
      <c r="CE616" s="40"/>
      <c r="CF616" s="5"/>
      <c r="CH616" s="40"/>
      <c r="CI616" s="5"/>
      <c r="CK616" s="40"/>
      <c r="CL616" s="5"/>
      <c r="CN616" s="40"/>
      <c r="CO616" s="5"/>
      <c r="CQ616" s="40"/>
      <c r="CR616" s="5"/>
    </row>
    <row r="617">
      <c r="AO617" s="40"/>
      <c r="AP617" s="5"/>
      <c r="AR617" s="40"/>
      <c r="AS617" s="5"/>
      <c r="AU617" s="40"/>
      <c r="AV617" s="5"/>
      <c r="AX617" s="40"/>
      <c r="AY617" s="5"/>
      <c r="BA617" s="40"/>
      <c r="BB617" s="5"/>
      <c r="BD617" s="40"/>
      <c r="BE617" s="5"/>
      <c r="BG617" s="40"/>
      <c r="BH617" s="5"/>
      <c r="BJ617" s="40"/>
      <c r="BK617" s="5"/>
      <c r="BM617" s="40"/>
      <c r="BN617" s="5"/>
      <c r="BP617" s="40"/>
      <c r="BQ617" s="5"/>
      <c r="BS617" s="40"/>
      <c r="BT617" s="5"/>
      <c r="BV617" s="40"/>
      <c r="BW617" s="5"/>
      <c r="BY617" s="40"/>
      <c r="BZ617" s="5"/>
      <c r="CB617" s="40"/>
      <c r="CC617" s="5"/>
      <c r="CE617" s="40"/>
      <c r="CF617" s="5"/>
      <c r="CH617" s="40"/>
      <c r="CI617" s="5"/>
      <c r="CK617" s="40"/>
      <c r="CL617" s="5"/>
      <c r="CN617" s="40"/>
      <c r="CO617" s="5"/>
      <c r="CQ617" s="40"/>
      <c r="CR617" s="5"/>
    </row>
    <row r="618">
      <c r="AO618" s="40"/>
      <c r="AP618" s="5"/>
      <c r="AR618" s="40"/>
      <c r="AS618" s="5"/>
      <c r="AU618" s="40"/>
      <c r="AV618" s="5"/>
      <c r="AX618" s="40"/>
      <c r="AY618" s="5"/>
      <c r="BA618" s="40"/>
      <c r="BB618" s="5"/>
      <c r="BD618" s="40"/>
      <c r="BE618" s="5"/>
      <c r="BG618" s="40"/>
      <c r="BH618" s="5"/>
      <c r="BJ618" s="40"/>
      <c r="BK618" s="5"/>
      <c r="BM618" s="40"/>
      <c r="BN618" s="5"/>
      <c r="BP618" s="40"/>
      <c r="BQ618" s="5"/>
      <c r="BS618" s="40"/>
      <c r="BT618" s="5"/>
      <c r="BV618" s="40"/>
      <c r="BW618" s="5"/>
      <c r="BY618" s="40"/>
      <c r="BZ618" s="5"/>
      <c r="CB618" s="40"/>
      <c r="CC618" s="5"/>
      <c r="CE618" s="40"/>
      <c r="CF618" s="5"/>
      <c r="CH618" s="40"/>
      <c r="CI618" s="5"/>
      <c r="CK618" s="40"/>
      <c r="CL618" s="5"/>
      <c r="CN618" s="40"/>
      <c r="CO618" s="5"/>
      <c r="CQ618" s="40"/>
      <c r="CR618" s="5"/>
    </row>
    <row r="619">
      <c r="AO619" s="40"/>
      <c r="AP619" s="5"/>
      <c r="AR619" s="40"/>
      <c r="AS619" s="5"/>
      <c r="AU619" s="40"/>
      <c r="AV619" s="5"/>
      <c r="AX619" s="40"/>
      <c r="AY619" s="5"/>
      <c r="BA619" s="40"/>
      <c r="BB619" s="5"/>
      <c r="BD619" s="40"/>
      <c r="BE619" s="5"/>
      <c r="BG619" s="40"/>
      <c r="BH619" s="5"/>
      <c r="BJ619" s="40"/>
      <c r="BK619" s="5"/>
      <c r="BM619" s="40"/>
      <c r="BN619" s="5"/>
      <c r="BP619" s="40"/>
      <c r="BQ619" s="5"/>
      <c r="BS619" s="40"/>
      <c r="BT619" s="5"/>
      <c r="BV619" s="40"/>
      <c r="BW619" s="5"/>
      <c r="BY619" s="40"/>
      <c r="BZ619" s="5"/>
      <c r="CB619" s="40"/>
      <c r="CC619" s="5"/>
      <c r="CE619" s="40"/>
      <c r="CF619" s="5"/>
      <c r="CH619" s="40"/>
      <c r="CI619" s="5"/>
      <c r="CK619" s="40"/>
      <c r="CL619" s="5"/>
      <c r="CN619" s="40"/>
      <c r="CO619" s="5"/>
      <c r="CQ619" s="40"/>
      <c r="CR619" s="5"/>
    </row>
    <row r="620">
      <c r="AO620" s="40"/>
      <c r="AP620" s="5"/>
      <c r="AR620" s="40"/>
      <c r="AS620" s="5"/>
      <c r="AU620" s="40"/>
      <c r="AV620" s="5"/>
      <c r="AX620" s="40"/>
      <c r="AY620" s="5"/>
      <c r="BA620" s="40"/>
      <c r="BB620" s="5"/>
      <c r="BD620" s="40"/>
      <c r="BE620" s="5"/>
      <c r="BG620" s="40"/>
      <c r="BH620" s="5"/>
      <c r="BJ620" s="40"/>
      <c r="BK620" s="5"/>
      <c r="BM620" s="40"/>
      <c r="BN620" s="5"/>
      <c r="BP620" s="40"/>
      <c r="BQ620" s="5"/>
      <c r="BS620" s="40"/>
      <c r="BT620" s="5"/>
      <c r="BV620" s="40"/>
      <c r="BW620" s="5"/>
      <c r="BY620" s="40"/>
      <c r="BZ620" s="5"/>
      <c r="CB620" s="40"/>
      <c r="CC620" s="5"/>
      <c r="CE620" s="40"/>
      <c r="CF620" s="5"/>
      <c r="CH620" s="40"/>
      <c r="CI620" s="5"/>
      <c r="CK620" s="40"/>
      <c r="CL620" s="5"/>
      <c r="CN620" s="40"/>
      <c r="CO620" s="5"/>
      <c r="CQ620" s="40"/>
      <c r="CR620" s="5"/>
    </row>
    <row r="621">
      <c r="AO621" s="40"/>
      <c r="AP621" s="5"/>
      <c r="AR621" s="40"/>
      <c r="AS621" s="5"/>
      <c r="AU621" s="40"/>
      <c r="AV621" s="5"/>
      <c r="AX621" s="40"/>
      <c r="AY621" s="5"/>
      <c r="BA621" s="40"/>
      <c r="BB621" s="5"/>
      <c r="BD621" s="40"/>
      <c r="BE621" s="5"/>
      <c r="BG621" s="40"/>
      <c r="BH621" s="5"/>
      <c r="BJ621" s="40"/>
      <c r="BK621" s="5"/>
      <c r="BM621" s="40"/>
      <c r="BN621" s="5"/>
      <c r="BP621" s="40"/>
      <c r="BQ621" s="5"/>
      <c r="BS621" s="40"/>
      <c r="BT621" s="5"/>
      <c r="BV621" s="40"/>
      <c r="BW621" s="5"/>
      <c r="BY621" s="40"/>
      <c r="BZ621" s="5"/>
      <c r="CB621" s="40"/>
      <c r="CC621" s="5"/>
      <c r="CE621" s="40"/>
      <c r="CF621" s="5"/>
      <c r="CH621" s="40"/>
      <c r="CI621" s="5"/>
      <c r="CK621" s="40"/>
      <c r="CL621" s="5"/>
      <c r="CN621" s="40"/>
      <c r="CO621" s="5"/>
      <c r="CQ621" s="40"/>
      <c r="CR621" s="5"/>
    </row>
    <row r="622">
      <c r="AO622" s="40"/>
      <c r="AP622" s="5"/>
      <c r="AR622" s="40"/>
      <c r="AS622" s="5"/>
      <c r="AU622" s="40"/>
      <c r="AV622" s="5"/>
      <c r="AX622" s="40"/>
      <c r="AY622" s="5"/>
      <c r="BA622" s="40"/>
      <c r="BB622" s="5"/>
      <c r="BD622" s="40"/>
      <c r="BE622" s="5"/>
      <c r="BG622" s="40"/>
      <c r="BH622" s="5"/>
      <c r="BJ622" s="40"/>
      <c r="BK622" s="5"/>
      <c r="BM622" s="40"/>
      <c r="BN622" s="5"/>
      <c r="BP622" s="40"/>
      <c r="BQ622" s="5"/>
      <c r="BS622" s="40"/>
      <c r="BT622" s="5"/>
      <c r="BV622" s="40"/>
      <c r="BW622" s="5"/>
      <c r="BY622" s="40"/>
      <c r="BZ622" s="5"/>
      <c r="CB622" s="40"/>
      <c r="CC622" s="5"/>
      <c r="CE622" s="40"/>
      <c r="CF622" s="5"/>
      <c r="CH622" s="40"/>
      <c r="CI622" s="5"/>
      <c r="CK622" s="40"/>
      <c r="CL622" s="5"/>
      <c r="CN622" s="40"/>
      <c r="CO622" s="5"/>
      <c r="CQ622" s="40"/>
      <c r="CR622" s="5"/>
    </row>
    <row r="623">
      <c r="AO623" s="40"/>
      <c r="AP623" s="5"/>
      <c r="AR623" s="40"/>
      <c r="AS623" s="5"/>
      <c r="AU623" s="40"/>
      <c r="AV623" s="5"/>
      <c r="AX623" s="40"/>
      <c r="AY623" s="5"/>
      <c r="BA623" s="40"/>
      <c r="BB623" s="5"/>
      <c r="BD623" s="40"/>
      <c r="BE623" s="5"/>
      <c r="BG623" s="40"/>
      <c r="BH623" s="5"/>
      <c r="BJ623" s="40"/>
      <c r="BK623" s="5"/>
      <c r="BM623" s="40"/>
      <c r="BN623" s="5"/>
      <c r="BP623" s="40"/>
      <c r="BQ623" s="5"/>
      <c r="BS623" s="40"/>
      <c r="BT623" s="5"/>
      <c r="BV623" s="40"/>
      <c r="BW623" s="5"/>
      <c r="BY623" s="40"/>
      <c r="BZ623" s="5"/>
      <c r="CB623" s="40"/>
      <c r="CC623" s="5"/>
      <c r="CE623" s="40"/>
      <c r="CF623" s="5"/>
      <c r="CH623" s="40"/>
      <c r="CI623" s="5"/>
      <c r="CK623" s="40"/>
      <c r="CL623" s="5"/>
      <c r="CN623" s="40"/>
      <c r="CO623" s="5"/>
      <c r="CQ623" s="40"/>
      <c r="CR623" s="5"/>
    </row>
    <row r="624">
      <c r="AO624" s="40"/>
      <c r="AP624" s="5"/>
      <c r="AR624" s="40"/>
      <c r="AS624" s="5"/>
      <c r="AU624" s="40"/>
      <c r="AV624" s="5"/>
      <c r="AX624" s="40"/>
      <c r="AY624" s="5"/>
      <c r="BA624" s="40"/>
      <c r="BB624" s="5"/>
      <c r="BD624" s="40"/>
      <c r="BE624" s="5"/>
      <c r="BG624" s="40"/>
      <c r="BH624" s="5"/>
      <c r="BJ624" s="40"/>
      <c r="BK624" s="5"/>
      <c r="BM624" s="40"/>
      <c r="BN624" s="5"/>
      <c r="BP624" s="40"/>
      <c r="BQ624" s="5"/>
      <c r="BS624" s="40"/>
      <c r="BT624" s="5"/>
      <c r="BV624" s="40"/>
      <c r="BW624" s="5"/>
      <c r="BY624" s="40"/>
      <c r="BZ624" s="5"/>
      <c r="CB624" s="40"/>
      <c r="CC624" s="5"/>
      <c r="CE624" s="40"/>
      <c r="CF624" s="5"/>
      <c r="CH624" s="40"/>
      <c r="CI624" s="5"/>
      <c r="CK624" s="40"/>
      <c r="CL624" s="5"/>
      <c r="CN624" s="40"/>
      <c r="CO624" s="5"/>
      <c r="CQ624" s="40"/>
      <c r="CR624" s="5"/>
    </row>
    <row r="625">
      <c r="AO625" s="40"/>
      <c r="AP625" s="5"/>
      <c r="AR625" s="40"/>
      <c r="AS625" s="5"/>
      <c r="AU625" s="40"/>
      <c r="AV625" s="5"/>
      <c r="AX625" s="40"/>
      <c r="AY625" s="5"/>
      <c r="BA625" s="40"/>
      <c r="BB625" s="5"/>
      <c r="BD625" s="40"/>
      <c r="BE625" s="5"/>
      <c r="BG625" s="40"/>
      <c r="BH625" s="5"/>
      <c r="BJ625" s="40"/>
      <c r="BK625" s="5"/>
      <c r="BM625" s="40"/>
      <c r="BN625" s="5"/>
      <c r="BP625" s="40"/>
      <c r="BQ625" s="5"/>
      <c r="BS625" s="40"/>
      <c r="BT625" s="5"/>
      <c r="BV625" s="40"/>
      <c r="BW625" s="5"/>
      <c r="BY625" s="40"/>
      <c r="BZ625" s="5"/>
      <c r="CB625" s="40"/>
      <c r="CC625" s="5"/>
      <c r="CE625" s="40"/>
      <c r="CF625" s="5"/>
      <c r="CH625" s="40"/>
      <c r="CI625" s="5"/>
      <c r="CK625" s="40"/>
      <c r="CL625" s="5"/>
      <c r="CN625" s="40"/>
      <c r="CO625" s="5"/>
      <c r="CQ625" s="40"/>
      <c r="CR625" s="5"/>
    </row>
    <row r="626">
      <c r="AO626" s="40"/>
      <c r="AP626" s="5"/>
      <c r="AR626" s="40"/>
      <c r="AS626" s="5"/>
      <c r="AU626" s="40"/>
      <c r="AV626" s="5"/>
      <c r="AX626" s="40"/>
      <c r="AY626" s="5"/>
      <c r="BA626" s="40"/>
      <c r="BB626" s="5"/>
      <c r="BD626" s="40"/>
      <c r="BE626" s="5"/>
      <c r="BG626" s="40"/>
      <c r="BH626" s="5"/>
      <c r="BJ626" s="40"/>
      <c r="BK626" s="5"/>
      <c r="BM626" s="40"/>
      <c r="BN626" s="5"/>
      <c r="BP626" s="40"/>
      <c r="BQ626" s="5"/>
      <c r="BS626" s="40"/>
      <c r="BT626" s="5"/>
      <c r="BV626" s="40"/>
      <c r="BW626" s="5"/>
      <c r="BY626" s="40"/>
      <c r="BZ626" s="5"/>
      <c r="CB626" s="40"/>
      <c r="CC626" s="5"/>
      <c r="CE626" s="40"/>
      <c r="CF626" s="5"/>
      <c r="CH626" s="40"/>
      <c r="CI626" s="5"/>
      <c r="CK626" s="40"/>
      <c r="CL626" s="5"/>
      <c r="CN626" s="40"/>
      <c r="CO626" s="5"/>
      <c r="CQ626" s="40"/>
      <c r="CR626" s="5"/>
    </row>
    <row r="627">
      <c r="AO627" s="40"/>
      <c r="AP627" s="5"/>
      <c r="AR627" s="40"/>
      <c r="AS627" s="5"/>
      <c r="AU627" s="40"/>
      <c r="AV627" s="5"/>
      <c r="AX627" s="40"/>
      <c r="AY627" s="5"/>
      <c r="BA627" s="40"/>
      <c r="BB627" s="5"/>
      <c r="BD627" s="40"/>
      <c r="BE627" s="5"/>
      <c r="BG627" s="40"/>
      <c r="BH627" s="5"/>
      <c r="BJ627" s="40"/>
      <c r="BK627" s="5"/>
      <c r="BM627" s="40"/>
      <c r="BN627" s="5"/>
      <c r="BP627" s="40"/>
      <c r="BQ627" s="5"/>
      <c r="BS627" s="40"/>
      <c r="BT627" s="5"/>
      <c r="BV627" s="40"/>
      <c r="BW627" s="5"/>
      <c r="BY627" s="40"/>
      <c r="BZ627" s="5"/>
      <c r="CB627" s="40"/>
      <c r="CC627" s="5"/>
      <c r="CE627" s="40"/>
      <c r="CF627" s="5"/>
      <c r="CH627" s="40"/>
      <c r="CI627" s="5"/>
      <c r="CK627" s="40"/>
      <c r="CL627" s="5"/>
      <c r="CN627" s="40"/>
      <c r="CO627" s="5"/>
      <c r="CQ627" s="40"/>
      <c r="CR627" s="5"/>
    </row>
    <row r="628">
      <c r="AO628" s="40"/>
      <c r="AP628" s="5"/>
      <c r="AR628" s="40"/>
      <c r="AS628" s="5"/>
      <c r="AU628" s="40"/>
      <c r="AV628" s="5"/>
      <c r="AX628" s="40"/>
      <c r="AY628" s="5"/>
      <c r="BA628" s="40"/>
      <c r="BB628" s="5"/>
      <c r="BD628" s="40"/>
      <c r="BE628" s="5"/>
      <c r="BG628" s="40"/>
      <c r="BH628" s="5"/>
      <c r="BJ628" s="40"/>
      <c r="BK628" s="5"/>
      <c r="BM628" s="40"/>
      <c r="BN628" s="5"/>
      <c r="BP628" s="40"/>
      <c r="BQ628" s="5"/>
      <c r="BS628" s="40"/>
      <c r="BT628" s="5"/>
      <c r="BV628" s="40"/>
      <c r="BW628" s="5"/>
      <c r="BY628" s="40"/>
      <c r="BZ628" s="5"/>
      <c r="CB628" s="40"/>
      <c r="CC628" s="5"/>
      <c r="CE628" s="40"/>
      <c r="CF628" s="5"/>
      <c r="CH628" s="40"/>
      <c r="CI628" s="5"/>
      <c r="CK628" s="40"/>
      <c r="CL628" s="5"/>
      <c r="CN628" s="40"/>
      <c r="CO628" s="5"/>
      <c r="CQ628" s="40"/>
      <c r="CR628" s="5"/>
    </row>
    <row r="629">
      <c r="AO629" s="40"/>
      <c r="AP629" s="5"/>
      <c r="AR629" s="40"/>
      <c r="AS629" s="5"/>
      <c r="AU629" s="40"/>
      <c r="AV629" s="5"/>
      <c r="AX629" s="40"/>
      <c r="AY629" s="5"/>
      <c r="BA629" s="40"/>
      <c r="BB629" s="5"/>
      <c r="BD629" s="40"/>
      <c r="BE629" s="5"/>
      <c r="BG629" s="40"/>
      <c r="BH629" s="5"/>
      <c r="BJ629" s="40"/>
      <c r="BK629" s="5"/>
      <c r="BM629" s="40"/>
      <c r="BN629" s="5"/>
      <c r="BP629" s="40"/>
      <c r="BQ629" s="5"/>
      <c r="BS629" s="40"/>
      <c r="BT629" s="5"/>
      <c r="BV629" s="40"/>
      <c r="BW629" s="5"/>
      <c r="BY629" s="40"/>
      <c r="BZ629" s="5"/>
      <c r="CB629" s="40"/>
      <c r="CC629" s="5"/>
      <c r="CE629" s="40"/>
      <c r="CF629" s="5"/>
      <c r="CH629" s="40"/>
      <c r="CI629" s="5"/>
      <c r="CK629" s="40"/>
      <c r="CL629" s="5"/>
      <c r="CN629" s="40"/>
      <c r="CO629" s="5"/>
      <c r="CQ629" s="40"/>
      <c r="CR629" s="5"/>
    </row>
    <row r="630">
      <c r="AO630" s="40"/>
      <c r="AP630" s="5"/>
      <c r="AR630" s="40"/>
      <c r="AS630" s="5"/>
      <c r="AU630" s="40"/>
      <c r="AV630" s="5"/>
      <c r="AX630" s="40"/>
      <c r="AY630" s="5"/>
      <c r="BA630" s="40"/>
      <c r="BB630" s="5"/>
      <c r="BD630" s="40"/>
      <c r="BE630" s="5"/>
      <c r="BG630" s="40"/>
      <c r="BH630" s="5"/>
      <c r="BJ630" s="40"/>
      <c r="BK630" s="5"/>
      <c r="BM630" s="40"/>
      <c r="BN630" s="5"/>
      <c r="BP630" s="40"/>
      <c r="BQ630" s="5"/>
      <c r="BS630" s="40"/>
      <c r="BT630" s="5"/>
      <c r="BV630" s="40"/>
      <c r="BW630" s="5"/>
      <c r="BY630" s="40"/>
      <c r="BZ630" s="5"/>
      <c r="CB630" s="40"/>
      <c r="CC630" s="5"/>
      <c r="CE630" s="40"/>
      <c r="CF630" s="5"/>
      <c r="CH630" s="40"/>
      <c r="CI630" s="5"/>
      <c r="CK630" s="40"/>
      <c r="CL630" s="5"/>
      <c r="CN630" s="40"/>
      <c r="CO630" s="5"/>
      <c r="CQ630" s="40"/>
      <c r="CR630" s="5"/>
    </row>
    <row r="631">
      <c r="AO631" s="40"/>
      <c r="AP631" s="5"/>
      <c r="AR631" s="40"/>
      <c r="AS631" s="5"/>
      <c r="AU631" s="40"/>
      <c r="AV631" s="5"/>
      <c r="AX631" s="40"/>
      <c r="AY631" s="5"/>
      <c r="BA631" s="40"/>
      <c r="BB631" s="5"/>
      <c r="BD631" s="40"/>
      <c r="BE631" s="5"/>
      <c r="BG631" s="40"/>
      <c r="BH631" s="5"/>
      <c r="BJ631" s="40"/>
      <c r="BK631" s="5"/>
      <c r="BM631" s="40"/>
      <c r="BN631" s="5"/>
      <c r="BP631" s="40"/>
      <c r="BQ631" s="5"/>
      <c r="BS631" s="40"/>
      <c r="BT631" s="5"/>
      <c r="BV631" s="40"/>
      <c r="BW631" s="5"/>
      <c r="BY631" s="40"/>
      <c r="BZ631" s="5"/>
      <c r="CB631" s="40"/>
      <c r="CC631" s="5"/>
      <c r="CE631" s="40"/>
      <c r="CF631" s="5"/>
      <c r="CH631" s="40"/>
      <c r="CI631" s="5"/>
      <c r="CK631" s="40"/>
      <c r="CL631" s="5"/>
      <c r="CN631" s="40"/>
      <c r="CO631" s="5"/>
      <c r="CQ631" s="40"/>
      <c r="CR631" s="5"/>
    </row>
    <row r="632">
      <c r="AO632" s="40"/>
      <c r="AP632" s="5"/>
      <c r="AR632" s="40"/>
      <c r="AS632" s="5"/>
      <c r="AU632" s="40"/>
      <c r="AV632" s="5"/>
      <c r="AX632" s="40"/>
      <c r="AY632" s="5"/>
      <c r="BA632" s="40"/>
      <c r="BB632" s="5"/>
      <c r="BD632" s="40"/>
      <c r="BE632" s="5"/>
      <c r="BG632" s="40"/>
      <c r="BH632" s="5"/>
      <c r="BJ632" s="40"/>
      <c r="BK632" s="5"/>
      <c r="BM632" s="40"/>
      <c r="BN632" s="5"/>
      <c r="BP632" s="40"/>
      <c r="BQ632" s="5"/>
      <c r="BS632" s="40"/>
      <c r="BT632" s="5"/>
      <c r="BV632" s="40"/>
      <c r="BW632" s="5"/>
      <c r="BY632" s="40"/>
      <c r="BZ632" s="5"/>
      <c r="CB632" s="40"/>
      <c r="CC632" s="5"/>
      <c r="CE632" s="40"/>
      <c r="CF632" s="5"/>
      <c r="CH632" s="40"/>
      <c r="CI632" s="5"/>
      <c r="CK632" s="40"/>
      <c r="CL632" s="5"/>
      <c r="CN632" s="40"/>
      <c r="CO632" s="5"/>
      <c r="CQ632" s="40"/>
      <c r="CR632" s="5"/>
    </row>
    <row r="633">
      <c r="AO633" s="40"/>
      <c r="AP633" s="5"/>
      <c r="AR633" s="40"/>
      <c r="AS633" s="5"/>
      <c r="AU633" s="40"/>
      <c r="AV633" s="5"/>
      <c r="AX633" s="40"/>
      <c r="AY633" s="5"/>
      <c r="BA633" s="40"/>
      <c r="BB633" s="5"/>
      <c r="BD633" s="40"/>
      <c r="BE633" s="5"/>
      <c r="BG633" s="40"/>
      <c r="BH633" s="5"/>
      <c r="BJ633" s="40"/>
      <c r="BK633" s="5"/>
      <c r="BM633" s="40"/>
      <c r="BN633" s="5"/>
      <c r="BP633" s="40"/>
      <c r="BQ633" s="5"/>
      <c r="BS633" s="40"/>
      <c r="BT633" s="5"/>
      <c r="BV633" s="40"/>
      <c r="BW633" s="5"/>
      <c r="BY633" s="40"/>
      <c r="BZ633" s="5"/>
      <c r="CB633" s="40"/>
      <c r="CC633" s="5"/>
      <c r="CE633" s="40"/>
      <c r="CF633" s="5"/>
      <c r="CH633" s="40"/>
      <c r="CI633" s="5"/>
      <c r="CK633" s="40"/>
      <c r="CL633" s="5"/>
      <c r="CN633" s="40"/>
      <c r="CO633" s="5"/>
      <c r="CQ633" s="40"/>
      <c r="CR633" s="5"/>
    </row>
    <row r="634">
      <c r="AO634" s="40"/>
      <c r="AP634" s="5"/>
      <c r="AR634" s="40"/>
      <c r="AS634" s="5"/>
      <c r="AU634" s="40"/>
      <c r="AV634" s="5"/>
      <c r="AX634" s="40"/>
      <c r="AY634" s="5"/>
      <c r="BA634" s="40"/>
      <c r="BB634" s="5"/>
      <c r="BD634" s="40"/>
      <c r="BE634" s="5"/>
      <c r="BG634" s="40"/>
      <c r="BH634" s="5"/>
      <c r="BJ634" s="40"/>
      <c r="BK634" s="5"/>
      <c r="BM634" s="40"/>
      <c r="BN634" s="5"/>
      <c r="BP634" s="40"/>
      <c r="BQ634" s="5"/>
      <c r="BS634" s="40"/>
      <c r="BT634" s="5"/>
      <c r="BV634" s="40"/>
      <c r="BW634" s="5"/>
      <c r="BY634" s="40"/>
      <c r="BZ634" s="5"/>
      <c r="CB634" s="40"/>
      <c r="CC634" s="5"/>
      <c r="CE634" s="40"/>
      <c r="CF634" s="5"/>
      <c r="CH634" s="40"/>
      <c r="CI634" s="5"/>
      <c r="CK634" s="40"/>
      <c r="CL634" s="5"/>
      <c r="CN634" s="40"/>
      <c r="CO634" s="5"/>
      <c r="CQ634" s="40"/>
      <c r="CR634" s="5"/>
    </row>
    <row r="635">
      <c r="AO635" s="40"/>
      <c r="AP635" s="5"/>
      <c r="AR635" s="40"/>
      <c r="AS635" s="5"/>
      <c r="AU635" s="40"/>
      <c r="AV635" s="5"/>
      <c r="AX635" s="40"/>
      <c r="AY635" s="5"/>
      <c r="BA635" s="40"/>
      <c r="BB635" s="5"/>
      <c r="BD635" s="40"/>
      <c r="BE635" s="5"/>
      <c r="BG635" s="40"/>
      <c r="BH635" s="5"/>
      <c r="BJ635" s="40"/>
      <c r="BK635" s="5"/>
      <c r="BM635" s="40"/>
      <c r="BN635" s="5"/>
      <c r="BP635" s="40"/>
      <c r="BQ635" s="5"/>
      <c r="BS635" s="40"/>
      <c r="BT635" s="5"/>
      <c r="BV635" s="40"/>
      <c r="BW635" s="5"/>
      <c r="BY635" s="40"/>
      <c r="BZ635" s="5"/>
      <c r="CB635" s="40"/>
      <c r="CC635" s="5"/>
      <c r="CE635" s="40"/>
      <c r="CF635" s="5"/>
      <c r="CH635" s="40"/>
      <c r="CI635" s="5"/>
      <c r="CK635" s="40"/>
      <c r="CL635" s="5"/>
      <c r="CN635" s="40"/>
      <c r="CO635" s="5"/>
      <c r="CQ635" s="40"/>
      <c r="CR635" s="5"/>
    </row>
    <row r="636">
      <c r="AO636" s="40"/>
      <c r="AP636" s="5"/>
      <c r="AR636" s="40"/>
      <c r="AS636" s="5"/>
      <c r="AU636" s="40"/>
      <c r="AV636" s="5"/>
      <c r="AX636" s="40"/>
      <c r="AY636" s="5"/>
      <c r="BA636" s="40"/>
      <c r="BB636" s="5"/>
      <c r="BD636" s="40"/>
      <c r="BE636" s="5"/>
      <c r="BG636" s="40"/>
      <c r="BH636" s="5"/>
      <c r="BJ636" s="40"/>
      <c r="BK636" s="5"/>
      <c r="BM636" s="40"/>
      <c r="BN636" s="5"/>
      <c r="BP636" s="40"/>
      <c r="BQ636" s="5"/>
      <c r="BS636" s="40"/>
      <c r="BT636" s="5"/>
      <c r="BV636" s="40"/>
      <c r="BW636" s="5"/>
      <c r="BY636" s="40"/>
      <c r="BZ636" s="5"/>
      <c r="CB636" s="40"/>
      <c r="CC636" s="5"/>
      <c r="CE636" s="40"/>
      <c r="CF636" s="5"/>
      <c r="CH636" s="40"/>
      <c r="CI636" s="5"/>
      <c r="CK636" s="40"/>
      <c r="CL636" s="5"/>
      <c r="CN636" s="40"/>
      <c r="CO636" s="5"/>
      <c r="CQ636" s="40"/>
      <c r="CR636" s="5"/>
    </row>
    <row r="637">
      <c r="AO637" s="40"/>
      <c r="AP637" s="5"/>
      <c r="AR637" s="40"/>
      <c r="AS637" s="5"/>
      <c r="AU637" s="40"/>
      <c r="AV637" s="5"/>
      <c r="AX637" s="40"/>
      <c r="AY637" s="5"/>
      <c r="BA637" s="40"/>
      <c r="BB637" s="5"/>
      <c r="BD637" s="40"/>
      <c r="BE637" s="5"/>
      <c r="BG637" s="40"/>
      <c r="BH637" s="5"/>
      <c r="BJ637" s="40"/>
      <c r="BK637" s="5"/>
      <c r="BM637" s="40"/>
      <c r="BN637" s="5"/>
      <c r="BP637" s="40"/>
      <c r="BQ637" s="5"/>
      <c r="BS637" s="40"/>
      <c r="BT637" s="5"/>
      <c r="BV637" s="40"/>
      <c r="BW637" s="5"/>
      <c r="BY637" s="40"/>
      <c r="BZ637" s="5"/>
      <c r="CB637" s="40"/>
      <c r="CC637" s="5"/>
      <c r="CE637" s="40"/>
      <c r="CF637" s="5"/>
      <c r="CH637" s="40"/>
      <c r="CI637" s="5"/>
      <c r="CK637" s="40"/>
      <c r="CL637" s="5"/>
      <c r="CN637" s="40"/>
      <c r="CO637" s="5"/>
      <c r="CQ637" s="40"/>
      <c r="CR637" s="5"/>
    </row>
    <row r="638">
      <c r="AO638" s="40"/>
      <c r="AP638" s="5"/>
      <c r="AR638" s="40"/>
      <c r="AS638" s="5"/>
      <c r="AU638" s="40"/>
      <c r="AV638" s="5"/>
      <c r="AX638" s="40"/>
      <c r="AY638" s="5"/>
      <c r="BA638" s="40"/>
      <c r="BB638" s="5"/>
      <c r="BD638" s="40"/>
      <c r="BE638" s="5"/>
      <c r="BG638" s="40"/>
      <c r="BH638" s="5"/>
      <c r="BJ638" s="40"/>
      <c r="BK638" s="5"/>
      <c r="BM638" s="40"/>
      <c r="BN638" s="5"/>
      <c r="BP638" s="40"/>
      <c r="BQ638" s="5"/>
      <c r="BS638" s="40"/>
      <c r="BT638" s="5"/>
      <c r="BV638" s="40"/>
      <c r="BW638" s="5"/>
      <c r="BY638" s="40"/>
      <c r="BZ638" s="5"/>
      <c r="CB638" s="40"/>
      <c r="CC638" s="5"/>
      <c r="CE638" s="40"/>
      <c r="CF638" s="5"/>
      <c r="CH638" s="40"/>
      <c r="CI638" s="5"/>
      <c r="CK638" s="40"/>
      <c r="CL638" s="5"/>
      <c r="CN638" s="40"/>
      <c r="CO638" s="5"/>
      <c r="CQ638" s="40"/>
      <c r="CR638" s="5"/>
    </row>
    <row r="639">
      <c r="AO639" s="40"/>
      <c r="AP639" s="5"/>
      <c r="AR639" s="40"/>
      <c r="AS639" s="5"/>
      <c r="AU639" s="40"/>
      <c r="AV639" s="5"/>
      <c r="AX639" s="40"/>
      <c r="AY639" s="5"/>
      <c r="BA639" s="40"/>
      <c r="BB639" s="5"/>
      <c r="BD639" s="40"/>
      <c r="BE639" s="5"/>
      <c r="BG639" s="40"/>
      <c r="BH639" s="5"/>
      <c r="BJ639" s="40"/>
      <c r="BK639" s="5"/>
      <c r="BM639" s="40"/>
      <c r="BN639" s="5"/>
      <c r="BP639" s="40"/>
      <c r="BQ639" s="5"/>
      <c r="BS639" s="40"/>
      <c r="BT639" s="5"/>
      <c r="BV639" s="40"/>
      <c r="BW639" s="5"/>
      <c r="BY639" s="40"/>
      <c r="BZ639" s="5"/>
      <c r="CB639" s="40"/>
      <c r="CC639" s="5"/>
      <c r="CE639" s="40"/>
      <c r="CF639" s="5"/>
      <c r="CH639" s="40"/>
      <c r="CI639" s="5"/>
      <c r="CK639" s="40"/>
      <c r="CL639" s="5"/>
      <c r="CN639" s="40"/>
      <c r="CO639" s="5"/>
      <c r="CQ639" s="40"/>
      <c r="CR639" s="5"/>
    </row>
    <row r="640">
      <c r="AO640" s="40"/>
      <c r="AP640" s="5"/>
      <c r="AR640" s="40"/>
      <c r="AS640" s="5"/>
      <c r="AU640" s="40"/>
      <c r="AV640" s="5"/>
      <c r="AX640" s="40"/>
      <c r="AY640" s="5"/>
      <c r="BA640" s="40"/>
      <c r="BB640" s="5"/>
      <c r="BD640" s="40"/>
      <c r="BE640" s="5"/>
      <c r="BG640" s="40"/>
      <c r="BH640" s="5"/>
      <c r="BJ640" s="40"/>
      <c r="BK640" s="5"/>
      <c r="BM640" s="40"/>
      <c r="BN640" s="5"/>
      <c r="BP640" s="40"/>
      <c r="BQ640" s="5"/>
      <c r="BS640" s="40"/>
      <c r="BT640" s="5"/>
      <c r="BV640" s="40"/>
      <c r="BW640" s="5"/>
      <c r="BY640" s="40"/>
      <c r="BZ640" s="5"/>
      <c r="CB640" s="40"/>
      <c r="CC640" s="5"/>
      <c r="CE640" s="40"/>
      <c r="CF640" s="5"/>
      <c r="CH640" s="40"/>
      <c r="CI640" s="5"/>
      <c r="CK640" s="40"/>
      <c r="CL640" s="5"/>
      <c r="CN640" s="40"/>
      <c r="CO640" s="5"/>
      <c r="CQ640" s="40"/>
      <c r="CR640" s="5"/>
    </row>
    <row r="641">
      <c r="AO641" s="40"/>
      <c r="AP641" s="5"/>
      <c r="AR641" s="40"/>
      <c r="AS641" s="5"/>
      <c r="AU641" s="40"/>
      <c r="AV641" s="5"/>
      <c r="AX641" s="40"/>
      <c r="AY641" s="5"/>
      <c r="BA641" s="40"/>
      <c r="BB641" s="5"/>
      <c r="BD641" s="40"/>
      <c r="BE641" s="5"/>
      <c r="BG641" s="40"/>
      <c r="BH641" s="5"/>
      <c r="BJ641" s="40"/>
      <c r="BK641" s="5"/>
      <c r="BM641" s="40"/>
      <c r="BN641" s="5"/>
      <c r="BP641" s="40"/>
      <c r="BQ641" s="5"/>
      <c r="BS641" s="40"/>
      <c r="BT641" s="5"/>
      <c r="BV641" s="40"/>
      <c r="BW641" s="5"/>
      <c r="BY641" s="40"/>
      <c r="BZ641" s="5"/>
      <c r="CB641" s="40"/>
      <c r="CC641" s="5"/>
      <c r="CE641" s="40"/>
      <c r="CF641" s="5"/>
      <c r="CH641" s="40"/>
      <c r="CI641" s="5"/>
      <c r="CK641" s="40"/>
      <c r="CL641" s="5"/>
      <c r="CN641" s="40"/>
      <c r="CO641" s="5"/>
      <c r="CQ641" s="40"/>
      <c r="CR641" s="5"/>
    </row>
    <row r="642">
      <c r="AO642" s="40"/>
      <c r="AP642" s="5"/>
      <c r="AR642" s="40"/>
      <c r="AS642" s="5"/>
      <c r="AU642" s="40"/>
      <c r="AV642" s="5"/>
      <c r="AX642" s="40"/>
      <c r="AY642" s="5"/>
      <c r="BA642" s="40"/>
      <c r="BB642" s="5"/>
      <c r="BD642" s="40"/>
      <c r="BE642" s="5"/>
      <c r="BG642" s="40"/>
      <c r="BH642" s="5"/>
      <c r="BJ642" s="40"/>
      <c r="BK642" s="5"/>
      <c r="BM642" s="40"/>
      <c r="BN642" s="5"/>
      <c r="BP642" s="40"/>
      <c r="BQ642" s="5"/>
      <c r="BS642" s="40"/>
      <c r="BT642" s="5"/>
      <c r="BV642" s="40"/>
      <c r="BW642" s="5"/>
      <c r="BY642" s="40"/>
      <c r="BZ642" s="5"/>
      <c r="CB642" s="40"/>
      <c r="CC642" s="5"/>
      <c r="CE642" s="40"/>
      <c r="CF642" s="5"/>
      <c r="CH642" s="40"/>
      <c r="CI642" s="5"/>
      <c r="CK642" s="40"/>
      <c r="CL642" s="5"/>
      <c r="CN642" s="40"/>
      <c r="CO642" s="5"/>
      <c r="CQ642" s="40"/>
      <c r="CR642" s="5"/>
    </row>
    <row r="643">
      <c r="AO643" s="40"/>
      <c r="AP643" s="5"/>
      <c r="AR643" s="40"/>
      <c r="AS643" s="5"/>
      <c r="AU643" s="40"/>
      <c r="AV643" s="5"/>
      <c r="AX643" s="40"/>
      <c r="AY643" s="5"/>
      <c r="BA643" s="40"/>
      <c r="BB643" s="5"/>
      <c r="BD643" s="40"/>
      <c r="BE643" s="5"/>
      <c r="BG643" s="40"/>
      <c r="BH643" s="5"/>
      <c r="BJ643" s="40"/>
      <c r="BK643" s="5"/>
      <c r="BM643" s="40"/>
      <c r="BN643" s="5"/>
      <c r="BP643" s="40"/>
      <c r="BQ643" s="5"/>
      <c r="BS643" s="40"/>
      <c r="BT643" s="5"/>
      <c r="BV643" s="40"/>
      <c r="BW643" s="5"/>
      <c r="BY643" s="40"/>
      <c r="BZ643" s="5"/>
      <c r="CB643" s="40"/>
      <c r="CC643" s="5"/>
      <c r="CE643" s="40"/>
      <c r="CF643" s="5"/>
      <c r="CH643" s="40"/>
      <c r="CI643" s="5"/>
      <c r="CK643" s="40"/>
      <c r="CL643" s="5"/>
      <c r="CN643" s="40"/>
      <c r="CO643" s="5"/>
      <c r="CQ643" s="40"/>
      <c r="CR643" s="5"/>
    </row>
    <row r="644">
      <c r="AO644" s="40"/>
      <c r="AP644" s="5"/>
      <c r="AR644" s="40"/>
      <c r="AS644" s="5"/>
      <c r="AU644" s="40"/>
      <c r="AV644" s="5"/>
      <c r="AX644" s="40"/>
      <c r="AY644" s="5"/>
      <c r="BA644" s="40"/>
      <c r="BB644" s="5"/>
      <c r="BD644" s="40"/>
      <c r="BE644" s="5"/>
      <c r="BG644" s="40"/>
      <c r="BH644" s="5"/>
      <c r="BJ644" s="40"/>
      <c r="BK644" s="5"/>
      <c r="BM644" s="40"/>
      <c r="BN644" s="5"/>
      <c r="BP644" s="40"/>
      <c r="BQ644" s="5"/>
      <c r="BS644" s="40"/>
      <c r="BT644" s="5"/>
      <c r="BV644" s="40"/>
      <c r="BW644" s="5"/>
      <c r="BY644" s="40"/>
      <c r="BZ644" s="5"/>
      <c r="CB644" s="40"/>
      <c r="CC644" s="5"/>
      <c r="CE644" s="40"/>
      <c r="CF644" s="5"/>
      <c r="CH644" s="40"/>
      <c r="CI644" s="5"/>
      <c r="CK644" s="40"/>
      <c r="CL644" s="5"/>
      <c r="CN644" s="40"/>
      <c r="CO644" s="5"/>
      <c r="CQ644" s="40"/>
      <c r="CR644" s="5"/>
    </row>
    <row r="645">
      <c r="AO645" s="40"/>
      <c r="AP645" s="5"/>
      <c r="AR645" s="40"/>
      <c r="AS645" s="5"/>
      <c r="AU645" s="40"/>
      <c r="AV645" s="5"/>
      <c r="AX645" s="40"/>
      <c r="AY645" s="5"/>
      <c r="BA645" s="40"/>
      <c r="BB645" s="5"/>
      <c r="BD645" s="40"/>
      <c r="BE645" s="5"/>
      <c r="BG645" s="40"/>
      <c r="BH645" s="5"/>
      <c r="BJ645" s="40"/>
      <c r="BK645" s="5"/>
      <c r="BM645" s="40"/>
      <c r="BN645" s="5"/>
      <c r="BP645" s="40"/>
      <c r="BQ645" s="5"/>
      <c r="BS645" s="40"/>
      <c r="BT645" s="5"/>
      <c r="BV645" s="40"/>
      <c r="BW645" s="5"/>
      <c r="BY645" s="40"/>
      <c r="BZ645" s="5"/>
      <c r="CB645" s="40"/>
      <c r="CC645" s="5"/>
      <c r="CE645" s="40"/>
      <c r="CF645" s="5"/>
      <c r="CH645" s="40"/>
      <c r="CI645" s="5"/>
      <c r="CK645" s="40"/>
      <c r="CL645" s="5"/>
      <c r="CN645" s="40"/>
      <c r="CO645" s="5"/>
      <c r="CQ645" s="40"/>
      <c r="CR645" s="5"/>
    </row>
    <row r="646">
      <c r="AO646" s="40"/>
      <c r="AP646" s="5"/>
      <c r="AR646" s="40"/>
      <c r="AS646" s="5"/>
      <c r="AU646" s="40"/>
      <c r="AV646" s="5"/>
      <c r="AX646" s="40"/>
      <c r="AY646" s="5"/>
      <c r="BA646" s="40"/>
      <c r="BB646" s="5"/>
      <c r="BD646" s="40"/>
      <c r="BE646" s="5"/>
      <c r="BG646" s="40"/>
      <c r="BH646" s="5"/>
      <c r="BJ646" s="40"/>
      <c r="BK646" s="5"/>
      <c r="BM646" s="40"/>
      <c r="BN646" s="5"/>
      <c r="BP646" s="40"/>
      <c r="BQ646" s="5"/>
      <c r="BS646" s="40"/>
      <c r="BT646" s="5"/>
      <c r="BV646" s="40"/>
      <c r="BW646" s="5"/>
      <c r="BY646" s="40"/>
      <c r="BZ646" s="5"/>
      <c r="CB646" s="40"/>
      <c r="CC646" s="5"/>
      <c r="CE646" s="40"/>
      <c r="CF646" s="5"/>
      <c r="CH646" s="40"/>
      <c r="CI646" s="5"/>
      <c r="CK646" s="40"/>
      <c r="CL646" s="5"/>
      <c r="CN646" s="40"/>
      <c r="CO646" s="5"/>
      <c r="CQ646" s="40"/>
      <c r="CR646" s="5"/>
    </row>
    <row r="647">
      <c r="AO647" s="40"/>
      <c r="AP647" s="5"/>
      <c r="AR647" s="40"/>
      <c r="AS647" s="5"/>
      <c r="AU647" s="40"/>
      <c r="AV647" s="5"/>
      <c r="AX647" s="40"/>
      <c r="AY647" s="5"/>
      <c r="BA647" s="40"/>
      <c r="BB647" s="5"/>
      <c r="BD647" s="40"/>
      <c r="BE647" s="5"/>
      <c r="BG647" s="40"/>
      <c r="BH647" s="5"/>
      <c r="BJ647" s="40"/>
      <c r="BK647" s="5"/>
      <c r="BM647" s="40"/>
      <c r="BN647" s="5"/>
      <c r="BP647" s="40"/>
      <c r="BQ647" s="5"/>
      <c r="BS647" s="40"/>
      <c r="BT647" s="5"/>
      <c r="BV647" s="40"/>
      <c r="BW647" s="5"/>
      <c r="BY647" s="40"/>
      <c r="BZ647" s="5"/>
      <c r="CB647" s="40"/>
      <c r="CC647" s="5"/>
      <c r="CE647" s="40"/>
      <c r="CF647" s="5"/>
      <c r="CH647" s="40"/>
      <c r="CI647" s="5"/>
      <c r="CK647" s="40"/>
      <c r="CL647" s="5"/>
      <c r="CN647" s="40"/>
      <c r="CO647" s="5"/>
      <c r="CQ647" s="40"/>
      <c r="CR647" s="5"/>
    </row>
    <row r="648">
      <c r="AO648" s="40"/>
      <c r="AP648" s="5"/>
      <c r="AR648" s="40"/>
      <c r="AS648" s="5"/>
      <c r="AU648" s="40"/>
      <c r="AV648" s="5"/>
      <c r="AX648" s="40"/>
      <c r="AY648" s="5"/>
      <c r="BA648" s="40"/>
      <c r="BB648" s="5"/>
      <c r="BD648" s="40"/>
      <c r="BE648" s="5"/>
      <c r="BG648" s="40"/>
      <c r="BH648" s="5"/>
      <c r="BJ648" s="40"/>
      <c r="BK648" s="5"/>
      <c r="BM648" s="40"/>
      <c r="BN648" s="5"/>
      <c r="BP648" s="40"/>
      <c r="BQ648" s="5"/>
      <c r="BS648" s="40"/>
      <c r="BT648" s="5"/>
      <c r="BV648" s="40"/>
      <c r="BW648" s="5"/>
      <c r="BY648" s="40"/>
      <c r="BZ648" s="5"/>
      <c r="CB648" s="40"/>
      <c r="CC648" s="5"/>
      <c r="CE648" s="40"/>
      <c r="CF648" s="5"/>
      <c r="CH648" s="40"/>
      <c r="CI648" s="5"/>
      <c r="CK648" s="40"/>
      <c r="CL648" s="5"/>
      <c r="CN648" s="40"/>
      <c r="CO648" s="5"/>
      <c r="CQ648" s="40"/>
      <c r="CR648" s="5"/>
    </row>
    <row r="649">
      <c r="AO649" s="40"/>
      <c r="AP649" s="5"/>
      <c r="AR649" s="40"/>
      <c r="AS649" s="5"/>
      <c r="AU649" s="40"/>
      <c r="AV649" s="5"/>
      <c r="AX649" s="40"/>
      <c r="AY649" s="5"/>
      <c r="BA649" s="40"/>
      <c r="BB649" s="5"/>
      <c r="BD649" s="40"/>
      <c r="BE649" s="5"/>
      <c r="BG649" s="40"/>
      <c r="BH649" s="5"/>
      <c r="BJ649" s="40"/>
      <c r="BK649" s="5"/>
      <c r="BM649" s="40"/>
      <c r="BN649" s="5"/>
      <c r="BP649" s="40"/>
      <c r="BQ649" s="5"/>
      <c r="BS649" s="40"/>
      <c r="BT649" s="5"/>
      <c r="BV649" s="40"/>
      <c r="BW649" s="5"/>
      <c r="BY649" s="40"/>
      <c r="BZ649" s="5"/>
      <c r="CB649" s="40"/>
      <c r="CC649" s="5"/>
      <c r="CE649" s="40"/>
      <c r="CF649" s="5"/>
      <c r="CH649" s="40"/>
      <c r="CI649" s="5"/>
      <c r="CK649" s="40"/>
      <c r="CL649" s="5"/>
      <c r="CN649" s="40"/>
      <c r="CO649" s="5"/>
      <c r="CQ649" s="40"/>
      <c r="CR649" s="5"/>
    </row>
    <row r="650">
      <c r="AO650" s="40"/>
      <c r="AP650" s="5"/>
      <c r="AR650" s="40"/>
      <c r="AS650" s="5"/>
      <c r="AU650" s="40"/>
      <c r="AV650" s="5"/>
      <c r="AX650" s="40"/>
      <c r="AY650" s="5"/>
      <c r="BA650" s="40"/>
      <c r="BB650" s="5"/>
      <c r="BD650" s="40"/>
      <c r="BE650" s="5"/>
      <c r="BG650" s="40"/>
      <c r="BH650" s="5"/>
      <c r="BJ650" s="40"/>
      <c r="BK650" s="5"/>
      <c r="BM650" s="40"/>
      <c r="BN650" s="5"/>
      <c r="BP650" s="40"/>
      <c r="BQ650" s="5"/>
      <c r="BS650" s="40"/>
      <c r="BT650" s="5"/>
      <c r="BV650" s="40"/>
      <c r="BW650" s="5"/>
      <c r="BY650" s="40"/>
      <c r="BZ650" s="5"/>
      <c r="CB650" s="40"/>
      <c r="CC650" s="5"/>
      <c r="CE650" s="40"/>
      <c r="CF650" s="5"/>
      <c r="CH650" s="40"/>
      <c r="CI650" s="5"/>
      <c r="CK650" s="40"/>
      <c r="CL650" s="5"/>
      <c r="CN650" s="40"/>
      <c r="CO650" s="5"/>
      <c r="CQ650" s="40"/>
      <c r="CR650" s="5"/>
    </row>
    <row r="651">
      <c r="AO651" s="40"/>
      <c r="AP651" s="5"/>
      <c r="AR651" s="40"/>
      <c r="AS651" s="5"/>
      <c r="AU651" s="40"/>
      <c r="AV651" s="5"/>
      <c r="AX651" s="40"/>
      <c r="AY651" s="5"/>
      <c r="BA651" s="40"/>
      <c r="BB651" s="5"/>
      <c r="BD651" s="40"/>
      <c r="BE651" s="5"/>
      <c r="BG651" s="40"/>
      <c r="BH651" s="5"/>
      <c r="BJ651" s="40"/>
      <c r="BK651" s="5"/>
      <c r="BM651" s="40"/>
      <c r="BN651" s="5"/>
      <c r="BP651" s="40"/>
      <c r="BQ651" s="5"/>
      <c r="BS651" s="40"/>
      <c r="BT651" s="5"/>
      <c r="BV651" s="40"/>
      <c r="BW651" s="5"/>
      <c r="BY651" s="40"/>
      <c r="BZ651" s="5"/>
      <c r="CB651" s="40"/>
      <c r="CC651" s="5"/>
      <c r="CE651" s="40"/>
      <c r="CF651" s="5"/>
      <c r="CH651" s="40"/>
      <c r="CI651" s="5"/>
      <c r="CK651" s="40"/>
      <c r="CL651" s="5"/>
      <c r="CN651" s="40"/>
      <c r="CO651" s="5"/>
      <c r="CQ651" s="40"/>
      <c r="CR651" s="5"/>
    </row>
    <row r="652">
      <c r="AO652" s="40"/>
      <c r="AP652" s="5"/>
      <c r="AR652" s="40"/>
      <c r="AS652" s="5"/>
      <c r="AU652" s="40"/>
      <c r="AV652" s="5"/>
      <c r="AX652" s="40"/>
      <c r="AY652" s="5"/>
      <c r="BA652" s="40"/>
      <c r="BB652" s="5"/>
      <c r="BD652" s="40"/>
      <c r="BE652" s="5"/>
      <c r="BG652" s="40"/>
      <c r="BH652" s="5"/>
      <c r="BJ652" s="40"/>
      <c r="BK652" s="5"/>
      <c r="BM652" s="40"/>
      <c r="BN652" s="5"/>
      <c r="BP652" s="40"/>
      <c r="BQ652" s="5"/>
      <c r="BS652" s="40"/>
      <c r="BT652" s="5"/>
      <c r="BV652" s="40"/>
      <c r="BW652" s="5"/>
      <c r="BY652" s="40"/>
      <c r="BZ652" s="5"/>
      <c r="CB652" s="40"/>
      <c r="CC652" s="5"/>
      <c r="CE652" s="40"/>
      <c r="CF652" s="5"/>
      <c r="CH652" s="40"/>
      <c r="CI652" s="5"/>
      <c r="CK652" s="40"/>
      <c r="CL652" s="5"/>
      <c r="CN652" s="40"/>
      <c r="CO652" s="5"/>
      <c r="CQ652" s="40"/>
      <c r="CR652" s="5"/>
    </row>
    <row r="653">
      <c r="AO653" s="40"/>
      <c r="AP653" s="5"/>
      <c r="AR653" s="40"/>
      <c r="AS653" s="5"/>
      <c r="AU653" s="40"/>
      <c r="AV653" s="5"/>
      <c r="AX653" s="40"/>
      <c r="AY653" s="5"/>
      <c r="BA653" s="40"/>
      <c r="BB653" s="5"/>
      <c r="BD653" s="40"/>
      <c r="BE653" s="5"/>
      <c r="BG653" s="40"/>
      <c r="BH653" s="5"/>
      <c r="BJ653" s="40"/>
      <c r="BK653" s="5"/>
      <c r="BM653" s="40"/>
      <c r="BN653" s="5"/>
      <c r="BP653" s="40"/>
      <c r="BQ653" s="5"/>
      <c r="BS653" s="40"/>
      <c r="BT653" s="5"/>
      <c r="BV653" s="40"/>
      <c r="BW653" s="5"/>
      <c r="BY653" s="40"/>
      <c r="BZ653" s="5"/>
      <c r="CB653" s="40"/>
      <c r="CC653" s="5"/>
      <c r="CE653" s="40"/>
      <c r="CF653" s="5"/>
      <c r="CH653" s="40"/>
      <c r="CI653" s="5"/>
      <c r="CK653" s="40"/>
      <c r="CL653" s="5"/>
      <c r="CN653" s="40"/>
      <c r="CO653" s="5"/>
      <c r="CQ653" s="40"/>
      <c r="CR653" s="5"/>
    </row>
    <row r="654">
      <c r="AO654" s="40"/>
      <c r="AP654" s="5"/>
      <c r="AR654" s="40"/>
      <c r="AS654" s="5"/>
      <c r="AU654" s="40"/>
      <c r="AV654" s="5"/>
      <c r="AX654" s="40"/>
      <c r="AY654" s="5"/>
      <c r="BA654" s="40"/>
      <c r="BB654" s="5"/>
      <c r="BD654" s="40"/>
      <c r="BE654" s="5"/>
      <c r="BG654" s="40"/>
      <c r="BH654" s="5"/>
      <c r="BJ654" s="40"/>
      <c r="BK654" s="5"/>
      <c r="BM654" s="40"/>
      <c r="BN654" s="5"/>
      <c r="BP654" s="40"/>
      <c r="BQ654" s="5"/>
      <c r="BS654" s="40"/>
      <c r="BT654" s="5"/>
      <c r="BV654" s="40"/>
      <c r="BW654" s="5"/>
      <c r="BY654" s="40"/>
      <c r="BZ654" s="5"/>
      <c r="CB654" s="40"/>
      <c r="CC654" s="5"/>
      <c r="CE654" s="40"/>
      <c r="CF654" s="5"/>
      <c r="CH654" s="40"/>
      <c r="CI654" s="5"/>
      <c r="CK654" s="40"/>
      <c r="CL654" s="5"/>
      <c r="CN654" s="40"/>
      <c r="CO654" s="5"/>
      <c r="CQ654" s="40"/>
      <c r="CR654" s="5"/>
    </row>
    <row r="655">
      <c r="AO655" s="40"/>
      <c r="AP655" s="5"/>
      <c r="AR655" s="40"/>
      <c r="AS655" s="5"/>
      <c r="AU655" s="40"/>
      <c r="AV655" s="5"/>
      <c r="AX655" s="40"/>
      <c r="AY655" s="5"/>
      <c r="BA655" s="40"/>
      <c r="BB655" s="5"/>
      <c r="BD655" s="40"/>
      <c r="BE655" s="5"/>
      <c r="BG655" s="40"/>
      <c r="BH655" s="5"/>
      <c r="BJ655" s="40"/>
      <c r="BK655" s="5"/>
      <c r="BM655" s="40"/>
      <c r="BN655" s="5"/>
      <c r="BP655" s="40"/>
      <c r="BQ655" s="5"/>
      <c r="BS655" s="40"/>
      <c r="BT655" s="5"/>
      <c r="BV655" s="40"/>
      <c r="BW655" s="5"/>
      <c r="BY655" s="40"/>
      <c r="BZ655" s="5"/>
      <c r="CB655" s="40"/>
      <c r="CC655" s="5"/>
      <c r="CE655" s="40"/>
      <c r="CF655" s="5"/>
      <c r="CH655" s="40"/>
      <c r="CI655" s="5"/>
      <c r="CK655" s="40"/>
      <c r="CL655" s="5"/>
      <c r="CN655" s="40"/>
      <c r="CO655" s="5"/>
      <c r="CQ655" s="40"/>
      <c r="CR655" s="5"/>
    </row>
    <row r="656">
      <c r="AO656" s="40"/>
      <c r="AP656" s="5"/>
      <c r="AR656" s="40"/>
      <c r="AS656" s="5"/>
      <c r="AU656" s="40"/>
      <c r="AV656" s="5"/>
      <c r="AX656" s="40"/>
      <c r="AY656" s="5"/>
      <c r="BA656" s="40"/>
      <c r="BB656" s="5"/>
      <c r="BD656" s="40"/>
      <c r="BE656" s="5"/>
      <c r="BG656" s="40"/>
      <c r="BH656" s="5"/>
      <c r="BJ656" s="40"/>
      <c r="BK656" s="5"/>
      <c r="BM656" s="40"/>
      <c r="BN656" s="5"/>
      <c r="BP656" s="40"/>
      <c r="BQ656" s="5"/>
      <c r="BS656" s="40"/>
      <c r="BT656" s="5"/>
      <c r="BV656" s="40"/>
      <c r="BW656" s="5"/>
      <c r="BY656" s="40"/>
      <c r="BZ656" s="5"/>
      <c r="CB656" s="40"/>
      <c r="CC656" s="5"/>
      <c r="CE656" s="40"/>
      <c r="CF656" s="5"/>
      <c r="CH656" s="40"/>
      <c r="CI656" s="5"/>
      <c r="CK656" s="40"/>
      <c r="CL656" s="5"/>
      <c r="CN656" s="40"/>
      <c r="CO656" s="5"/>
      <c r="CQ656" s="40"/>
      <c r="CR656" s="5"/>
    </row>
    <row r="657">
      <c r="AO657" s="40"/>
      <c r="AP657" s="5"/>
      <c r="AR657" s="40"/>
      <c r="AS657" s="5"/>
      <c r="AU657" s="40"/>
      <c r="AV657" s="5"/>
      <c r="AX657" s="40"/>
      <c r="AY657" s="5"/>
      <c r="BA657" s="40"/>
      <c r="BB657" s="5"/>
      <c r="BD657" s="40"/>
      <c r="BE657" s="5"/>
      <c r="BG657" s="40"/>
      <c r="BH657" s="5"/>
      <c r="BJ657" s="40"/>
      <c r="BK657" s="5"/>
      <c r="BM657" s="40"/>
      <c r="BN657" s="5"/>
      <c r="BP657" s="40"/>
      <c r="BQ657" s="5"/>
      <c r="BS657" s="40"/>
      <c r="BT657" s="5"/>
      <c r="BV657" s="40"/>
      <c r="BW657" s="5"/>
      <c r="BY657" s="40"/>
      <c r="BZ657" s="5"/>
      <c r="CB657" s="40"/>
      <c r="CC657" s="5"/>
      <c r="CE657" s="40"/>
      <c r="CF657" s="5"/>
      <c r="CH657" s="40"/>
      <c r="CI657" s="5"/>
      <c r="CK657" s="40"/>
      <c r="CL657" s="5"/>
      <c r="CN657" s="40"/>
      <c r="CO657" s="5"/>
      <c r="CQ657" s="40"/>
      <c r="CR657" s="5"/>
    </row>
    <row r="658">
      <c r="AO658" s="40"/>
      <c r="AP658" s="5"/>
      <c r="AR658" s="40"/>
      <c r="AS658" s="5"/>
      <c r="AU658" s="40"/>
      <c r="AV658" s="5"/>
      <c r="AX658" s="40"/>
      <c r="AY658" s="5"/>
      <c r="BA658" s="40"/>
      <c r="BB658" s="5"/>
      <c r="BD658" s="40"/>
      <c r="BE658" s="5"/>
      <c r="BG658" s="40"/>
      <c r="BH658" s="5"/>
      <c r="BJ658" s="40"/>
      <c r="BK658" s="5"/>
      <c r="BM658" s="40"/>
      <c r="BN658" s="5"/>
      <c r="BP658" s="40"/>
      <c r="BQ658" s="5"/>
      <c r="BS658" s="40"/>
      <c r="BT658" s="5"/>
      <c r="BV658" s="40"/>
      <c r="BW658" s="5"/>
      <c r="BY658" s="40"/>
      <c r="BZ658" s="5"/>
      <c r="CB658" s="40"/>
      <c r="CC658" s="5"/>
      <c r="CE658" s="40"/>
      <c r="CF658" s="5"/>
      <c r="CH658" s="40"/>
      <c r="CI658" s="5"/>
      <c r="CK658" s="40"/>
      <c r="CL658" s="5"/>
      <c r="CN658" s="40"/>
      <c r="CO658" s="5"/>
      <c r="CQ658" s="40"/>
      <c r="CR658" s="5"/>
    </row>
    <row r="659">
      <c r="AO659" s="40"/>
      <c r="AP659" s="5"/>
      <c r="AR659" s="40"/>
      <c r="AS659" s="5"/>
      <c r="AU659" s="40"/>
      <c r="AV659" s="5"/>
      <c r="AX659" s="40"/>
      <c r="AY659" s="5"/>
      <c r="BA659" s="40"/>
      <c r="BB659" s="5"/>
      <c r="BD659" s="40"/>
      <c r="BE659" s="5"/>
      <c r="BG659" s="40"/>
      <c r="BH659" s="5"/>
      <c r="BJ659" s="40"/>
      <c r="BK659" s="5"/>
      <c r="BM659" s="40"/>
      <c r="BN659" s="5"/>
      <c r="BP659" s="40"/>
      <c r="BQ659" s="5"/>
      <c r="BS659" s="40"/>
      <c r="BT659" s="5"/>
      <c r="BV659" s="40"/>
      <c r="BW659" s="5"/>
      <c r="BY659" s="40"/>
      <c r="BZ659" s="5"/>
      <c r="CB659" s="40"/>
      <c r="CC659" s="5"/>
      <c r="CE659" s="40"/>
      <c r="CF659" s="5"/>
      <c r="CH659" s="40"/>
      <c r="CI659" s="5"/>
      <c r="CK659" s="40"/>
      <c r="CL659" s="5"/>
      <c r="CN659" s="40"/>
      <c r="CO659" s="5"/>
      <c r="CQ659" s="40"/>
      <c r="CR659" s="5"/>
    </row>
    <row r="660">
      <c r="AO660" s="40"/>
      <c r="AP660" s="5"/>
      <c r="AR660" s="40"/>
      <c r="AS660" s="5"/>
      <c r="AU660" s="40"/>
      <c r="AV660" s="5"/>
      <c r="AX660" s="40"/>
      <c r="AY660" s="5"/>
      <c r="BA660" s="40"/>
      <c r="BB660" s="5"/>
      <c r="BD660" s="40"/>
      <c r="BE660" s="5"/>
      <c r="BG660" s="40"/>
      <c r="BH660" s="5"/>
      <c r="BJ660" s="40"/>
      <c r="BK660" s="5"/>
      <c r="BM660" s="40"/>
      <c r="BN660" s="5"/>
      <c r="BP660" s="40"/>
      <c r="BQ660" s="5"/>
      <c r="BS660" s="40"/>
      <c r="BT660" s="5"/>
      <c r="BV660" s="40"/>
      <c r="BW660" s="5"/>
      <c r="BY660" s="40"/>
      <c r="BZ660" s="5"/>
      <c r="CB660" s="40"/>
      <c r="CC660" s="5"/>
      <c r="CE660" s="40"/>
      <c r="CF660" s="5"/>
      <c r="CH660" s="40"/>
      <c r="CI660" s="5"/>
      <c r="CK660" s="40"/>
      <c r="CL660" s="5"/>
      <c r="CN660" s="40"/>
      <c r="CO660" s="5"/>
      <c r="CQ660" s="40"/>
      <c r="CR660" s="5"/>
    </row>
    <row r="661">
      <c r="AO661" s="40"/>
      <c r="AP661" s="5"/>
      <c r="AR661" s="40"/>
      <c r="AS661" s="5"/>
      <c r="AU661" s="40"/>
      <c r="AV661" s="5"/>
      <c r="AX661" s="40"/>
      <c r="AY661" s="5"/>
      <c r="BA661" s="40"/>
      <c r="BB661" s="5"/>
      <c r="BD661" s="40"/>
      <c r="BE661" s="5"/>
      <c r="BG661" s="40"/>
      <c r="BH661" s="5"/>
      <c r="BJ661" s="40"/>
      <c r="BK661" s="5"/>
      <c r="BM661" s="40"/>
      <c r="BN661" s="5"/>
      <c r="BP661" s="40"/>
      <c r="BQ661" s="5"/>
      <c r="BS661" s="40"/>
      <c r="BT661" s="5"/>
      <c r="BV661" s="40"/>
      <c r="BW661" s="5"/>
      <c r="BY661" s="40"/>
      <c r="BZ661" s="5"/>
      <c r="CB661" s="40"/>
      <c r="CC661" s="5"/>
      <c r="CE661" s="40"/>
      <c r="CF661" s="5"/>
      <c r="CH661" s="40"/>
      <c r="CI661" s="5"/>
      <c r="CK661" s="40"/>
      <c r="CL661" s="5"/>
      <c r="CN661" s="40"/>
      <c r="CO661" s="5"/>
      <c r="CQ661" s="40"/>
      <c r="CR661" s="5"/>
    </row>
    <row r="662">
      <c r="AO662" s="40"/>
      <c r="AP662" s="5"/>
      <c r="AR662" s="40"/>
      <c r="AS662" s="5"/>
      <c r="AU662" s="40"/>
      <c r="AV662" s="5"/>
      <c r="AX662" s="40"/>
      <c r="AY662" s="5"/>
      <c r="BA662" s="40"/>
      <c r="BB662" s="5"/>
      <c r="BD662" s="40"/>
      <c r="BE662" s="5"/>
      <c r="BG662" s="40"/>
      <c r="BH662" s="5"/>
      <c r="BJ662" s="40"/>
      <c r="BK662" s="5"/>
      <c r="BM662" s="40"/>
      <c r="BN662" s="5"/>
      <c r="BP662" s="40"/>
      <c r="BQ662" s="5"/>
      <c r="BS662" s="40"/>
      <c r="BT662" s="5"/>
      <c r="BV662" s="40"/>
      <c r="BW662" s="5"/>
      <c r="BY662" s="40"/>
      <c r="BZ662" s="5"/>
      <c r="CB662" s="40"/>
      <c r="CC662" s="5"/>
      <c r="CE662" s="40"/>
      <c r="CF662" s="5"/>
      <c r="CH662" s="40"/>
      <c r="CI662" s="5"/>
      <c r="CK662" s="40"/>
      <c r="CL662" s="5"/>
      <c r="CN662" s="40"/>
      <c r="CO662" s="5"/>
      <c r="CQ662" s="40"/>
      <c r="CR662" s="5"/>
    </row>
    <row r="663">
      <c r="AO663" s="40"/>
      <c r="AP663" s="5"/>
      <c r="AR663" s="40"/>
      <c r="AS663" s="5"/>
      <c r="AU663" s="40"/>
      <c r="AV663" s="5"/>
      <c r="AX663" s="40"/>
      <c r="AY663" s="5"/>
      <c r="BA663" s="40"/>
      <c r="BB663" s="5"/>
      <c r="BD663" s="40"/>
      <c r="BE663" s="5"/>
      <c r="BG663" s="40"/>
      <c r="BH663" s="5"/>
      <c r="BJ663" s="40"/>
      <c r="BK663" s="5"/>
      <c r="BM663" s="40"/>
      <c r="BN663" s="5"/>
      <c r="BP663" s="40"/>
      <c r="BQ663" s="5"/>
      <c r="BS663" s="40"/>
      <c r="BT663" s="5"/>
      <c r="BV663" s="40"/>
      <c r="BW663" s="5"/>
      <c r="BY663" s="40"/>
      <c r="BZ663" s="5"/>
      <c r="CB663" s="40"/>
      <c r="CC663" s="5"/>
      <c r="CE663" s="40"/>
      <c r="CF663" s="5"/>
      <c r="CH663" s="40"/>
      <c r="CI663" s="5"/>
      <c r="CK663" s="40"/>
      <c r="CL663" s="5"/>
      <c r="CN663" s="40"/>
      <c r="CO663" s="5"/>
      <c r="CQ663" s="40"/>
      <c r="CR663" s="5"/>
    </row>
    <row r="664">
      <c r="AO664" s="40"/>
      <c r="AP664" s="5"/>
      <c r="AR664" s="40"/>
      <c r="AS664" s="5"/>
      <c r="AU664" s="40"/>
      <c r="AV664" s="5"/>
      <c r="AX664" s="40"/>
      <c r="AY664" s="5"/>
      <c r="BA664" s="40"/>
      <c r="BB664" s="5"/>
      <c r="BD664" s="40"/>
      <c r="BE664" s="5"/>
      <c r="BG664" s="40"/>
      <c r="BH664" s="5"/>
      <c r="BJ664" s="40"/>
      <c r="BK664" s="5"/>
      <c r="BM664" s="40"/>
      <c r="BN664" s="5"/>
      <c r="BP664" s="40"/>
      <c r="BQ664" s="5"/>
      <c r="BS664" s="40"/>
      <c r="BT664" s="5"/>
      <c r="BV664" s="40"/>
      <c r="BW664" s="5"/>
      <c r="BY664" s="40"/>
      <c r="BZ664" s="5"/>
      <c r="CB664" s="40"/>
      <c r="CC664" s="5"/>
      <c r="CE664" s="40"/>
      <c r="CF664" s="5"/>
      <c r="CH664" s="40"/>
      <c r="CI664" s="5"/>
      <c r="CK664" s="40"/>
      <c r="CL664" s="5"/>
      <c r="CN664" s="40"/>
      <c r="CO664" s="5"/>
      <c r="CQ664" s="40"/>
      <c r="CR664" s="5"/>
    </row>
    <row r="665">
      <c r="AO665" s="40"/>
      <c r="AP665" s="5"/>
      <c r="AR665" s="40"/>
      <c r="AS665" s="5"/>
      <c r="AU665" s="40"/>
      <c r="AV665" s="5"/>
      <c r="AX665" s="40"/>
      <c r="AY665" s="5"/>
      <c r="BA665" s="40"/>
      <c r="BB665" s="5"/>
      <c r="BD665" s="40"/>
      <c r="BE665" s="5"/>
      <c r="BG665" s="40"/>
      <c r="BH665" s="5"/>
      <c r="BJ665" s="40"/>
      <c r="BK665" s="5"/>
      <c r="BM665" s="40"/>
      <c r="BN665" s="5"/>
      <c r="BP665" s="40"/>
      <c r="BQ665" s="5"/>
      <c r="BS665" s="40"/>
      <c r="BT665" s="5"/>
      <c r="BV665" s="40"/>
      <c r="BW665" s="5"/>
      <c r="BY665" s="40"/>
      <c r="BZ665" s="5"/>
      <c r="CB665" s="40"/>
      <c r="CC665" s="5"/>
      <c r="CE665" s="40"/>
      <c r="CF665" s="5"/>
      <c r="CH665" s="40"/>
      <c r="CI665" s="5"/>
      <c r="CK665" s="40"/>
      <c r="CL665" s="5"/>
      <c r="CN665" s="40"/>
      <c r="CO665" s="5"/>
      <c r="CQ665" s="40"/>
      <c r="CR665" s="5"/>
    </row>
    <row r="666">
      <c r="AO666" s="40"/>
      <c r="AP666" s="5"/>
      <c r="AR666" s="40"/>
      <c r="AS666" s="5"/>
      <c r="AU666" s="40"/>
      <c r="AV666" s="5"/>
      <c r="AX666" s="40"/>
      <c r="AY666" s="5"/>
      <c r="BA666" s="40"/>
      <c r="BB666" s="5"/>
      <c r="BD666" s="40"/>
      <c r="BE666" s="5"/>
      <c r="BG666" s="40"/>
      <c r="BH666" s="5"/>
      <c r="BJ666" s="40"/>
      <c r="BK666" s="5"/>
      <c r="BM666" s="40"/>
      <c r="BN666" s="5"/>
      <c r="BP666" s="40"/>
      <c r="BQ666" s="5"/>
      <c r="BS666" s="40"/>
      <c r="BT666" s="5"/>
      <c r="BV666" s="40"/>
      <c r="BW666" s="5"/>
      <c r="BY666" s="40"/>
      <c r="BZ666" s="5"/>
      <c r="CB666" s="40"/>
      <c r="CC666" s="5"/>
      <c r="CE666" s="40"/>
      <c r="CF666" s="5"/>
      <c r="CH666" s="40"/>
      <c r="CI666" s="5"/>
      <c r="CK666" s="40"/>
      <c r="CL666" s="5"/>
      <c r="CN666" s="40"/>
      <c r="CO666" s="5"/>
      <c r="CQ666" s="40"/>
      <c r="CR666" s="5"/>
    </row>
    <row r="667">
      <c r="AO667" s="40"/>
      <c r="AP667" s="5"/>
      <c r="AR667" s="40"/>
      <c r="AS667" s="5"/>
      <c r="AU667" s="40"/>
      <c r="AV667" s="5"/>
      <c r="AX667" s="40"/>
      <c r="AY667" s="5"/>
      <c r="BA667" s="40"/>
      <c r="BB667" s="5"/>
      <c r="BD667" s="40"/>
      <c r="BE667" s="5"/>
      <c r="BG667" s="40"/>
      <c r="BH667" s="5"/>
      <c r="BJ667" s="40"/>
      <c r="BK667" s="5"/>
      <c r="BM667" s="40"/>
      <c r="BN667" s="5"/>
      <c r="BP667" s="40"/>
      <c r="BQ667" s="5"/>
      <c r="BS667" s="40"/>
      <c r="BT667" s="5"/>
      <c r="BV667" s="40"/>
      <c r="BW667" s="5"/>
      <c r="BY667" s="40"/>
      <c r="BZ667" s="5"/>
      <c r="CB667" s="40"/>
      <c r="CC667" s="5"/>
      <c r="CE667" s="40"/>
      <c r="CF667" s="5"/>
      <c r="CH667" s="40"/>
      <c r="CI667" s="5"/>
      <c r="CK667" s="40"/>
      <c r="CL667" s="5"/>
      <c r="CN667" s="40"/>
      <c r="CO667" s="5"/>
      <c r="CQ667" s="40"/>
      <c r="CR667" s="5"/>
    </row>
    <row r="668">
      <c r="AO668" s="40"/>
      <c r="AP668" s="5"/>
      <c r="AR668" s="40"/>
      <c r="AS668" s="5"/>
      <c r="AU668" s="40"/>
      <c r="AV668" s="5"/>
      <c r="AX668" s="40"/>
      <c r="AY668" s="5"/>
      <c r="BA668" s="40"/>
      <c r="BB668" s="5"/>
      <c r="BD668" s="40"/>
      <c r="BE668" s="5"/>
      <c r="BG668" s="40"/>
      <c r="BH668" s="5"/>
      <c r="BJ668" s="40"/>
      <c r="BK668" s="5"/>
      <c r="BM668" s="40"/>
      <c r="BN668" s="5"/>
      <c r="BP668" s="40"/>
      <c r="BQ668" s="5"/>
      <c r="BS668" s="40"/>
      <c r="BT668" s="5"/>
      <c r="BV668" s="40"/>
      <c r="BW668" s="5"/>
      <c r="BY668" s="40"/>
      <c r="BZ668" s="5"/>
      <c r="CB668" s="40"/>
      <c r="CC668" s="5"/>
      <c r="CE668" s="40"/>
      <c r="CF668" s="5"/>
      <c r="CH668" s="40"/>
      <c r="CI668" s="5"/>
      <c r="CK668" s="40"/>
      <c r="CL668" s="5"/>
      <c r="CN668" s="40"/>
      <c r="CO668" s="5"/>
      <c r="CQ668" s="40"/>
      <c r="CR668" s="5"/>
    </row>
    <row r="669">
      <c r="AO669" s="40"/>
      <c r="AP669" s="5"/>
      <c r="AR669" s="40"/>
      <c r="AS669" s="5"/>
      <c r="AU669" s="40"/>
      <c r="AV669" s="5"/>
      <c r="AX669" s="40"/>
      <c r="AY669" s="5"/>
      <c r="BA669" s="40"/>
      <c r="BB669" s="5"/>
      <c r="BD669" s="40"/>
      <c r="BE669" s="5"/>
      <c r="BG669" s="40"/>
      <c r="BH669" s="5"/>
      <c r="BJ669" s="40"/>
      <c r="BK669" s="5"/>
      <c r="BM669" s="40"/>
      <c r="BN669" s="5"/>
      <c r="BP669" s="40"/>
      <c r="BQ669" s="5"/>
      <c r="BS669" s="40"/>
      <c r="BT669" s="5"/>
      <c r="BV669" s="40"/>
      <c r="BW669" s="5"/>
      <c r="BY669" s="40"/>
      <c r="BZ669" s="5"/>
      <c r="CB669" s="40"/>
      <c r="CC669" s="5"/>
      <c r="CE669" s="40"/>
      <c r="CF669" s="5"/>
      <c r="CH669" s="40"/>
      <c r="CI669" s="5"/>
      <c r="CK669" s="40"/>
      <c r="CL669" s="5"/>
      <c r="CN669" s="40"/>
      <c r="CO669" s="5"/>
      <c r="CQ669" s="40"/>
      <c r="CR669" s="5"/>
    </row>
    <row r="670">
      <c r="AO670" s="40"/>
      <c r="AP670" s="5"/>
      <c r="AR670" s="40"/>
      <c r="AS670" s="5"/>
      <c r="AU670" s="40"/>
      <c r="AV670" s="5"/>
      <c r="AX670" s="40"/>
      <c r="AY670" s="5"/>
      <c r="BA670" s="40"/>
      <c r="BB670" s="5"/>
      <c r="BD670" s="40"/>
      <c r="BE670" s="5"/>
      <c r="BG670" s="40"/>
      <c r="BH670" s="5"/>
      <c r="BJ670" s="40"/>
      <c r="BK670" s="5"/>
      <c r="BM670" s="40"/>
      <c r="BN670" s="5"/>
      <c r="BP670" s="40"/>
      <c r="BQ670" s="5"/>
      <c r="BS670" s="40"/>
      <c r="BT670" s="5"/>
      <c r="BV670" s="40"/>
      <c r="BW670" s="5"/>
      <c r="BY670" s="40"/>
      <c r="BZ670" s="5"/>
      <c r="CB670" s="40"/>
      <c r="CC670" s="5"/>
      <c r="CE670" s="40"/>
      <c r="CF670" s="5"/>
      <c r="CH670" s="40"/>
      <c r="CI670" s="5"/>
      <c r="CK670" s="40"/>
      <c r="CL670" s="5"/>
      <c r="CN670" s="40"/>
      <c r="CO670" s="5"/>
      <c r="CQ670" s="40"/>
      <c r="CR670" s="5"/>
    </row>
    <row r="671">
      <c r="AO671" s="40"/>
      <c r="AP671" s="5"/>
      <c r="AR671" s="40"/>
      <c r="AS671" s="5"/>
      <c r="AU671" s="40"/>
      <c r="AV671" s="5"/>
      <c r="AX671" s="40"/>
      <c r="AY671" s="5"/>
      <c r="BA671" s="40"/>
      <c r="BB671" s="5"/>
      <c r="BD671" s="40"/>
      <c r="BE671" s="5"/>
      <c r="BG671" s="40"/>
      <c r="BH671" s="5"/>
      <c r="BJ671" s="40"/>
      <c r="BK671" s="5"/>
      <c r="BM671" s="40"/>
      <c r="BN671" s="5"/>
      <c r="BP671" s="40"/>
      <c r="BQ671" s="5"/>
      <c r="BS671" s="40"/>
      <c r="BT671" s="5"/>
      <c r="BV671" s="40"/>
      <c r="BW671" s="5"/>
      <c r="BY671" s="40"/>
      <c r="BZ671" s="5"/>
      <c r="CB671" s="40"/>
      <c r="CC671" s="5"/>
      <c r="CE671" s="40"/>
      <c r="CF671" s="5"/>
      <c r="CH671" s="40"/>
      <c r="CI671" s="5"/>
      <c r="CK671" s="40"/>
      <c r="CL671" s="5"/>
      <c r="CN671" s="40"/>
      <c r="CO671" s="5"/>
      <c r="CQ671" s="40"/>
      <c r="CR671" s="5"/>
    </row>
    <row r="672">
      <c r="AO672" s="40"/>
      <c r="AP672" s="5"/>
      <c r="AR672" s="40"/>
      <c r="AS672" s="5"/>
      <c r="AU672" s="40"/>
      <c r="AV672" s="5"/>
      <c r="AX672" s="40"/>
      <c r="AY672" s="5"/>
      <c r="BA672" s="40"/>
      <c r="BB672" s="5"/>
      <c r="BD672" s="40"/>
      <c r="BE672" s="5"/>
      <c r="BG672" s="40"/>
      <c r="BH672" s="5"/>
      <c r="BJ672" s="40"/>
      <c r="BK672" s="5"/>
      <c r="BM672" s="40"/>
      <c r="BN672" s="5"/>
      <c r="BP672" s="40"/>
      <c r="BQ672" s="5"/>
      <c r="BS672" s="40"/>
      <c r="BT672" s="5"/>
      <c r="BV672" s="40"/>
      <c r="BW672" s="5"/>
      <c r="BY672" s="40"/>
      <c r="BZ672" s="5"/>
      <c r="CB672" s="40"/>
      <c r="CC672" s="5"/>
      <c r="CE672" s="40"/>
      <c r="CF672" s="5"/>
      <c r="CH672" s="40"/>
      <c r="CI672" s="5"/>
      <c r="CK672" s="40"/>
      <c r="CL672" s="5"/>
      <c r="CN672" s="40"/>
      <c r="CO672" s="5"/>
      <c r="CQ672" s="40"/>
      <c r="CR672" s="5"/>
    </row>
    <row r="673">
      <c r="AO673" s="40"/>
      <c r="AP673" s="5"/>
      <c r="AR673" s="40"/>
      <c r="AS673" s="5"/>
      <c r="AU673" s="40"/>
      <c r="AV673" s="5"/>
      <c r="AX673" s="40"/>
      <c r="AY673" s="5"/>
      <c r="BA673" s="40"/>
      <c r="BB673" s="5"/>
      <c r="BD673" s="40"/>
      <c r="BE673" s="5"/>
      <c r="BG673" s="40"/>
      <c r="BH673" s="5"/>
      <c r="BJ673" s="40"/>
      <c r="BK673" s="5"/>
      <c r="BM673" s="40"/>
      <c r="BN673" s="5"/>
      <c r="BP673" s="40"/>
      <c r="BQ673" s="5"/>
      <c r="BS673" s="40"/>
      <c r="BT673" s="5"/>
      <c r="BV673" s="40"/>
      <c r="BW673" s="5"/>
      <c r="BY673" s="40"/>
      <c r="BZ673" s="5"/>
      <c r="CB673" s="40"/>
      <c r="CC673" s="5"/>
      <c r="CE673" s="40"/>
      <c r="CF673" s="5"/>
      <c r="CH673" s="40"/>
      <c r="CI673" s="5"/>
      <c r="CK673" s="40"/>
      <c r="CL673" s="5"/>
      <c r="CN673" s="40"/>
      <c r="CO673" s="5"/>
      <c r="CQ673" s="40"/>
      <c r="CR673" s="5"/>
    </row>
    <row r="674">
      <c r="AO674" s="40"/>
      <c r="AP674" s="5"/>
      <c r="AR674" s="40"/>
      <c r="AS674" s="5"/>
      <c r="AU674" s="40"/>
      <c r="AV674" s="5"/>
      <c r="AX674" s="40"/>
      <c r="AY674" s="5"/>
      <c r="BA674" s="40"/>
      <c r="BB674" s="5"/>
      <c r="BD674" s="40"/>
      <c r="BE674" s="5"/>
      <c r="BG674" s="40"/>
      <c r="BH674" s="5"/>
      <c r="BJ674" s="40"/>
      <c r="BK674" s="5"/>
      <c r="BM674" s="40"/>
      <c r="BN674" s="5"/>
      <c r="BP674" s="40"/>
      <c r="BQ674" s="5"/>
      <c r="BS674" s="40"/>
      <c r="BT674" s="5"/>
      <c r="BV674" s="40"/>
      <c r="BW674" s="5"/>
      <c r="BY674" s="40"/>
      <c r="BZ674" s="5"/>
      <c r="CB674" s="40"/>
      <c r="CC674" s="5"/>
      <c r="CE674" s="40"/>
      <c r="CF674" s="5"/>
      <c r="CH674" s="40"/>
      <c r="CI674" s="5"/>
      <c r="CK674" s="40"/>
      <c r="CL674" s="5"/>
      <c r="CN674" s="40"/>
      <c r="CO674" s="5"/>
      <c r="CQ674" s="40"/>
      <c r="CR674" s="5"/>
    </row>
    <row r="675">
      <c r="AO675" s="40"/>
      <c r="AP675" s="5"/>
      <c r="AR675" s="40"/>
      <c r="AS675" s="5"/>
      <c r="AU675" s="40"/>
      <c r="AV675" s="5"/>
      <c r="AX675" s="40"/>
      <c r="AY675" s="5"/>
      <c r="BA675" s="40"/>
      <c r="BB675" s="5"/>
      <c r="BD675" s="40"/>
      <c r="BE675" s="5"/>
      <c r="BG675" s="40"/>
      <c r="BH675" s="5"/>
      <c r="BJ675" s="40"/>
      <c r="BK675" s="5"/>
      <c r="BM675" s="40"/>
      <c r="BN675" s="5"/>
      <c r="BP675" s="40"/>
      <c r="BQ675" s="5"/>
      <c r="BS675" s="40"/>
      <c r="BT675" s="5"/>
      <c r="BV675" s="40"/>
      <c r="BW675" s="5"/>
      <c r="BY675" s="40"/>
      <c r="BZ675" s="5"/>
      <c r="CB675" s="40"/>
      <c r="CC675" s="5"/>
      <c r="CE675" s="40"/>
      <c r="CF675" s="5"/>
      <c r="CH675" s="40"/>
      <c r="CI675" s="5"/>
      <c r="CK675" s="40"/>
      <c r="CL675" s="5"/>
      <c r="CN675" s="40"/>
      <c r="CO675" s="5"/>
      <c r="CQ675" s="40"/>
      <c r="CR675" s="5"/>
    </row>
    <row r="676">
      <c r="AO676" s="40"/>
      <c r="AP676" s="5"/>
      <c r="AR676" s="40"/>
      <c r="AS676" s="5"/>
      <c r="AU676" s="40"/>
      <c r="AV676" s="5"/>
      <c r="AX676" s="40"/>
      <c r="AY676" s="5"/>
      <c r="BA676" s="40"/>
      <c r="BB676" s="5"/>
      <c r="BD676" s="40"/>
      <c r="BE676" s="5"/>
      <c r="BG676" s="40"/>
      <c r="BH676" s="5"/>
      <c r="BJ676" s="40"/>
      <c r="BK676" s="5"/>
      <c r="BM676" s="40"/>
      <c r="BN676" s="5"/>
      <c r="BP676" s="40"/>
      <c r="BQ676" s="5"/>
      <c r="BS676" s="40"/>
      <c r="BT676" s="5"/>
      <c r="BV676" s="40"/>
      <c r="BW676" s="5"/>
      <c r="BY676" s="40"/>
      <c r="BZ676" s="5"/>
      <c r="CB676" s="40"/>
      <c r="CC676" s="5"/>
      <c r="CE676" s="40"/>
      <c r="CF676" s="5"/>
      <c r="CH676" s="40"/>
      <c r="CI676" s="5"/>
      <c r="CK676" s="40"/>
      <c r="CL676" s="5"/>
      <c r="CN676" s="40"/>
      <c r="CO676" s="5"/>
      <c r="CQ676" s="40"/>
      <c r="CR676" s="5"/>
    </row>
    <row r="677">
      <c r="AO677" s="40"/>
      <c r="AP677" s="5"/>
      <c r="AR677" s="40"/>
      <c r="AS677" s="5"/>
      <c r="AU677" s="40"/>
      <c r="AV677" s="5"/>
      <c r="AX677" s="40"/>
      <c r="AY677" s="5"/>
      <c r="BA677" s="40"/>
      <c r="BB677" s="5"/>
      <c r="BD677" s="40"/>
      <c r="BE677" s="5"/>
      <c r="BG677" s="40"/>
      <c r="BH677" s="5"/>
      <c r="BJ677" s="40"/>
      <c r="BK677" s="5"/>
      <c r="BM677" s="40"/>
      <c r="BN677" s="5"/>
      <c r="BP677" s="40"/>
      <c r="BQ677" s="5"/>
      <c r="BS677" s="40"/>
      <c r="BT677" s="5"/>
      <c r="BV677" s="40"/>
      <c r="BW677" s="5"/>
      <c r="BY677" s="40"/>
      <c r="BZ677" s="5"/>
      <c r="CB677" s="40"/>
      <c r="CC677" s="5"/>
      <c r="CE677" s="40"/>
      <c r="CF677" s="5"/>
      <c r="CH677" s="40"/>
      <c r="CI677" s="5"/>
      <c r="CK677" s="40"/>
      <c r="CL677" s="5"/>
      <c r="CN677" s="40"/>
      <c r="CO677" s="5"/>
      <c r="CQ677" s="40"/>
      <c r="CR677" s="5"/>
    </row>
    <row r="678">
      <c r="AO678" s="40"/>
      <c r="AP678" s="5"/>
      <c r="AR678" s="40"/>
      <c r="AS678" s="5"/>
      <c r="AU678" s="40"/>
      <c r="AV678" s="5"/>
      <c r="AX678" s="40"/>
      <c r="AY678" s="5"/>
      <c r="BA678" s="40"/>
      <c r="BB678" s="5"/>
      <c r="BD678" s="40"/>
      <c r="BE678" s="5"/>
      <c r="BG678" s="40"/>
      <c r="BH678" s="5"/>
      <c r="BJ678" s="40"/>
      <c r="BK678" s="5"/>
      <c r="BM678" s="40"/>
      <c r="BN678" s="5"/>
      <c r="BP678" s="40"/>
      <c r="BQ678" s="5"/>
      <c r="BS678" s="40"/>
      <c r="BT678" s="5"/>
      <c r="BV678" s="40"/>
      <c r="BW678" s="5"/>
      <c r="BY678" s="40"/>
      <c r="BZ678" s="5"/>
      <c r="CB678" s="40"/>
      <c r="CC678" s="5"/>
      <c r="CE678" s="40"/>
      <c r="CF678" s="5"/>
      <c r="CH678" s="40"/>
      <c r="CI678" s="5"/>
      <c r="CK678" s="40"/>
      <c r="CL678" s="5"/>
      <c r="CN678" s="40"/>
      <c r="CO678" s="5"/>
      <c r="CQ678" s="40"/>
      <c r="CR678" s="5"/>
    </row>
    <row r="679">
      <c r="AO679" s="40"/>
      <c r="AP679" s="5"/>
      <c r="AR679" s="40"/>
      <c r="AS679" s="5"/>
      <c r="AU679" s="40"/>
      <c r="AV679" s="5"/>
      <c r="AX679" s="40"/>
      <c r="AY679" s="5"/>
      <c r="BA679" s="40"/>
      <c r="BB679" s="5"/>
      <c r="BD679" s="40"/>
      <c r="BE679" s="5"/>
      <c r="BG679" s="40"/>
      <c r="BH679" s="5"/>
      <c r="BJ679" s="40"/>
      <c r="BK679" s="5"/>
      <c r="BM679" s="40"/>
      <c r="BN679" s="5"/>
      <c r="BP679" s="40"/>
      <c r="BQ679" s="5"/>
      <c r="BS679" s="40"/>
      <c r="BT679" s="5"/>
      <c r="BV679" s="40"/>
      <c r="BW679" s="5"/>
      <c r="BY679" s="40"/>
      <c r="BZ679" s="5"/>
      <c r="CB679" s="40"/>
      <c r="CC679" s="5"/>
      <c r="CE679" s="40"/>
      <c r="CF679" s="5"/>
      <c r="CH679" s="40"/>
      <c r="CI679" s="5"/>
      <c r="CK679" s="40"/>
      <c r="CL679" s="5"/>
      <c r="CN679" s="40"/>
      <c r="CO679" s="5"/>
      <c r="CQ679" s="40"/>
      <c r="CR679" s="5"/>
    </row>
    <row r="680">
      <c r="AO680" s="40"/>
      <c r="AP680" s="5"/>
      <c r="AR680" s="40"/>
      <c r="AS680" s="5"/>
      <c r="AU680" s="40"/>
      <c r="AV680" s="5"/>
      <c r="AX680" s="40"/>
      <c r="AY680" s="5"/>
      <c r="BA680" s="40"/>
      <c r="BB680" s="5"/>
      <c r="BD680" s="40"/>
      <c r="BE680" s="5"/>
      <c r="BG680" s="40"/>
      <c r="BH680" s="5"/>
      <c r="BJ680" s="40"/>
      <c r="BK680" s="5"/>
      <c r="BM680" s="40"/>
      <c r="BN680" s="5"/>
      <c r="BP680" s="40"/>
      <c r="BQ680" s="5"/>
      <c r="BS680" s="40"/>
      <c r="BT680" s="5"/>
      <c r="BV680" s="40"/>
      <c r="BW680" s="5"/>
      <c r="BY680" s="40"/>
      <c r="BZ680" s="5"/>
      <c r="CB680" s="40"/>
      <c r="CC680" s="5"/>
      <c r="CE680" s="40"/>
      <c r="CF680" s="5"/>
      <c r="CH680" s="40"/>
      <c r="CI680" s="5"/>
      <c r="CK680" s="40"/>
      <c r="CL680" s="5"/>
      <c r="CN680" s="40"/>
      <c r="CO680" s="5"/>
      <c r="CQ680" s="40"/>
      <c r="CR680" s="5"/>
    </row>
    <row r="681">
      <c r="AO681" s="40"/>
      <c r="AP681" s="5"/>
      <c r="AR681" s="40"/>
      <c r="AS681" s="5"/>
      <c r="AU681" s="40"/>
      <c r="AV681" s="5"/>
      <c r="AX681" s="40"/>
      <c r="AY681" s="5"/>
      <c r="BA681" s="40"/>
      <c r="BB681" s="5"/>
      <c r="BD681" s="40"/>
      <c r="BE681" s="5"/>
      <c r="BG681" s="40"/>
      <c r="BH681" s="5"/>
      <c r="BJ681" s="40"/>
      <c r="BK681" s="5"/>
      <c r="BM681" s="40"/>
      <c r="BN681" s="5"/>
      <c r="BP681" s="40"/>
      <c r="BQ681" s="5"/>
      <c r="BS681" s="40"/>
      <c r="BT681" s="5"/>
      <c r="BV681" s="40"/>
      <c r="BW681" s="5"/>
      <c r="BY681" s="40"/>
      <c r="BZ681" s="5"/>
      <c r="CB681" s="40"/>
      <c r="CC681" s="5"/>
      <c r="CE681" s="40"/>
      <c r="CF681" s="5"/>
      <c r="CH681" s="40"/>
      <c r="CI681" s="5"/>
      <c r="CK681" s="40"/>
      <c r="CL681" s="5"/>
      <c r="CN681" s="40"/>
      <c r="CO681" s="5"/>
      <c r="CQ681" s="40"/>
      <c r="CR681" s="5"/>
    </row>
    <row r="682">
      <c r="AO682" s="40"/>
      <c r="AP682" s="5"/>
      <c r="AR682" s="40"/>
      <c r="AS682" s="5"/>
      <c r="AU682" s="40"/>
      <c r="AV682" s="5"/>
      <c r="AX682" s="40"/>
      <c r="AY682" s="5"/>
      <c r="BA682" s="40"/>
      <c r="BB682" s="5"/>
      <c r="BD682" s="40"/>
      <c r="BE682" s="5"/>
      <c r="BG682" s="40"/>
      <c r="BH682" s="5"/>
      <c r="BJ682" s="40"/>
      <c r="BK682" s="5"/>
      <c r="BM682" s="40"/>
      <c r="BN682" s="5"/>
      <c r="BP682" s="40"/>
      <c r="BQ682" s="5"/>
      <c r="BS682" s="40"/>
      <c r="BT682" s="5"/>
      <c r="BV682" s="40"/>
      <c r="BW682" s="5"/>
      <c r="BY682" s="40"/>
      <c r="BZ682" s="5"/>
      <c r="CB682" s="40"/>
      <c r="CC682" s="5"/>
      <c r="CE682" s="40"/>
      <c r="CF682" s="5"/>
      <c r="CH682" s="40"/>
      <c r="CI682" s="5"/>
      <c r="CK682" s="40"/>
      <c r="CL682" s="5"/>
      <c r="CN682" s="40"/>
      <c r="CO682" s="5"/>
      <c r="CQ682" s="40"/>
      <c r="CR682" s="5"/>
    </row>
    <row r="683">
      <c r="AO683" s="40"/>
      <c r="AP683" s="5"/>
      <c r="AR683" s="40"/>
      <c r="AS683" s="5"/>
      <c r="AU683" s="40"/>
      <c r="AV683" s="5"/>
      <c r="AX683" s="40"/>
      <c r="AY683" s="5"/>
      <c r="BA683" s="40"/>
      <c r="BB683" s="5"/>
      <c r="BD683" s="40"/>
      <c r="BE683" s="5"/>
      <c r="BG683" s="40"/>
      <c r="BH683" s="5"/>
      <c r="BJ683" s="40"/>
      <c r="BK683" s="5"/>
      <c r="BM683" s="40"/>
      <c r="BN683" s="5"/>
      <c r="BP683" s="40"/>
      <c r="BQ683" s="5"/>
      <c r="BS683" s="40"/>
      <c r="BT683" s="5"/>
      <c r="BV683" s="40"/>
      <c r="BW683" s="5"/>
      <c r="BY683" s="40"/>
      <c r="BZ683" s="5"/>
      <c r="CB683" s="40"/>
      <c r="CC683" s="5"/>
      <c r="CE683" s="40"/>
      <c r="CF683" s="5"/>
      <c r="CH683" s="40"/>
      <c r="CI683" s="5"/>
      <c r="CK683" s="40"/>
      <c r="CL683" s="5"/>
      <c r="CN683" s="40"/>
      <c r="CO683" s="5"/>
      <c r="CQ683" s="40"/>
      <c r="CR683" s="5"/>
    </row>
    <row r="684">
      <c r="AO684" s="40"/>
      <c r="AP684" s="5"/>
      <c r="AR684" s="40"/>
      <c r="AS684" s="5"/>
      <c r="AU684" s="40"/>
      <c r="AV684" s="5"/>
      <c r="AX684" s="40"/>
      <c r="AY684" s="5"/>
      <c r="BA684" s="40"/>
      <c r="BB684" s="5"/>
      <c r="BD684" s="40"/>
      <c r="BE684" s="5"/>
      <c r="BG684" s="40"/>
      <c r="BH684" s="5"/>
      <c r="BJ684" s="40"/>
      <c r="BK684" s="5"/>
      <c r="BM684" s="40"/>
      <c r="BN684" s="5"/>
      <c r="BP684" s="40"/>
      <c r="BQ684" s="5"/>
      <c r="BS684" s="40"/>
      <c r="BT684" s="5"/>
      <c r="BV684" s="40"/>
      <c r="BW684" s="5"/>
      <c r="BY684" s="40"/>
      <c r="BZ684" s="5"/>
      <c r="CB684" s="40"/>
      <c r="CC684" s="5"/>
      <c r="CE684" s="40"/>
      <c r="CF684" s="5"/>
      <c r="CH684" s="40"/>
      <c r="CI684" s="5"/>
      <c r="CK684" s="40"/>
      <c r="CL684" s="5"/>
      <c r="CN684" s="40"/>
      <c r="CO684" s="5"/>
      <c r="CQ684" s="40"/>
      <c r="CR684" s="5"/>
    </row>
    <row r="685">
      <c r="AO685" s="40"/>
      <c r="AP685" s="5"/>
      <c r="AR685" s="40"/>
      <c r="AS685" s="5"/>
      <c r="AU685" s="40"/>
      <c r="AV685" s="5"/>
      <c r="AX685" s="40"/>
      <c r="AY685" s="5"/>
      <c r="BA685" s="40"/>
      <c r="BB685" s="5"/>
      <c r="BD685" s="40"/>
      <c r="BE685" s="5"/>
      <c r="BG685" s="40"/>
      <c r="BH685" s="5"/>
      <c r="BJ685" s="40"/>
      <c r="BK685" s="5"/>
      <c r="BM685" s="40"/>
      <c r="BN685" s="5"/>
      <c r="BP685" s="40"/>
      <c r="BQ685" s="5"/>
      <c r="BS685" s="40"/>
      <c r="BT685" s="5"/>
      <c r="BV685" s="40"/>
      <c r="BW685" s="5"/>
      <c r="BY685" s="40"/>
      <c r="BZ685" s="5"/>
      <c r="CB685" s="40"/>
      <c r="CC685" s="5"/>
      <c r="CE685" s="40"/>
      <c r="CF685" s="5"/>
      <c r="CH685" s="40"/>
      <c r="CI685" s="5"/>
      <c r="CK685" s="40"/>
      <c r="CL685" s="5"/>
      <c r="CN685" s="40"/>
      <c r="CO685" s="5"/>
      <c r="CQ685" s="40"/>
      <c r="CR685" s="5"/>
    </row>
    <row r="686">
      <c r="AO686" s="40"/>
      <c r="AP686" s="5"/>
      <c r="AR686" s="40"/>
      <c r="AS686" s="5"/>
      <c r="AU686" s="40"/>
      <c r="AV686" s="5"/>
      <c r="AX686" s="40"/>
      <c r="AY686" s="5"/>
      <c r="BA686" s="40"/>
      <c r="BB686" s="5"/>
      <c r="BD686" s="40"/>
      <c r="BE686" s="5"/>
      <c r="BG686" s="40"/>
      <c r="BH686" s="5"/>
      <c r="BJ686" s="40"/>
      <c r="BK686" s="5"/>
      <c r="BM686" s="40"/>
      <c r="BN686" s="5"/>
      <c r="BP686" s="40"/>
      <c r="BQ686" s="5"/>
      <c r="BS686" s="40"/>
      <c r="BT686" s="5"/>
      <c r="BV686" s="40"/>
      <c r="BW686" s="5"/>
      <c r="BY686" s="40"/>
      <c r="BZ686" s="5"/>
      <c r="CB686" s="40"/>
      <c r="CC686" s="5"/>
      <c r="CE686" s="40"/>
      <c r="CF686" s="5"/>
      <c r="CH686" s="40"/>
      <c r="CI686" s="5"/>
      <c r="CK686" s="40"/>
      <c r="CL686" s="5"/>
      <c r="CN686" s="40"/>
      <c r="CO686" s="5"/>
      <c r="CQ686" s="40"/>
      <c r="CR686" s="5"/>
    </row>
    <row r="687">
      <c r="AO687" s="40"/>
      <c r="AP687" s="5"/>
      <c r="AR687" s="40"/>
      <c r="AS687" s="5"/>
      <c r="AU687" s="40"/>
      <c r="AV687" s="5"/>
      <c r="AX687" s="40"/>
      <c r="AY687" s="5"/>
      <c r="BA687" s="40"/>
      <c r="BB687" s="5"/>
      <c r="BD687" s="40"/>
      <c r="BE687" s="5"/>
      <c r="BG687" s="40"/>
      <c r="BH687" s="5"/>
      <c r="BJ687" s="40"/>
      <c r="BK687" s="5"/>
      <c r="BM687" s="40"/>
      <c r="BN687" s="5"/>
      <c r="BP687" s="40"/>
      <c r="BQ687" s="5"/>
      <c r="BS687" s="40"/>
      <c r="BT687" s="5"/>
      <c r="BV687" s="40"/>
      <c r="BW687" s="5"/>
      <c r="BY687" s="40"/>
      <c r="BZ687" s="5"/>
      <c r="CB687" s="40"/>
      <c r="CC687" s="5"/>
      <c r="CE687" s="40"/>
      <c r="CF687" s="5"/>
      <c r="CH687" s="40"/>
      <c r="CI687" s="5"/>
      <c r="CK687" s="40"/>
      <c r="CL687" s="5"/>
      <c r="CN687" s="40"/>
      <c r="CO687" s="5"/>
      <c r="CQ687" s="40"/>
      <c r="CR687" s="5"/>
    </row>
    <row r="688">
      <c r="AO688" s="40"/>
      <c r="AP688" s="5"/>
      <c r="AR688" s="40"/>
      <c r="AS688" s="5"/>
      <c r="AU688" s="40"/>
      <c r="AV688" s="5"/>
      <c r="AX688" s="40"/>
      <c r="AY688" s="5"/>
      <c r="BA688" s="40"/>
      <c r="BB688" s="5"/>
      <c r="BD688" s="40"/>
      <c r="BE688" s="5"/>
      <c r="BG688" s="40"/>
      <c r="BH688" s="5"/>
      <c r="BJ688" s="40"/>
      <c r="BK688" s="5"/>
      <c r="BM688" s="40"/>
      <c r="BN688" s="5"/>
      <c r="BP688" s="40"/>
      <c r="BQ688" s="5"/>
      <c r="BS688" s="40"/>
      <c r="BT688" s="5"/>
      <c r="BV688" s="40"/>
      <c r="BW688" s="5"/>
      <c r="BY688" s="40"/>
      <c r="BZ688" s="5"/>
      <c r="CB688" s="40"/>
      <c r="CC688" s="5"/>
      <c r="CE688" s="40"/>
      <c r="CF688" s="5"/>
      <c r="CH688" s="40"/>
      <c r="CI688" s="5"/>
      <c r="CK688" s="40"/>
      <c r="CL688" s="5"/>
      <c r="CN688" s="40"/>
      <c r="CO688" s="5"/>
      <c r="CQ688" s="40"/>
      <c r="CR688" s="5"/>
    </row>
    <row r="689">
      <c r="AO689" s="40"/>
      <c r="AP689" s="5"/>
      <c r="AR689" s="40"/>
      <c r="AS689" s="5"/>
      <c r="AU689" s="40"/>
      <c r="AV689" s="5"/>
      <c r="AX689" s="40"/>
      <c r="AY689" s="5"/>
      <c r="BA689" s="40"/>
      <c r="BB689" s="5"/>
      <c r="BD689" s="40"/>
      <c r="BE689" s="5"/>
      <c r="BG689" s="40"/>
      <c r="BH689" s="5"/>
      <c r="BJ689" s="40"/>
      <c r="BK689" s="5"/>
      <c r="BM689" s="40"/>
      <c r="BN689" s="5"/>
      <c r="BP689" s="40"/>
      <c r="BQ689" s="5"/>
      <c r="BS689" s="40"/>
      <c r="BT689" s="5"/>
      <c r="BV689" s="40"/>
      <c r="BW689" s="5"/>
      <c r="BY689" s="40"/>
      <c r="BZ689" s="5"/>
      <c r="CB689" s="40"/>
      <c r="CC689" s="5"/>
      <c r="CE689" s="40"/>
      <c r="CF689" s="5"/>
      <c r="CH689" s="40"/>
      <c r="CI689" s="5"/>
      <c r="CK689" s="40"/>
      <c r="CL689" s="5"/>
      <c r="CN689" s="40"/>
      <c r="CO689" s="5"/>
      <c r="CQ689" s="40"/>
      <c r="CR689" s="5"/>
    </row>
    <row r="690">
      <c r="AO690" s="40"/>
      <c r="AP690" s="5"/>
      <c r="AR690" s="40"/>
      <c r="AS690" s="5"/>
      <c r="AU690" s="40"/>
      <c r="AV690" s="5"/>
      <c r="AX690" s="40"/>
      <c r="AY690" s="5"/>
      <c r="BA690" s="40"/>
      <c r="BB690" s="5"/>
      <c r="BD690" s="40"/>
      <c r="BE690" s="5"/>
      <c r="BG690" s="40"/>
      <c r="BH690" s="5"/>
      <c r="BJ690" s="40"/>
      <c r="BK690" s="5"/>
      <c r="BM690" s="40"/>
      <c r="BN690" s="5"/>
      <c r="BP690" s="40"/>
      <c r="BQ690" s="5"/>
      <c r="BS690" s="40"/>
      <c r="BT690" s="5"/>
      <c r="BV690" s="40"/>
      <c r="BW690" s="5"/>
      <c r="BY690" s="40"/>
      <c r="BZ690" s="5"/>
      <c r="CB690" s="40"/>
      <c r="CC690" s="5"/>
      <c r="CE690" s="40"/>
      <c r="CF690" s="5"/>
      <c r="CH690" s="40"/>
      <c r="CI690" s="5"/>
      <c r="CK690" s="40"/>
      <c r="CL690" s="5"/>
      <c r="CN690" s="40"/>
      <c r="CO690" s="5"/>
      <c r="CQ690" s="40"/>
      <c r="CR690" s="5"/>
    </row>
    <row r="691">
      <c r="AO691" s="40"/>
      <c r="AP691" s="5"/>
      <c r="AR691" s="40"/>
      <c r="AS691" s="5"/>
      <c r="AU691" s="40"/>
      <c r="AV691" s="5"/>
      <c r="AX691" s="40"/>
      <c r="AY691" s="5"/>
      <c r="BA691" s="40"/>
      <c r="BB691" s="5"/>
      <c r="BD691" s="40"/>
      <c r="BE691" s="5"/>
      <c r="BG691" s="40"/>
      <c r="BH691" s="5"/>
      <c r="BJ691" s="40"/>
      <c r="BK691" s="5"/>
      <c r="BM691" s="40"/>
      <c r="BN691" s="5"/>
      <c r="BP691" s="40"/>
      <c r="BQ691" s="5"/>
      <c r="BS691" s="40"/>
      <c r="BT691" s="5"/>
      <c r="BV691" s="40"/>
      <c r="BW691" s="5"/>
      <c r="BY691" s="40"/>
      <c r="BZ691" s="5"/>
      <c r="CB691" s="40"/>
      <c r="CC691" s="5"/>
      <c r="CE691" s="40"/>
      <c r="CF691" s="5"/>
      <c r="CH691" s="40"/>
      <c r="CI691" s="5"/>
      <c r="CK691" s="40"/>
      <c r="CL691" s="5"/>
      <c r="CN691" s="40"/>
      <c r="CO691" s="5"/>
      <c r="CQ691" s="40"/>
      <c r="CR691" s="5"/>
    </row>
    <row r="692">
      <c r="AO692" s="40"/>
      <c r="AP692" s="5"/>
      <c r="AR692" s="40"/>
      <c r="AS692" s="5"/>
      <c r="AU692" s="40"/>
      <c r="AV692" s="5"/>
      <c r="AX692" s="40"/>
      <c r="AY692" s="5"/>
      <c r="BA692" s="40"/>
      <c r="BB692" s="5"/>
      <c r="BD692" s="40"/>
      <c r="BE692" s="5"/>
      <c r="BG692" s="40"/>
      <c r="BH692" s="5"/>
      <c r="BJ692" s="40"/>
      <c r="BK692" s="5"/>
      <c r="BM692" s="40"/>
      <c r="BN692" s="5"/>
      <c r="BP692" s="40"/>
      <c r="BQ692" s="5"/>
      <c r="BS692" s="40"/>
      <c r="BT692" s="5"/>
      <c r="BV692" s="40"/>
      <c r="BW692" s="5"/>
      <c r="BY692" s="40"/>
      <c r="BZ692" s="5"/>
      <c r="CB692" s="40"/>
      <c r="CC692" s="5"/>
      <c r="CE692" s="40"/>
      <c r="CF692" s="5"/>
      <c r="CH692" s="40"/>
      <c r="CI692" s="5"/>
      <c r="CK692" s="40"/>
      <c r="CL692" s="5"/>
      <c r="CN692" s="40"/>
      <c r="CO692" s="5"/>
      <c r="CQ692" s="40"/>
      <c r="CR692" s="5"/>
    </row>
    <row r="693">
      <c r="AO693" s="40"/>
      <c r="AP693" s="5"/>
      <c r="AR693" s="40"/>
      <c r="AS693" s="5"/>
      <c r="AU693" s="40"/>
      <c r="AV693" s="5"/>
      <c r="AX693" s="40"/>
      <c r="AY693" s="5"/>
      <c r="BA693" s="40"/>
      <c r="BB693" s="5"/>
      <c r="BD693" s="40"/>
      <c r="BE693" s="5"/>
      <c r="BG693" s="40"/>
      <c r="BH693" s="5"/>
      <c r="BJ693" s="40"/>
      <c r="BK693" s="5"/>
      <c r="BM693" s="40"/>
      <c r="BN693" s="5"/>
      <c r="BP693" s="40"/>
      <c r="BQ693" s="5"/>
      <c r="BS693" s="40"/>
      <c r="BT693" s="5"/>
      <c r="BV693" s="40"/>
      <c r="BW693" s="5"/>
      <c r="BY693" s="40"/>
      <c r="BZ693" s="5"/>
      <c r="CB693" s="40"/>
      <c r="CC693" s="5"/>
      <c r="CE693" s="40"/>
      <c r="CF693" s="5"/>
      <c r="CH693" s="40"/>
      <c r="CI693" s="5"/>
      <c r="CK693" s="40"/>
      <c r="CL693" s="5"/>
      <c r="CN693" s="40"/>
      <c r="CO693" s="5"/>
      <c r="CQ693" s="40"/>
      <c r="CR693" s="5"/>
    </row>
    <row r="694">
      <c r="AO694" s="40"/>
      <c r="AP694" s="5"/>
      <c r="AR694" s="40"/>
      <c r="AS694" s="5"/>
      <c r="AU694" s="40"/>
      <c r="AV694" s="5"/>
      <c r="AX694" s="40"/>
      <c r="AY694" s="5"/>
      <c r="BA694" s="40"/>
      <c r="BB694" s="5"/>
      <c r="BD694" s="40"/>
      <c r="BE694" s="5"/>
      <c r="BG694" s="40"/>
      <c r="BH694" s="5"/>
      <c r="BJ694" s="40"/>
      <c r="BK694" s="5"/>
      <c r="BM694" s="40"/>
      <c r="BN694" s="5"/>
      <c r="BP694" s="40"/>
      <c r="BQ694" s="5"/>
      <c r="BS694" s="40"/>
      <c r="BT694" s="5"/>
      <c r="BV694" s="40"/>
      <c r="BW694" s="5"/>
      <c r="BY694" s="40"/>
      <c r="BZ694" s="5"/>
      <c r="CB694" s="40"/>
      <c r="CC694" s="5"/>
      <c r="CE694" s="40"/>
      <c r="CF694" s="5"/>
      <c r="CH694" s="40"/>
      <c r="CI694" s="5"/>
      <c r="CK694" s="40"/>
      <c r="CL694" s="5"/>
      <c r="CN694" s="40"/>
      <c r="CO694" s="5"/>
      <c r="CQ694" s="40"/>
      <c r="CR694" s="5"/>
    </row>
    <row r="695">
      <c r="AO695" s="40"/>
      <c r="AP695" s="5"/>
      <c r="AR695" s="40"/>
      <c r="AS695" s="5"/>
      <c r="AU695" s="40"/>
      <c r="AV695" s="5"/>
      <c r="AX695" s="40"/>
      <c r="AY695" s="5"/>
      <c r="BA695" s="40"/>
      <c r="BB695" s="5"/>
      <c r="BD695" s="40"/>
      <c r="BE695" s="5"/>
      <c r="BG695" s="40"/>
      <c r="BH695" s="5"/>
      <c r="BJ695" s="40"/>
      <c r="BK695" s="5"/>
      <c r="BM695" s="40"/>
      <c r="BN695" s="5"/>
      <c r="BP695" s="40"/>
      <c r="BQ695" s="5"/>
      <c r="BS695" s="40"/>
      <c r="BT695" s="5"/>
      <c r="BV695" s="40"/>
      <c r="BW695" s="5"/>
      <c r="BY695" s="40"/>
      <c r="BZ695" s="5"/>
      <c r="CB695" s="40"/>
      <c r="CC695" s="5"/>
      <c r="CE695" s="40"/>
      <c r="CF695" s="5"/>
      <c r="CH695" s="40"/>
      <c r="CI695" s="5"/>
      <c r="CK695" s="40"/>
      <c r="CL695" s="5"/>
      <c r="CN695" s="40"/>
      <c r="CO695" s="5"/>
      <c r="CQ695" s="40"/>
      <c r="CR695" s="5"/>
    </row>
    <row r="696">
      <c r="AO696" s="40"/>
      <c r="AP696" s="5"/>
      <c r="AR696" s="40"/>
      <c r="AS696" s="5"/>
      <c r="AU696" s="40"/>
      <c r="AV696" s="5"/>
      <c r="AX696" s="40"/>
      <c r="AY696" s="5"/>
      <c r="BA696" s="40"/>
      <c r="BB696" s="5"/>
      <c r="BD696" s="40"/>
      <c r="BE696" s="5"/>
      <c r="BG696" s="40"/>
      <c r="BH696" s="5"/>
      <c r="BJ696" s="40"/>
      <c r="BK696" s="5"/>
      <c r="BM696" s="40"/>
      <c r="BN696" s="5"/>
      <c r="BP696" s="40"/>
      <c r="BQ696" s="5"/>
      <c r="BS696" s="40"/>
      <c r="BT696" s="5"/>
      <c r="BV696" s="40"/>
      <c r="BW696" s="5"/>
      <c r="BY696" s="40"/>
      <c r="BZ696" s="5"/>
      <c r="CB696" s="40"/>
      <c r="CC696" s="5"/>
      <c r="CE696" s="40"/>
      <c r="CF696" s="5"/>
      <c r="CH696" s="40"/>
      <c r="CI696" s="5"/>
      <c r="CK696" s="40"/>
      <c r="CL696" s="5"/>
      <c r="CN696" s="40"/>
      <c r="CO696" s="5"/>
      <c r="CQ696" s="40"/>
      <c r="CR696" s="5"/>
    </row>
    <row r="697">
      <c r="AO697" s="40"/>
      <c r="AP697" s="5"/>
      <c r="AR697" s="40"/>
      <c r="AS697" s="5"/>
      <c r="AU697" s="40"/>
      <c r="AV697" s="5"/>
      <c r="AX697" s="40"/>
      <c r="AY697" s="5"/>
      <c r="BA697" s="40"/>
      <c r="BB697" s="5"/>
      <c r="BD697" s="40"/>
      <c r="BE697" s="5"/>
      <c r="BG697" s="40"/>
      <c r="BH697" s="5"/>
      <c r="BJ697" s="40"/>
      <c r="BK697" s="5"/>
      <c r="BM697" s="40"/>
      <c r="BN697" s="5"/>
      <c r="BP697" s="40"/>
      <c r="BQ697" s="5"/>
      <c r="BS697" s="40"/>
      <c r="BT697" s="5"/>
      <c r="BV697" s="40"/>
      <c r="BW697" s="5"/>
      <c r="BY697" s="40"/>
      <c r="BZ697" s="5"/>
      <c r="CB697" s="40"/>
      <c r="CC697" s="5"/>
      <c r="CE697" s="40"/>
      <c r="CF697" s="5"/>
      <c r="CH697" s="40"/>
      <c r="CI697" s="5"/>
      <c r="CK697" s="40"/>
      <c r="CL697" s="5"/>
      <c r="CN697" s="40"/>
      <c r="CO697" s="5"/>
      <c r="CQ697" s="40"/>
      <c r="CR697" s="5"/>
    </row>
    <row r="698">
      <c r="AO698" s="40"/>
      <c r="AP698" s="5"/>
      <c r="AR698" s="40"/>
      <c r="AS698" s="5"/>
      <c r="AU698" s="40"/>
      <c r="AV698" s="5"/>
      <c r="AX698" s="40"/>
      <c r="AY698" s="5"/>
      <c r="BA698" s="40"/>
      <c r="BB698" s="5"/>
      <c r="BD698" s="40"/>
      <c r="BE698" s="5"/>
      <c r="BG698" s="40"/>
      <c r="BH698" s="5"/>
      <c r="BJ698" s="40"/>
      <c r="BK698" s="5"/>
      <c r="BM698" s="40"/>
      <c r="BN698" s="5"/>
      <c r="BP698" s="40"/>
      <c r="BQ698" s="5"/>
      <c r="BS698" s="40"/>
      <c r="BT698" s="5"/>
      <c r="BV698" s="40"/>
      <c r="BW698" s="5"/>
      <c r="BY698" s="40"/>
      <c r="BZ698" s="5"/>
      <c r="CB698" s="40"/>
      <c r="CC698" s="5"/>
      <c r="CE698" s="40"/>
      <c r="CF698" s="5"/>
      <c r="CH698" s="40"/>
      <c r="CI698" s="5"/>
      <c r="CK698" s="40"/>
      <c r="CL698" s="5"/>
      <c r="CN698" s="40"/>
      <c r="CO698" s="5"/>
      <c r="CQ698" s="40"/>
      <c r="CR698" s="5"/>
    </row>
    <row r="699">
      <c r="AO699" s="40"/>
      <c r="AP699" s="5"/>
      <c r="AR699" s="40"/>
      <c r="AS699" s="5"/>
      <c r="AU699" s="40"/>
      <c r="AV699" s="5"/>
      <c r="AX699" s="40"/>
      <c r="AY699" s="5"/>
      <c r="BA699" s="40"/>
      <c r="BB699" s="5"/>
      <c r="BD699" s="40"/>
      <c r="BE699" s="5"/>
      <c r="BG699" s="40"/>
      <c r="BH699" s="5"/>
      <c r="BJ699" s="40"/>
      <c r="BK699" s="5"/>
      <c r="BM699" s="40"/>
      <c r="BN699" s="5"/>
      <c r="BP699" s="40"/>
      <c r="BQ699" s="5"/>
      <c r="BS699" s="40"/>
      <c r="BT699" s="5"/>
      <c r="BV699" s="40"/>
      <c r="BW699" s="5"/>
      <c r="BY699" s="40"/>
      <c r="BZ699" s="5"/>
      <c r="CB699" s="40"/>
      <c r="CC699" s="5"/>
      <c r="CE699" s="40"/>
      <c r="CF699" s="5"/>
      <c r="CH699" s="40"/>
      <c r="CI699" s="5"/>
      <c r="CK699" s="40"/>
      <c r="CL699" s="5"/>
      <c r="CN699" s="40"/>
      <c r="CO699" s="5"/>
      <c r="CQ699" s="40"/>
      <c r="CR699" s="5"/>
    </row>
    <row r="700">
      <c r="AO700" s="40"/>
      <c r="AP700" s="5"/>
      <c r="AR700" s="40"/>
      <c r="AS700" s="5"/>
      <c r="AU700" s="40"/>
      <c r="AV700" s="5"/>
      <c r="AX700" s="40"/>
      <c r="AY700" s="5"/>
      <c r="BA700" s="40"/>
      <c r="BB700" s="5"/>
      <c r="BD700" s="40"/>
      <c r="BE700" s="5"/>
      <c r="BG700" s="40"/>
      <c r="BH700" s="5"/>
      <c r="BJ700" s="40"/>
      <c r="BK700" s="5"/>
      <c r="BM700" s="40"/>
      <c r="BN700" s="5"/>
      <c r="BP700" s="40"/>
      <c r="BQ700" s="5"/>
      <c r="BS700" s="40"/>
      <c r="BT700" s="5"/>
      <c r="BV700" s="40"/>
      <c r="BW700" s="5"/>
      <c r="BY700" s="40"/>
      <c r="BZ700" s="5"/>
      <c r="CB700" s="40"/>
      <c r="CC700" s="5"/>
      <c r="CE700" s="40"/>
      <c r="CF700" s="5"/>
      <c r="CH700" s="40"/>
      <c r="CI700" s="5"/>
      <c r="CK700" s="40"/>
      <c r="CL700" s="5"/>
      <c r="CN700" s="40"/>
      <c r="CO700" s="5"/>
      <c r="CQ700" s="40"/>
      <c r="CR700" s="5"/>
    </row>
    <row r="701">
      <c r="AO701" s="40"/>
      <c r="AP701" s="5"/>
      <c r="AR701" s="40"/>
      <c r="AS701" s="5"/>
      <c r="AU701" s="40"/>
      <c r="AV701" s="5"/>
      <c r="AX701" s="40"/>
      <c r="AY701" s="5"/>
      <c r="BA701" s="40"/>
      <c r="BB701" s="5"/>
      <c r="BD701" s="40"/>
      <c r="BE701" s="5"/>
      <c r="BG701" s="40"/>
      <c r="BH701" s="5"/>
      <c r="BJ701" s="40"/>
      <c r="BK701" s="5"/>
      <c r="BM701" s="40"/>
      <c r="BN701" s="5"/>
      <c r="BP701" s="40"/>
      <c r="BQ701" s="5"/>
      <c r="BS701" s="40"/>
      <c r="BT701" s="5"/>
      <c r="BV701" s="40"/>
      <c r="BW701" s="5"/>
      <c r="BY701" s="40"/>
      <c r="BZ701" s="5"/>
      <c r="CB701" s="40"/>
      <c r="CC701" s="5"/>
      <c r="CE701" s="40"/>
      <c r="CF701" s="5"/>
      <c r="CH701" s="40"/>
      <c r="CI701" s="5"/>
      <c r="CK701" s="40"/>
      <c r="CL701" s="5"/>
      <c r="CN701" s="40"/>
      <c r="CO701" s="5"/>
      <c r="CQ701" s="40"/>
      <c r="CR701" s="5"/>
    </row>
    <row r="702">
      <c r="AO702" s="40"/>
      <c r="AP702" s="5"/>
      <c r="AR702" s="40"/>
      <c r="AS702" s="5"/>
      <c r="AU702" s="40"/>
      <c r="AV702" s="5"/>
      <c r="AX702" s="40"/>
      <c r="AY702" s="5"/>
      <c r="BA702" s="40"/>
      <c r="BB702" s="5"/>
      <c r="BD702" s="40"/>
      <c r="BE702" s="5"/>
      <c r="BG702" s="40"/>
      <c r="BH702" s="5"/>
      <c r="BJ702" s="40"/>
      <c r="BK702" s="5"/>
      <c r="BM702" s="40"/>
      <c r="BN702" s="5"/>
      <c r="BP702" s="40"/>
      <c r="BQ702" s="5"/>
      <c r="BS702" s="40"/>
      <c r="BT702" s="5"/>
      <c r="BV702" s="40"/>
      <c r="BW702" s="5"/>
      <c r="BY702" s="40"/>
      <c r="BZ702" s="5"/>
      <c r="CB702" s="40"/>
      <c r="CC702" s="5"/>
      <c r="CE702" s="40"/>
      <c r="CF702" s="5"/>
      <c r="CH702" s="40"/>
      <c r="CI702" s="5"/>
      <c r="CK702" s="40"/>
      <c r="CL702" s="5"/>
      <c r="CN702" s="40"/>
      <c r="CO702" s="5"/>
      <c r="CQ702" s="40"/>
      <c r="CR702" s="5"/>
    </row>
    <row r="703">
      <c r="AO703" s="40"/>
      <c r="AP703" s="5"/>
      <c r="AR703" s="40"/>
      <c r="AS703" s="5"/>
      <c r="AU703" s="40"/>
      <c r="AV703" s="5"/>
      <c r="AX703" s="40"/>
      <c r="AY703" s="5"/>
      <c r="BA703" s="40"/>
      <c r="BB703" s="5"/>
      <c r="BD703" s="40"/>
      <c r="BE703" s="5"/>
      <c r="BG703" s="40"/>
      <c r="BH703" s="5"/>
      <c r="BJ703" s="40"/>
      <c r="BK703" s="5"/>
      <c r="BM703" s="40"/>
      <c r="BN703" s="5"/>
      <c r="BP703" s="40"/>
      <c r="BQ703" s="5"/>
      <c r="BS703" s="40"/>
      <c r="BT703" s="5"/>
      <c r="BV703" s="40"/>
      <c r="BW703" s="5"/>
      <c r="BY703" s="40"/>
      <c r="BZ703" s="5"/>
      <c r="CB703" s="40"/>
      <c r="CC703" s="5"/>
      <c r="CE703" s="40"/>
      <c r="CF703" s="5"/>
      <c r="CH703" s="40"/>
      <c r="CI703" s="5"/>
      <c r="CK703" s="40"/>
      <c r="CL703" s="5"/>
      <c r="CN703" s="40"/>
      <c r="CO703" s="5"/>
      <c r="CQ703" s="40"/>
      <c r="CR703" s="5"/>
    </row>
    <row r="704">
      <c r="AO704" s="40"/>
      <c r="AP704" s="5"/>
      <c r="AR704" s="40"/>
      <c r="AS704" s="5"/>
      <c r="AU704" s="40"/>
      <c r="AV704" s="5"/>
      <c r="AX704" s="40"/>
      <c r="AY704" s="5"/>
      <c r="BA704" s="40"/>
      <c r="BB704" s="5"/>
      <c r="BD704" s="40"/>
      <c r="BE704" s="5"/>
      <c r="BG704" s="40"/>
      <c r="BH704" s="5"/>
      <c r="BJ704" s="40"/>
      <c r="BK704" s="5"/>
      <c r="BM704" s="40"/>
      <c r="BN704" s="5"/>
      <c r="BP704" s="40"/>
      <c r="BQ704" s="5"/>
      <c r="BS704" s="40"/>
      <c r="BT704" s="5"/>
      <c r="BV704" s="40"/>
      <c r="BW704" s="5"/>
      <c r="BY704" s="40"/>
      <c r="BZ704" s="5"/>
      <c r="CB704" s="40"/>
      <c r="CC704" s="5"/>
      <c r="CE704" s="40"/>
      <c r="CF704" s="5"/>
      <c r="CH704" s="40"/>
      <c r="CI704" s="5"/>
      <c r="CK704" s="40"/>
      <c r="CL704" s="5"/>
      <c r="CN704" s="40"/>
      <c r="CO704" s="5"/>
      <c r="CQ704" s="40"/>
      <c r="CR704" s="5"/>
    </row>
    <row r="705">
      <c r="AO705" s="40"/>
      <c r="AP705" s="5"/>
      <c r="AR705" s="40"/>
      <c r="AS705" s="5"/>
      <c r="AU705" s="40"/>
      <c r="AV705" s="5"/>
      <c r="AX705" s="40"/>
      <c r="AY705" s="5"/>
      <c r="BA705" s="40"/>
      <c r="BB705" s="5"/>
      <c r="BD705" s="40"/>
      <c r="BE705" s="5"/>
      <c r="BG705" s="40"/>
      <c r="BH705" s="5"/>
      <c r="BJ705" s="40"/>
      <c r="BK705" s="5"/>
      <c r="BM705" s="40"/>
      <c r="BN705" s="5"/>
      <c r="BP705" s="40"/>
      <c r="BQ705" s="5"/>
      <c r="BS705" s="40"/>
      <c r="BT705" s="5"/>
      <c r="BV705" s="40"/>
      <c r="BW705" s="5"/>
      <c r="BY705" s="40"/>
      <c r="BZ705" s="5"/>
      <c r="CB705" s="40"/>
      <c r="CC705" s="5"/>
      <c r="CE705" s="40"/>
      <c r="CF705" s="5"/>
      <c r="CH705" s="40"/>
      <c r="CI705" s="5"/>
      <c r="CK705" s="40"/>
      <c r="CL705" s="5"/>
      <c r="CN705" s="40"/>
      <c r="CO705" s="5"/>
      <c r="CQ705" s="40"/>
      <c r="CR705" s="5"/>
    </row>
    <row r="706">
      <c r="AO706" s="40"/>
      <c r="AP706" s="5"/>
      <c r="AR706" s="40"/>
      <c r="AS706" s="5"/>
      <c r="AU706" s="40"/>
      <c r="AV706" s="5"/>
      <c r="AX706" s="40"/>
      <c r="AY706" s="5"/>
      <c r="BA706" s="40"/>
      <c r="BB706" s="5"/>
      <c r="BD706" s="40"/>
      <c r="BE706" s="5"/>
      <c r="BG706" s="40"/>
      <c r="BH706" s="5"/>
      <c r="BJ706" s="40"/>
      <c r="BK706" s="5"/>
      <c r="BM706" s="40"/>
      <c r="BN706" s="5"/>
      <c r="BP706" s="40"/>
      <c r="BQ706" s="5"/>
      <c r="BS706" s="40"/>
      <c r="BT706" s="5"/>
      <c r="BV706" s="40"/>
      <c r="BW706" s="5"/>
      <c r="BY706" s="40"/>
      <c r="BZ706" s="5"/>
      <c r="CB706" s="40"/>
      <c r="CC706" s="5"/>
      <c r="CE706" s="40"/>
      <c r="CF706" s="5"/>
      <c r="CH706" s="40"/>
      <c r="CI706" s="5"/>
      <c r="CK706" s="40"/>
      <c r="CL706" s="5"/>
      <c r="CN706" s="40"/>
      <c r="CO706" s="5"/>
      <c r="CQ706" s="40"/>
      <c r="CR706" s="5"/>
    </row>
    <row r="707">
      <c r="AO707" s="40"/>
      <c r="AP707" s="5"/>
      <c r="AR707" s="40"/>
      <c r="AS707" s="5"/>
      <c r="AU707" s="40"/>
      <c r="AV707" s="5"/>
      <c r="AX707" s="40"/>
      <c r="AY707" s="5"/>
      <c r="BA707" s="40"/>
      <c r="BB707" s="5"/>
      <c r="BD707" s="40"/>
      <c r="BE707" s="5"/>
      <c r="BG707" s="40"/>
      <c r="BH707" s="5"/>
      <c r="BJ707" s="40"/>
      <c r="BK707" s="5"/>
      <c r="BM707" s="40"/>
      <c r="BN707" s="5"/>
      <c r="BP707" s="40"/>
      <c r="BQ707" s="5"/>
      <c r="BS707" s="40"/>
      <c r="BT707" s="5"/>
      <c r="BV707" s="40"/>
      <c r="BW707" s="5"/>
      <c r="BY707" s="40"/>
      <c r="BZ707" s="5"/>
      <c r="CB707" s="40"/>
      <c r="CC707" s="5"/>
      <c r="CE707" s="40"/>
      <c r="CF707" s="5"/>
      <c r="CH707" s="40"/>
      <c r="CI707" s="5"/>
      <c r="CK707" s="40"/>
      <c r="CL707" s="5"/>
      <c r="CN707" s="40"/>
      <c r="CO707" s="5"/>
      <c r="CQ707" s="40"/>
      <c r="CR707" s="5"/>
    </row>
    <row r="708">
      <c r="AO708" s="40"/>
      <c r="AP708" s="5"/>
      <c r="AR708" s="40"/>
      <c r="AS708" s="5"/>
      <c r="AU708" s="40"/>
      <c r="AV708" s="5"/>
      <c r="AX708" s="40"/>
      <c r="AY708" s="5"/>
      <c r="BA708" s="40"/>
      <c r="BB708" s="5"/>
      <c r="BD708" s="40"/>
      <c r="BE708" s="5"/>
      <c r="BG708" s="40"/>
      <c r="BH708" s="5"/>
      <c r="BJ708" s="40"/>
      <c r="BK708" s="5"/>
      <c r="BM708" s="40"/>
      <c r="BN708" s="5"/>
      <c r="BP708" s="40"/>
      <c r="BQ708" s="5"/>
      <c r="BS708" s="40"/>
      <c r="BT708" s="5"/>
      <c r="BV708" s="40"/>
      <c r="BW708" s="5"/>
      <c r="BY708" s="40"/>
      <c r="BZ708" s="5"/>
      <c r="CB708" s="40"/>
      <c r="CC708" s="5"/>
      <c r="CE708" s="40"/>
      <c r="CF708" s="5"/>
      <c r="CH708" s="40"/>
      <c r="CI708" s="5"/>
      <c r="CK708" s="40"/>
      <c r="CL708" s="5"/>
      <c r="CN708" s="40"/>
      <c r="CO708" s="5"/>
      <c r="CQ708" s="40"/>
      <c r="CR708" s="5"/>
    </row>
    <row r="709">
      <c r="AO709" s="40"/>
      <c r="AP709" s="5"/>
      <c r="AR709" s="40"/>
      <c r="AS709" s="5"/>
      <c r="AU709" s="40"/>
      <c r="AV709" s="5"/>
      <c r="AX709" s="40"/>
      <c r="AY709" s="5"/>
      <c r="BA709" s="40"/>
      <c r="BB709" s="5"/>
      <c r="BD709" s="40"/>
      <c r="BE709" s="5"/>
      <c r="BG709" s="40"/>
      <c r="BH709" s="5"/>
      <c r="BJ709" s="40"/>
      <c r="BK709" s="5"/>
      <c r="BM709" s="40"/>
      <c r="BN709" s="5"/>
      <c r="BP709" s="40"/>
      <c r="BQ709" s="5"/>
      <c r="BS709" s="40"/>
      <c r="BT709" s="5"/>
      <c r="BV709" s="40"/>
      <c r="BW709" s="5"/>
      <c r="BY709" s="40"/>
      <c r="BZ709" s="5"/>
      <c r="CB709" s="40"/>
      <c r="CC709" s="5"/>
      <c r="CE709" s="40"/>
      <c r="CF709" s="5"/>
      <c r="CH709" s="40"/>
      <c r="CI709" s="5"/>
      <c r="CK709" s="40"/>
      <c r="CL709" s="5"/>
      <c r="CN709" s="40"/>
      <c r="CO709" s="5"/>
      <c r="CQ709" s="40"/>
      <c r="CR709" s="5"/>
    </row>
    <row r="710">
      <c r="AO710" s="40"/>
      <c r="AP710" s="5"/>
      <c r="AR710" s="40"/>
      <c r="AS710" s="5"/>
      <c r="AU710" s="40"/>
      <c r="AV710" s="5"/>
      <c r="AX710" s="40"/>
      <c r="AY710" s="5"/>
      <c r="BA710" s="40"/>
      <c r="BB710" s="5"/>
      <c r="BD710" s="40"/>
      <c r="BE710" s="5"/>
      <c r="BG710" s="40"/>
      <c r="BH710" s="5"/>
      <c r="BJ710" s="40"/>
      <c r="BK710" s="5"/>
      <c r="BM710" s="40"/>
      <c r="BN710" s="5"/>
      <c r="BP710" s="40"/>
      <c r="BQ710" s="5"/>
      <c r="BS710" s="40"/>
      <c r="BT710" s="5"/>
      <c r="BV710" s="40"/>
      <c r="BW710" s="5"/>
      <c r="BY710" s="40"/>
      <c r="BZ710" s="5"/>
      <c r="CB710" s="40"/>
      <c r="CC710" s="5"/>
      <c r="CE710" s="40"/>
      <c r="CF710" s="5"/>
      <c r="CH710" s="40"/>
      <c r="CI710" s="5"/>
      <c r="CK710" s="40"/>
      <c r="CL710" s="5"/>
      <c r="CN710" s="40"/>
      <c r="CO710" s="5"/>
      <c r="CQ710" s="40"/>
      <c r="CR710" s="5"/>
    </row>
    <row r="711">
      <c r="AO711" s="40"/>
      <c r="AP711" s="5"/>
      <c r="AR711" s="40"/>
      <c r="AS711" s="5"/>
      <c r="AU711" s="40"/>
      <c r="AV711" s="5"/>
      <c r="AX711" s="40"/>
      <c r="AY711" s="5"/>
      <c r="BA711" s="40"/>
      <c r="BB711" s="5"/>
      <c r="BD711" s="40"/>
      <c r="BE711" s="5"/>
      <c r="BG711" s="40"/>
      <c r="BH711" s="5"/>
      <c r="BJ711" s="40"/>
      <c r="BK711" s="5"/>
      <c r="BM711" s="40"/>
      <c r="BN711" s="5"/>
      <c r="BP711" s="40"/>
      <c r="BQ711" s="5"/>
      <c r="BS711" s="40"/>
      <c r="BT711" s="5"/>
      <c r="BV711" s="40"/>
      <c r="BW711" s="5"/>
      <c r="BY711" s="40"/>
      <c r="BZ711" s="5"/>
      <c r="CB711" s="40"/>
      <c r="CC711" s="5"/>
      <c r="CE711" s="40"/>
      <c r="CF711" s="5"/>
      <c r="CH711" s="40"/>
      <c r="CI711" s="5"/>
      <c r="CK711" s="40"/>
      <c r="CL711" s="5"/>
      <c r="CN711" s="40"/>
      <c r="CO711" s="5"/>
      <c r="CQ711" s="40"/>
      <c r="CR711" s="5"/>
    </row>
    <row r="712">
      <c r="AO712" s="40"/>
      <c r="AP712" s="5"/>
      <c r="AR712" s="40"/>
      <c r="AS712" s="5"/>
      <c r="AU712" s="40"/>
      <c r="AV712" s="5"/>
      <c r="AX712" s="40"/>
      <c r="AY712" s="5"/>
      <c r="BA712" s="40"/>
      <c r="BB712" s="5"/>
      <c r="BD712" s="40"/>
      <c r="BE712" s="5"/>
      <c r="BG712" s="40"/>
      <c r="BH712" s="5"/>
      <c r="BJ712" s="40"/>
      <c r="BK712" s="5"/>
      <c r="BM712" s="40"/>
      <c r="BN712" s="5"/>
      <c r="BP712" s="40"/>
      <c r="BQ712" s="5"/>
      <c r="BS712" s="40"/>
      <c r="BT712" s="5"/>
      <c r="BV712" s="40"/>
      <c r="BW712" s="5"/>
      <c r="BY712" s="40"/>
      <c r="BZ712" s="5"/>
      <c r="CB712" s="40"/>
      <c r="CC712" s="5"/>
      <c r="CE712" s="40"/>
      <c r="CF712" s="5"/>
      <c r="CH712" s="40"/>
      <c r="CI712" s="5"/>
      <c r="CK712" s="40"/>
      <c r="CL712" s="5"/>
      <c r="CN712" s="40"/>
      <c r="CO712" s="5"/>
      <c r="CQ712" s="40"/>
      <c r="CR712" s="5"/>
    </row>
    <row r="713">
      <c r="AO713" s="40"/>
      <c r="AP713" s="5"/>
      <c r="AR713" s="40"/>
      <c r="AS713" s="5"/>
      <c r="AU713" s="40"/>
      <c r="AV713" s="5"/>
      <c r="AX713" s="40"/>
      <c r="AY713" s="5"/>
      <c r="BA713" s="40"/>
      <c r="BB713" s="5"/>
      <c r="BD713" s="40"/>
      <c r="BE713" s="5"/>
      <c r="BG713" s="40"/>
      <c r="BH713" s="5"/>
      <c r="BJ713" s="40"/>
      <c r="BK713" s="5"/>
      <c r="BM713" s="40"/>
      <c r="BN713" s="5"/>
      <c r="BP713" s="40"/>
      <c r="BQ713" s="5"/>
      <c r="BS713" s="40"/>
      <c r="BT713" s="5"/>
      <c r="BV713" s="40"/>
      <c r="BW713" s="5"/>
      <c r="BY713" s="40"/>
      <c r="BZ713" s="5"/>
      <c r="CB713" s="40"/>
      <c r="CC713" s="5"/>
      <c r="CE713" s="40"/>
      <c r="CF713" s="5"/>
      <c r="CH713" s="40"/>
      <c r="CI713" s="5"/>
      <c r="CK713" s="40"/>
      <c r="CL713" s="5"/>
      <c r="CN713" s="40"/>
      <c r="CO713" s="5"/>
      <c r="CQ713" s="40"/>
      <c r="CR713" s="5"/>
    </row>
    <row r="714">
      <c r="AO714" s="40"/>
      <c r="AP714" s="5"/>
      <c r="AR714" s="40"/>
      <c r="AS714" s="5"/>
      <c r="AU714" s="40"/>
      <c r="AV714" s="5"/>
      <c r="AX714" s="40"/>
      <c r="AY714" s="5"/>
      <c r="BA714" s="40"/>
      <c r="BB714" s="5"/>
      <c r="BD714" s="40"/>
      <c r="BE714" s="5"/>
      <c r="BG714" s="40"/>
      <c r="BH714" s="5"/>
      <c r="BJ714" s="40"/>
      <c r="BK714" s="5"/>
      <c r="BM714" s="40"/>
      <c r="BN714" s="5"/>
      <c r="BP714" s="40"/>
      <c r="BQ714" s="5"/>
      <c r="BS714" s="40"/>
      <c r="BT714" s="5"/>
      <c r="BV714" s="40"/>
      <c r="BW714" s="5"/>
      <c r="BY714" s="40"/>
      <c r="BZ714" s="5"/>
      <c r="CB714" s="40"/>
      <c r="CC714" s="5"/>
      <c r="CE714" s="40"/>
      <c r="CF714" s="5"/>
      <c r="CH714" s="40"/>
      <c r="CI714" s="5"/>
      <c r="CK714" s="40"/>
      <c r="CL714" s="5"/>
      <c r="CN714" s="40"/>
      <c r="CO714" s="5"/>
      <c r="CQ714" s="40"/>
      <c r="CR714" s="5"/>
    </row>
    <row r="715">
      <c r="AO715" s="40"/>
      <c r="AP715" s="5"/>
      <c r="AR715" s="40"/>
      <c r="AS715" s="5"/>
      <c r="AU715" s="40"/>
      <c r="AV715" s="5"/>
      <c r="AX715" s="40"/>
      <c r="AY715" s="5"/>
      <c r="BA715" s="40"/>
      <c r="BB715" s="5"/>
      <c r="BD715" s="40"/>
      <c r="BE715" s="5"/>
      <c r="BG715" s="40"/>
      <c r="BH715" s="5"/>
      <c r="BJ715" s="40"/>
      <c r="BK715" s="5"/>
      <c r="BM715" s="40"/>
      <c r="BN715" s="5"/>
      <c r="BP715" s="40"/>
      <c r="BQ715" s="5"/>
      <c r="BS715" s="40"/>
      <c r="BT715" s="5"/>
      <c r="BV715" s="40"/>
      <c r="BW715" s="5"/>
      <c r="BY715" s="40"/>
      <c r="BZ715" s="5"/>
      <c r="CB715" s="40"/>
      <c r="CC715" s="5"/>
      <c r="CE715" s="40"/>
      <c r="CF715" s="5"/>
      <c r="CH715" s="40"/>
      <c r="CI715" s="5"/>
      <c r="CK715" s="40"/>
      <c r="CL715" s="5"/>
      <c r="CN715" s="40"/>
      <c r="CO715" s="5"/>
      <c r="CQ715" s="40"/>
      <c r="CR715" s="5"/>
    </row>
    <row r="716">
      <c r="AO716" s="40"/>
      <c r="AP716" s="5"/>
      <c r="AR716" s="40"/>
      <c r="AS716" s="5"/>
      <c r="AU716" s="40"/>
      <c r="AV716" s="5"/>
      <c r="AX716" s="40"/>
      <c r="AY716" s="5"/>
      <c r="BA716" s="40"/>
      <c r="BB716" s="5"/>
      <c r="BD716" s="40"/>
      <c r="BE716" s="5"/>
      <c r="BG716" s="40"/>
      <c r="BH716" s="5"/>
      <c r="BJ716" s="40"/>
      <c r="BK716" s="5"/>
      <c r="BM716" s="40"/>
      <c r="BN716" s="5"/>
      <c r="BP716" s="40"/>
      <c r="BQ716" s="5"/>
      <c r="BS716" s="40"/>
      <c r="BT716" s="5"/>
      <c r="BV716" s="40"/>
      <c r="BW716" s="5"/>
      <c r="BY716" s="40"/>
      <c r="BZ716" s="5"/>
      <c r="CB716" s="40"/>
      <c r="CC716" s="5"/>
      <c r="CE716" s="40"/>
      <c r="CF716" s="5"/>
      <c r="CH716" s="40"/>
      <c r="CI716" s="5"/>
      <c r="CK716" s="40"/>
      <c r="CL716" s="5"/>
      <c r="CN716" s="40"/>
      <c r="CO716" s="5"/>
      <c r="CQ716" s="40"/>
      <c r="CR716" s="5"/>
    </row>
    <row r="717">
      <c r="AO717" s="40"/>
      <c r="AP717" s="5"/>
      <c r="AR717" s="40"/>
      <c r="AS717" s="5"/>
      <c r="AU717" s="40"/>
      <c r="AV717" s="5"/>
      <c r="AX717" s="40"/>
      <c r="AY717" s="5"/>
      <c r="BA717" s="40"/>
      <c r="BB717" s="5"/>
      <c r="BD717" s="40"/>
      <c r="BE717" s="5"/>
      <c r="BG717" s="40"/>
      <c r="BH717" s="5"/>
      <c r="BJ717" s="40"/>
      <c r="BK717" s="5"/>
      <c r="BM717" s="40"/>
      <c r="BN717" s="5"/>
      <c r="BP717" s="40"/>
      <c r="BQ717" s="5"/>
      <c r="BS717" s="40"/>
      <c r="BT717" s="5"/>
      <c r="BV717" s="40"/>
      <c r="BW717" s="5"/>
      <c r="BY717" s="40"/>
      <c r="BZ717" s="5"/>
      <c r="CB717" s="40"/>
      <c r="CC717" s="5"/>
      <c r="CE717" s="40"/>
      <c r="CF717" s="5"/>
      <c r="CH717" s="40"/>
      <c r="CI717" s="5"/>
      <c r="CK717" s="40"/>
      <c r="CL717" s="5"/>
      <c r="CN717" s="40"/>
      <c r="CO717" s="5"/>
      <c r="CQ717" s="40"/>
      <c r="CR717" s="5"/>
    </row>
    <row r="718">
      <c r="AO718" s="40"/>
      <c r="AP718" s="5"/>
      <c r="AR718" s="40"/>
      <c r="AS718" s="5"/>
      <c r="AU718" s="40"/>
      <c r="AV718" s="5"/>
      <c r="AX718" s="40"/>
      <c r="AY718" s="5"/>
      <c r="BA718" s="40"/>
      <c r="BB718" s="5"/>
      <c r="BD718" s="40"/>
      <c r="BE718" s="5"/>
      <c r="BG718" s="40"/>
      <c r="BH718" s="5"/>
      <c r="BJ718" s="40"/>
      <c r="BK718" s="5"/>
      <c r="BM718" s="40"/>
      <c r="BN718" s="5"/>
      <c r="BP718" s="40"/>
      <c r="BQ718" s="5"/>
      <c r="BS718" s="40"/>
      <c r="BT718" s="5"/>
      <c r="BV718" s="40"/>
      <c r="BW718" s="5"/>
      <c r="BY718" s="40"/>
      <c r="BZ718" s="5"/>
      <c r="CB718" s="40"/>
      <c r="CC718" s="5"/>
      <c r="CE718" s="40"/>
      <c r="CF718" s="5"/>
      <c r="CH718" s="40"/>
      <c r="CI718" s="5"/>
      <c r="CK718" s="40"/>
      <c r="CL718" s="5"/>
      <c r="CN718" s="40"/>
      <c r="CO718" s="5"/>
      <c r="CQ718" s="40"/>
      <c r="CR718" s="5"/>
    </row>
    <row r="719">
      <c r="AO719" s="40"/>
      <c r="AP719" s="5"/>
      <c r="AR719" s="40"/>
      <c r="AS719" s="5"/>
      <c r="AU719" s="40"/>
      <c r="AV719" s="5"/>
      <c r="AX719" s="40"/>
      <c r="AY719" s="5"/>
      <c r="BA719" s="40"/>
      <c r="BB719" s="5"/>
      <c r="BD719" s="40"/>
      <c r="BE719" s="5"/>
      <c r="BG719" s="40"/>
      <c r="BH719" s="5"/>
      <c r="BJ719" s="40"/>
      <c r="BK719" s="5"/>
      <c r="BM719" s="40"/>
      <c r="BN719" s="5"/>
      <c r="BP719" s="40"/>
      <c r="BQ719" s="5"/>
      <c r="BS719" s="40"/>
      <c r="BT719" s="5"/>
      <c r="BV719" s="40"/>
      <c r="BW719" s="5"/>
      <c r="BY719" s="40"/>
      <c r="BZ719" s="5"/>
      <c r="CB719" s="40"/>
      <c r="CC719" s="5"/>
      <c r="CE719" s="40"/>
      <c r="CF719" s="5"/>
      <c r="CH719" s="40"/>
      <c r="CI719" s="5"/>
      <c r="CK719" s="40"/>
      <c r="CL719" s="5"/>
      <c r="CN719" s="40"/>
      <c r="CO719" s="5"/>
      <c r="CQ719" s="40"/>
      <c r="CR719" s="5"/>
    </row>
    <row r="720">
      <c r="AO720" s="40"/>
      <c r="AP720" s="5"/>
      <c r="AR720" s="40"/>
      <c r="AS720" s="5"/>
      <c r="AU720" s="40"/>
      <c r="AV720" s="5"/>
      <c r="AX720" s="40"/>
      <c r="AY720" s="5"/>
      <c r="BA720" s="40"/>
      <c r="BB720" s="5"/>
      <c r="BD720" s="40"/>
      <c r="BE720" s="5"/>
      <c r="BG720" s="40"/>
      <c r="BH720" s="5"/>
      <c r="BJ720" s="40"/>
      <c r="BK720" s="5"/>
      <c r="BM720" s="40"/>
      <c r="BN720" s="5"/>
      <c r="BP720" s="40"/>
      <c r="BQ720" s="5"/>
      <c r="BS720" s="40"/>
      <c r="BT720" s="5"/>
      <c r="BV720" s="40"/>
      <c r="BW720" s="5"/>
      <c r="BY720" s="40"/>
      <c r="BZ720" s="5"/>
      <c r="CB720" s="40"/>
      <c r="CC720" s="5"/>
      <c r="CE720" s="40"/>
      <c r="CF720" s="5"/>
      <c r="CH720" s="40"/>
      <c r="CI720" s="5"/>
      <c r="CK720" s="40"/>
      <c r="CL720" s="5"/>
      <c r="CN720" s="40"/>
      <c r="CO720" s="5"/>
      <c r="CQ720" s="40"/>
      <c r="CR720" s="5"/>
    </row>
    <row r="721">
      <c r="AO721" s="40"/>
      <c r="AP721" s="5"/>
      <c r="AR721" s="40"/>
      <c r="AS721" s="5"/>
      <c r="AU721" s="40"/>
      <c r="AV721" s="5"/>
      <c r="AX721" s="40"/>
      <c r="AY721" s="5"/>
      <c r="BA721" s="40"/>
      <c r="BB721" s="5"/>
      <c r="BD721" s="40"/>
      <c r="BE721" s="5"/>
      <c r="BG721" s="40"/>
      <c r="BH721" s="5"/>
      <c r="BJ721" s="40"/>
      <c r="BK721" s="5"/>
      <c r="BM721" s="40"/>
      <c r="BN721" s="5"/>
      <c r="BP721" s="40"/>
      <c r="BQ721" s="5"/>
      <c r="BS721" s="40"/>
      <c r="BT721" s="5"/>
      <c r="BV721" s="40"/>
      <c r="BW721" s="5"/>
      <c r="BY721" s="40"/>
      <c r="BZ721" s="5"/>
      <c r="CB721" s="40"/>
      <c r="CC721" s="5"/>
      <c r="CE721" s="40"/>
      <c r="CF721" s="5"/>
      <c r="CH721" s="40"/>
      <c r="CI721" s="5"/>
      <c r="CK721" s="40"/>
      <c r="CL721" s="5"/>
      <c r="CN721" s="40"/>
      <c r="CO721" s="5"/>
      <c r="CQ721" s="40"/>
      <c r="CR721" s="5"/>
    </row>
    <row r="722">
      <c r="AO722" s="40"/>
      <c r="AP722" s="5"/>
      <c r="AR722" s="40"/>
      <c r="AS722" s="5"/>
      <c r="AU722" s="40"/>
      <c r="AV722" s="5"/>
      <c r="AX722" s="40"/>
      <c r="AY722" s="5"/>
      <c r="BA722" s="40"/>
      <c r="BB722" s="5"/>
      <c r="BD722" s="40"/>
      <c r="BE722" s="5"/>
      <c r="BG722" s="40"/>
      <c r="BH722" s="5"/>
      <c r="BJ722" s="40"/>
      <c r="BK722" s="5"/>
      <c r="BM722" s="40"/>
      <c r="BN722" s="5"/>
      <c r="BP722" s="40"/>
      <c r="BQ722" s="5"/>
      <c r="BS722" s="40"/>
      <c r="BT722" s="5"/>
      <c r="BV722" s="40"/>
      <c r="BW722" s="5"/>
      <c r="BY722" s="40"/>
      <c r="BZ722" s="5"/>
      <c r="CB722" s="40"/>
      <c r="CC722" s="5"/>
      <c r="CE722" s="40"/>
      <c r="CF722" s="5"/>
      <c r="CH722" s="40"/>
      <c r="CI722" s="5"/>
      <c r="CK722" s="40"/>
      <c r="CL722" s="5"/>
      <c r="CN722" s="40"/>
      <c r="CO722" s="5"/>
      <c r="CQ722" s="40"/>
      <c r="CR722" s="5"/>
    </row>
    <row r="723">
      <c r="AO723" s="40"/>
      <c r="AP723" s="5"/>
      <c r="AR723" s="40"/>
      <c r="AS723" s="5"/>
      <c r="AU723" s="40"/>
      <c r="AV723" s="5"/>
      <c r="AX723" s="40"/>
      <c r="AY723" s="5"/>
      <c r="BA723" s="40"/>
      <c r="BB723" s="5"/>
      <c r="BD723" s="40"/>
      <c r="BE723" s="5"/>
      <c r="BG723" s="40"/>
      <c r="BH723" s="5"/>
      <c r="BJ723" s="40"/>
      <c r="BK723" s="5"/>
      <c r="BM723" s="40"/>
      <c r="BN723" s="5"/>
      <c r="BP723" s="40"/>
      <c r="BQ723" s="5"/>
      <c r="BS723" s="40"/>
      <c r="BT723" s="5"/>
      <c r="BV723" s="40"/>
      <c r="BW723" s="5"/>
      <c r="BY723" s="40"/>
      <c r="BZ723" s="5"/>
      <c r="CB723" s="40"/>
      <c r="CC723" s="5"/>
      <c r="CE723" s="40"/>
      <c r="CF723" s="5"/>
      <c r="CH723" s="40"/>
      <c r="CI723" s="5"/>
      <c r="CK723" s="40"/>
      <c r="CL723" s="5"/>
      <c r="CN723" s="40"/>
      <c r="CO723" s="5"/>
      <c r="CQ723" s="40"/>
      <c r="CR723" s="5"/>
    </row>
    <row r="724">
      <c r="AO724" s="40"/>
      <c r="AP724" s="5"/>
      <c r="AR724" s="40"/>
      <c r="AS724" s="5"/>
      <c r="AU724" s="40"/>
      <c r="AV724" s="5"/>
      <c r="AX724" s="40"/>
      <c r="AY724" s="5"/>
      <c r="BA724" s="40"/>
      <c r="BB724" s="5"/>
      <c r="BD724" s="40"/>
      <c r="BE724" s="5"/>
      <c r="BG724" s="40"/>
      <c r="BH724" s="5"/>
      <c r="BJ724" s="40"/>
      <c r="BK724" s="5"/>
      <c r="BM724" s="40"/>
      <c r="BN724" s="5"/>
      <c r="BP724" s="40"/>
      <c r="BQ724" s="5"/>
      <c r="BS724" s="40"/>
      <c r="BT724" s="5"/>
      <c r="BV724" s="40"/>
      <c r="BW724" s="5"/>
      <c r="BY724" s="40"/>
      <c r="BZ724" s="5"/>
      <c r="CB724" s="40"/>
      <c r="CC724" s="5"/>
      <c r="CE724" s="40"/>
      <c r="CF724" s="5"/>
      <c r="CH724" s="40"/>
      <c r="CI724" s="5"/>
      <c r="CK724" s="40"/>
      <c r="CL724" s="5"/>
      <c r="CN724" s="40"/>
      <c r="CO724" s="5"/>
      <c r="CQ724" s="40"/>
      <c r="CR724" s="5"/>
    </row>
    <row r="725">
      <c r="AO725" s="40"/>
      <c r="AP725" s="5"/>
      <c r="AR725" s="40"/>
      <c r="AS725" s="5"/>
      <c r="AU725" s="40"/>
      <c r="AV725" s="5"/>
      <c r="AX725" s="40"/>
      <c r="AY725" s="5"/>
      <c r="BA725" s="40"/>
      <c r="BB725" s="5"/>
      <c r="BD725" s="40"/>
      <c r="BE725" s="5"/>
      <c r="BG725" s="40"/>
      <c r="BH725" s="5"/>
      <c r="BJ725" s="40"/>
      <c r="BK725" s="5"/>
      <c r="BM725" s="40"/>
      <c r="BN725" s="5"/>
      <c r="BP725" s="40"/>
      <c r="BQ725" s="5"/>
      <c r="BS725" s="40"/>
      <c r="BT725" s="5"/>
      <c r="BV725" s="40"/>
      <c r="BW725" s="5"/>
      <c r="BY725" s="40"/>
      <c r="BZ725" s="5"/>
      <c r="CB725" s="40"/>
      <c r="CC725" s="5"/>
      <c r="CE725" s="40"/>
      <c r="CF725" s="5"/>
      <c r="CH725" s="40"/>
      <c r="CI725" s="5"/>
      <c r="CK725" s="40"/>
      <c r="CL725" s="5"/>
      <c r="CN725" s="40"/>
      <c r="CO725" s="5"/>
      <c r="CQ725" s="40"/>
      <c r="CR725" s="5"/>
    </row>
    <row r="726">
      <c r="AO726" s="40"/>
      <c r="AP726" s="5"/>
      <c r="AR726" s="40"/>
      <c r="AS726" s="5"/>
      <c r="AU726" s="40"/>
      <c r="AV726" s="5"/>
      <c r="AX726" s="40"/>
      <c r="AY726" s="5"/>
      <c r="BA726" s="40"/>
      <c r="BB726" s="5"/>
      <c r="BD726" s="40"/>
      <c r="BE726" s="5"/>
      <c r="BG726" s="40"/>
      <c r="BH726" s="5"/>
      <c r="BJ726" s="40"/>
      <c r="BK726" s="5"/>
      <c r="BM726" s="40"/>
      <c r="BN726" s="5"/>
      <c r="BP726" s="40"/>
      <c r="BQ726" s="5"/>
      <c r="BS726" s="40"/>
      <c r="BT726" s="5"/>
      <c r="BV726" s="40"/>
      <c r="BW726" s="5"/>
      <c r="BY726" s="40"/>
      <c r="BZ726" s="5"/>
      <c r="CB726" s="40"/>
      <c r="CC726" s="5"/>
      <c r="CE726" s="40"/>
      <c r="CF726" s="5"/>
      <c r="CH726" s="40"/>
      <c r="CI726" s="5"/>
      <c r="CK726" s="40"/>
      <c r="CL726" s="5"/>
      <c r="CN726" s="40"/>
      <c r="CO726" s="5"/>
      <c r="CQ726" s="40"/>
      <c r="CR726" s="5"/>
    </row>
    <row r="727">
      <c r="AO727" s="40"/>
      <c r="AP727" s="5"/>
      <c r="AR727" s="40"/>
      <c r="AS727" s="5"/>
      <c r="AU727" s="40"/>
      <c r="AV727" s="5"/>
      <c r="AX727" s="40"/>
      <c r="AY727" s="5"/>
      <c r="BA727" s="40"/>
      <c r="BB727" s="5"/>
      <c r="BD727" s="40"/>
      <c r="BE727" s="5"/>
      <c r="BG727" s="40"/>
      <c r="BH727" s="5"/>
      <c r="BJ727" s="40"/>
      <c r="BK727" s="5"/>
      <c r="BM727" s="40"/>
      <c r="BN727" s="5"/>
      <c r="BP727" s="40"/>
      <c r="BQ727" s="5"/>
      <c r="BS727" s="40"/>
      <c r="BT727" s="5"/>
      <c r="BV727" s="40"/>
      <c r="BW727" s="5"/>
      <c r="BY727" s="40"/>
      <c r="BZ727" s="5"/>
      <c r="CB727" s="40"/>
      <c r="CC727" s="5"/>
      <c r="CE727" s="40"/>
      <c r="CF727" s="5"/>
      <c r="CH727" s="40"/>
      <c r="CI727" s="5"/>
      <c r="CK727" s="40"/>
      <c r="CL727" s="5"/>
      <c r="CN727" s="40"/>
      <c r="CO727" s="5"/>
      <c r="CQ727" s="40"/>
      <c r="CR727" s="5"/>
    </row>
    <row r="728">
      <c r="AO728" s="40"/>
      <c r="AP728" s="5"/>
      <c r="AR728" s="40"/>
      <c r="AS728" s="5"/>
      <c r="AU728" s="40"/>
      <c r="AV728" s="5"/>
      <c r="AX728" s="40"/>
      <c r="AY728" s="5"/>
      <c r="BA728" s="40"/>
      <c r="BB728" s="5"/>
      <c r="BD728" s="40"/>
      <c r="BE728" s="5"/>
      <c r="BG728" s="40"/>
      <c r="BH728" s="5"/>
      <c r="BJ728" s="40"/>
      <c r="BK728" s="5"/>
      <c r="BM728" s="40"/>
      <c r="BN728" s="5"/>
      <c r="BP728" s="40"/>
      <c r="BQ728" s="5"/>
      <c r="BS728" s="40"/>
      <c r="BT728" s="5"/>
      <c r="BV728" s="40"/>
      <c r="BW728" s="5"/>
      <c r="BY728" s="40"/>
      <c r="BZ728" s="5"/>
      <c r="CB728" s="40"/>
      <c r="CC728" s="5"/>
      <c r="CE728" s="40"/>
      <c r="CF728" s="5"/>
      <c r="CH728" s="40"/>
      <c r="CI728" s="5"/>
      <c r="CK728" s="40"/>
      <c r="CL728" s="5"/>
      <c r="CN728" s="40"/>
      <c r="CO728" s="5"/>
      <c r="CQ728" s="40"/>
      <c r="CR728" s="5"/>
    </row>
    <row r="729">
      <c r="AO729" s="40"/>
      <c r="AP729" s="5"/>
      <c r="AR729" s="40"/>
      <c r="AS729" s="5"/>
      <c r="AU729" s="40"/>
      <c r="AV729" s="5"/>
      <c r="AX729" s="40"/>
      <c r="AY729" s="5"/>
      <c r="BA729" s="40"/>
      <c r="BB729" s="5"/>
      <c r="BD729" s="40"/>
      <c r="BE729" s="5"/>
      <c r="BG729" s="40"/>
      <c r="BH729" s="5"/>
      <c r="BJ729" s="40"/>
      <c r="BK729" s="5"/>
      <c r="BM729" s="40"/>
      <c r="BN729" s="5"/>
      <c r="BP729" s="40"/>
      <c r="BQ729" s="5"/>
      <c r="BS729" s="40"/>
      <c r="BT729" s="5"/>
      <c r="BV729" s="40"/>
      <c r="BW729" s="5"/>
      <c r="BY729" s="40"/>
      <c r="BZ729" s="5"/>
      <c r="CB729" s="40"/>
      <c r="CC729" s="5"/>
      <c r="CE729" s="40"/>
      <c r="CF729" s="5"/>
      <c r="CH729" s="40"/>
      <c r="CI729" s="5"/>
      <c r="CK729" s="40"/>
      <c r="CL729" s="5"/>
      <c r="CN729" s="40"/>
      <c r="CO729" s="5"/>
      <c r="CQ729" s="40"/>
      <c r="CR729" s="5"/>
    </row>
    <row r="730">
      <c r="AO730" s="40"/>
      <c r="AP730" s="5"/>
      <c r="AR730" s="40"/>
      <c r="AS730" s="5"/>
      <c r="AU730" s="40"/>
      <c r="AV730" s="5"/>
      <c r="AX730" s="40"/>
      <c r="AY730" s="5"/>
      <c r="BA730" s="40"/>
      <c r="BB730" s="5"/>
      <c r="BD730" s="40"/>
      <c r="BE730" s="5"/>
      <c r="BG730" s="40"/>
      <c r="BH730" s="5"/>
      <c r="BJ730" s="40"/>
      <c r="BK730" s="5"/>
      <c r="BM730" s="40"/>
      <c r="BN730" s="5"/>
      <c r="BP730" s="40"/>
      <c r="BQ730" s="5"/>
      <c r="BS730" s="40"/>
      <c r="BT730" s="5"/>
      <c r="BV730" s="40"/>
      <c r="BW730" s="5"/>
      <c r="BY730" s="40"/>
      <c r="BZ730" s="5"/>
      <c r="CB730" s="40"/>
      <c r="CC730" s="5"/>
      <c r="CE730" s="40"/>
      <c r="CF730" s="5"/>
      <c r="CH730" s="40"/>
      <c r="CI730" s="5"/>
      <c r="CK730" s="40"/>
      <c r="CL730" s="5"/>
      <c r="CN730" s="40"/>
      <c r="CO730" s="5"/>
      <c r="CQ730" s="40"/>
      <c r="CR730" s="5"/>
    </row>
    <row r="731">
      <c r="AO731" s="40"/>
      <c r="AP731" s="5"/>
      <c r="AR731" s="40"/>
      <c r="AS731" s="5"/>
      <c r="AU731" s="40"/>
      <c r="AV731" s="5"/>
      <c r="AX731" s="40"/>
      <c r="AY731" s="5"/>
      <c r="BA731" s="40"/>
      <c r="BB731" s="5"/>
      <c r="BD731" s="40"/>
      <c r="BE731" s="5"/>
      <c r="BG731" s="40"/>
      <c r="BH731" s="5"/>
      <c r="BJ731" s="40"/>
      <c r="BK731" s="5"/>
      <c r="BM731" s="40"/>
      <c r="BN731" s="5"/>
      <c r="BP731" s="40"/>
      <c r="BQ731" s="5"/>
      <c r="BS731" s="40"/>
      <c r="BT731" s="5"/>
      <c r="BV731" s="40"/>
      <c r="BW731" s="5"/>
      <c r="BY731" s="40"/>
      <c r="BZ731" s="5"/>
      <c r="CB731" s="40"/>
      <c r="CC731" s="5"/>
      <c r="CE731" s="40"/>
      <c r="CF731" s="5"/>
      <c r="CH731" s="40"/>
      <c r="CI731" s="5"/>
      <c r="CK731" s="40"/>
      <c r="CL731" s="5"/>
      <c r="CN731" s="40"/>
      <c r="CO731" s="5"/>
      <c r="CQ731" s="40"/>
      <c r="CR731" s="5"/>
    </row>
    <row r="732">
      <c r="AO732" s="40"/>
      <c r="AP732" s="5"/>
      <c r="AR732" s="40"/>
      <c r="AS732" s="5"/>
      <c r="AU732" s="40"/>
      <c r="AV732" s="5"/>
      <c r="AX732" s="40"/>
      <c r="AY732" s="5"/>
      <c r="BA732" s="40"/>
      <c r="BB732" s="5"/>
      <c r="BD732" s="40"/>
      <c r="BE732" s="5"/>
      <c r="BG732" s="40"/>
      <c r="BH732" s="5"/>
      <c r="BJ732" s="40"/>
      <c r="BK732" s="5"/>
      <c r="BM732" s="40"/>
      <c r="BN732" s="5"/>
      <c r="BP732" s="40"/>
      <c r="BQ732" s="5"/>
      <c r="BS732" s="40"/>
      <c r="BT732" s="5"/>
      <c r="BV732" s="40"/>
      <c r="BW732" s="5"/>
      <c r="BY732" s="40"/>
      <c r="BZ732" s="5"/>
      <c r="CB732" s="40"/>
      <c r="CC732" s="5"/>
      <c r="CE732" s="40"/>
      <c r="CF732" s="5"/>
      <c r="CH732" s="40"/>
      <c r="CI732" s="5"/>
      <c r="CK732" s="40"/>
      <c r="CL732" s="5"/>
      <c r="CN732" s="40"/>
      <c r="CO732" s="5"/>
      <c r="CQ732" s="40"/>
      <c r="CR732" s="5"/>
    </row>
    <row r="733">
      <c r="AO733" s="40"/>
      <c r="AP733" s="5"/>
      <c r="AR733" s="40"/>
      <c r="AS733" s="5"/>
      <c r="AU733" s="40"/>
      <c r="AV733" s="5"/>
      <c r="AX733" s="40"/>
      <c r="AY733" s="5"/>
      <c r="BA733" s="40"/>
      <c r="BB733" s="5"/>
      <c r="BD733" s="40"/>
      <c r="BE733" s="5"/>
      <c r="BG733" s="40"/>
      <c r="BH733" s="5"/>
      <c r="BJ733" s="40"/>
      <c r="BK733" s="5"/>
      <c r="BM733" s="40"/>
      <c r="BN733" s="5"/>
      <c r="BP733" s="40"/>
      <c r="BQ733" s="5"/>
      <c r="BS733" s="40"/>
      <c r="BT733" s="5"/>
      <c r="BV733" s="40"/>
      <c r="BW733" s="5"/>
      <c r="BY733" s="40"/>
      <c r="BZ733" s="5"/>
      <c r="CB733" s="40"/>
      <c r="CC733" s="5"/>
      <c r="CE733" s="40"/>
      <c r="CF733" s="5"/>
      <c r="CH733" s="40"/>
      <c r="CI733" s="5"/>
      <c r="CK733" s="40"/>
      <c r="CL733" s="5"/>
      <c r="CN733" s="40"/>
      <c r="CO733" s="5"/>
      <c r="CQ733" s="40"/>
      <c r="CR733" s="5"/>
    </row>
    <row r="734">
      <c r="AO734" s="40"/>
      <c r="AP734" s="5"/>
      <c r="AR734" s="40"/>
      <c r="AS734" s="5"/>
      <c r="AU734" s="40"/>
      <c r="AV734" s="5"/>
      <c r="AX734" s="40"/>
      <c r="AY734" s="5"/>
      <c r="BA734" s="40"/>
      <c r="BB734" s="5"/>
      <c r="BD734" s="40"/>
      <c r="BE734" s="5"/>
      <c r="BG734" s="40"/>
      <c r="BH734" s="5"/>
      <c r="BJ734" s="40"/>
      <c r="BK734" s="5"/>
      <c r="BM734" s="40"/>
      <c r="BN734" s="5"/>
      <c r="BP734" s="40"/>
      <c r="BQ734" s="5"/>
      <c r="BS734" s="40"/>
      <c r="BT734" s="5"/>
      <c r="BV734" s="40"/>
      <c r="BW734" s="5"/>
      <c r="BY734" s="40"/>
      <c r="BZ734" s="5"/>
      <c r="CB734" s="40"/>
      <c r="CC734" s="5"/>
      <c r="CE734" s="40"/>
      <c r="CF734" s="5"/>
      <c r="CH734" s="40"/>
      <c r="CI734" s="5"/>
      <c r="CK734" s="40"/>
      <c r="CL734" s="5"/>
      <c r="CN734" s="40"/>
      <c r="CO734" s="5"/>
      <c r="CQ734" s="40"/>
      <c r="CR734" s="5"/>
    </row>
    <row r="735">
      <c r="AO735" s="40"/>
      <c r="AP735" s="5"/>
      <c r="AR735" s="40"/>
      <c r="AS735" s="5"/>
      <c r="AU735" s="40"/>
      <c r="AV735" s="5"/>
      <c r="AX735" s="40"/>
      <c r="AY735" s="5"/>
      <c r="BA735" s="40"/>
      <c r="BB735" s="5"/>
      <c r="BD735" s="40"/>
      <c r="BE735" s="5"/>
      <c r="BG735" s="40"/>
      <c r="BH735" s="5"/>
      <c r="BJ735" s="40"/>
      <c r="BK735" s="5"/>
      <c r="BM735" s="40"/>
      <c r="BN735" s="5"/>
      <c r="BP735" s="40"/>
      <c r="BQ735" s="5"/>
      <c r="BS735" s="40"/>
      <c r="BT735" s="5"/>
      <c r="BV735" s="40"/>
      <c r="BW735" s="5"/>
      <c r="BY735" s="40"/>
      <c r="BZ735" s="5"/>
      <c r="CB735" s="40"/>
      <c r="CC735" s="5"/>
      <c r="CE735" s="40"/>
      <c r="CF735" s="5"/>
      <c r="CH735" s="40"/>
      <c r="CI735" s="5"/>
      <c r="CK735" s="40"/>
      <c r="CL735" s="5"/>
      <c r="CN735" s="40"/>
      <c r="CO735" s="5"/>
      <c r="CQ735" s="40"/>
      <c r="CR735" s="5"/>
    </row>
    <row r="736">
      <c r="AO736" s="40"/>
      <c r="AP736" s="5"/>
      <c r="AR736" s="40"/>
      <c r="AS736" s="5"/>
      <c r="AU736" s="40"/>
      <c r="AV736" s="5"/>
      <c r="AX736" s="40"/>
      <c r="AY736" s="5"/>
      <c r="BA736" s="40"/>
      <c r="BB736" s="5"/>
      <c r="BD736" s="40"/>
      <c r="BE736" s="5"/>
      <c r="BG736" s="40"/>
      <c r="BH736" s="5"/>
      <c r="BJ736" s="40"/>
      <c r="BK736" s="5"/>
      <c r="BM736" s="40"/>
      <c r="BN736" s="5"/>
      <c r="BP736" s="40"/>
      <c r="BQ736" s="5"/>
      <c r="BS736" s="40"/>
      <c r="BT736" s="5"/>
      <c r="BV736" s="40"/>
      <c r="BW736" s="5"/>
      <c r="BY736" s="40"/>
      <c r="BZ736" s="5"/>
      <c r="CB736" s="40"/>
      <c r="CC736" s="5"/>
      <c r="CE736" s="40"/>
      <c r="CF736" s="5"/>
      <c r="CH736" s="40"/>
      <c r="CI736" s="5"/>
      <c r="CK736" s="40"/>
      <c r="CL736" s="5"/>
      <c r="CN736" s="40"/>
      <c r="CO736" s="5"/>
      <c r="CQ736" s="40"/>
      <c r="CR736" s="5"/>
    </row>
    <row r="737">
      <c r="AO737" s="40"/>
      <c r="AP737" s="5"/>
      <c r="AR737" s="40"/>
      <c r="AS737" s="5"/>
      <c r="AU737" s="40"/>
      <c r="AV737" s="5"/>
      <c r="AX737" s="40"/>
      <c r="AY737" s="5"/>
      <c r="BA737" s="40"/>
      <c r="BB737" s="5"/>
      <c r="BD737" s="40"/>
      <c r="BE737" s="5"/>
      <c r="BG737" s="40"/>
      <c r="BH737" s="5"/>
      <c r="BJ737" s="40"/>
      <c r="BK737" s="5"/>
      <c r="BM737" s="40"/>
      <c r="BN737" s="5"/>
      <c r="BP737" s="40"/>
      <c r="BQ737" s="5"/>
      <c r="BS737" s="40"/>
      <c r="BT737" s="5"/>
      <c r="BV737" s="40"/>
      <c r="BW737" s="5"/>
      <c r="BY737" s="40"/>
      <c r="BZ737" s="5"/>
      <c r="CB737" s="40"/>
      <c r="CC737" s="5"/>
      <c r="CE737" s="40"/>
      <c r="CF737" s="5"/>
      <c r="CH737" s="40"/>
      <c r="CI737" s="5"/>
      <c r="CK737" s="40"/>
      <c r="CL737" s="5"/>
      <c r="CN737" s="40"/>
      <c r="CO737" s="5"/>
      <c r="CQ737" s="40"/>
      <c r="CR737" s="5"/>
    </row>
    <row r="738">
      <c r="AO738" s="40"/>
      <c r="AP738" s="5"/>
      <c r="AR738" s="40"/>
      <c r="AS738" s="5"/>
      <c r="AU738" s="40"/>
      <c r="AV738" s="5"/>
      <c r="AX738" s="40"/>
      <c r="AY738" s="5"/>
      <c r="BA738" s="40"/>
      <c r="BB738" s="5"/>
      <c r="BD738" s="40"/>
      <c r="BE738" s="5"/>
      <c r="BG738" s="40"/>
      <c r="BH738" s="5"/>
      <c r="BJ738" s="40"/>
      <c r="BK738" s="5"/>
      <c r="BM738" s="40"/>
      <c r="BN738" s="5"/>
      <c r="BP738" s="40"/>
      <c r="BQ738" s="5"/>
      <c r="BS738" s="40"/>
      <c r="BT738" s="5"/>
      <c r="BV738" s="40"/>
      <c r="BW738" s="5"/>
      <c r="BY738" s="40"/>
      <c r="BZ738" s="5"/>
      <c r="CB738" s="40"/>
      <c r="CC738" s="5"/>
      <c r="CE738" s="40"/>
      <c r="CF738" s="5"/>
      <c r="CH738" s="40"/>
      <c r="CI738" s="5"/>
      <c r="CK738" s="40"/>
      <c r="CL738" s="5"/>
      <c r="CN738" s="40"/>
      <c r="CO738" s="5"/>
      <c r="CQ738" s="40"/>
      <c r="CR738" s="5"/>
    </row>
    <row r="739">
      <c r="AO739" s="40"/>
      <c r="AP739" s="5"/>
      <c r="AR739" s="40"/>
      <c r="AS739" s="5"/>
      <c r="AU739" s="40"/>
      <c r="AV739" s="5"/>
      <c r="AX739" s="40"/>
      <c r="AY739" s="5"/>
      <c r="BA739" s="40"/>
      <c r="BB739" s="5"/>
      <c r="BD739" s="40"/>
      <c r="BE739" s="5"/>
      <c r="BG739" s="40"/>
      <c r="BH739" s="5"/>
      <c r="BJ739" s="40"/>
      <c r="BK739" s="5"/>
      <c r="BM739" s="40"/>
      <c r="BN739" s="5"/>
      <c r="BP739" s="40"/>
      <c r="BQ739" s="5"/>
      <c r="BS739" s="40"/>
      <c r="BT739" s="5"/>
      <c r="BV739" s="40"/>
      <c r="BW739" s="5"/>
      <c r="BY739" s="40"/>
      <c r="BZ739" s="5"/>
      <c r="CB739" s="40"/>
      <c r="CC739" s="5"/>
      <c r="CE739" s="40"/>
      <c r="CF739" s="5"/>
      <c r="CH739" s="40"/>
      <c r="CI739" s="5"/>
      <c r="CK739" s="40"/>
      <c r="CL739" s="5"/>
      <c r="CN739" s="40"/>
      <c r="CO739" s="5"/>
      <c r="CQ739" s="40"/>
      <c r="CR739" s="5"/>
    </row>
    <row r="740">
      <c r="AO740" s="40"/>
      <c r="AP740" s="5"/>
      <c r="AR740" s="40"/>
      <c r="AS740" s="5"/>
      <c r="AU740" s="40"/>
      <c r="AV740" s="5"/>
      <c r="AX740" s="40"/>
      <c r="AY740" s="5"/>
      <c r="BA740" s="40"/>
      <c r="BB740" s="5"/>
      <c r="BD740" s="40"/>
      <c r="BE740" s="5"/>
      <c r="BG740" s="40"/>
      <c r="BH740" s="5"/>
      <c r="BJ740" s="40"/>
      <c r="BK740" s="5"/>
      <c r="BM740" s="40"/>
      <c r="BN740" s="5"/>
      <c r="BP740" s="40"/>
      <c r="BQ740" s="5"/>
      <c r="BS740" s="40"/>
      <c r="BT740" s="5"/>
      <c r="BV740" s="40"/>
      <c r="BW740" s="5"/>
      <c r="BY740" s="40"/>
      <c r="BZ740" s="5"/>
      <c r="CB740" s="40"/>
      <c r="CC740" s="5"/>
      <c r="CE740" s="40"/>
      <c r="CF740" s="5"/>
      <c r="CH740" s="40"/>
      <c r="CI740" s="5"/>
      <c r="CK740" s="40"/>
      <c r="CL740" s="5"/>
      <c r="CN740" s="40"/>
      <c r="CO740" s="5"/>
      <c r="CQ740" s="40"/>
      <c r="CR740" s="5"/>
    </row>
    <row r="741">
      <c r="AO741" s="40"/>
      <c r="AP741" s="5"/>
      <c r="AR741" s="40"/>
      <c r="AS741" s="5"/>
      <c r="AU741" s="40"/>
      <c r="AV741" s="5"/>
      <c r="AX741" s="40"/>
      <c r="AY741" s="5"/>
      <c r="BA741" s="40"/>
      <c r="BB741" s="5"/>
      <c r="BD741" s="40"/>
      <c r="BE741" s="5"/>
      <c r="BG741" s="40"/>
      <c r="BH741" s="5"/>
      <c r="BJ741" s="40"/>
      <c r="BK741" s="5"/>
      <c r="BM741" s="40"/>
      <c r="BN741" s="5"/>
      <c r="BP741" s="40"/>
      <c r="BQ741" s="5"/>
      <c r="BS741" s="40"/>
      <c r="BT741" s="5"/>
      <c r="BV741" s="40"/>
      <c r="BW741" s="5"/>
      <c r="BY741" s="40"/>
      <c r="BZ741" s="5"/>
      <c r="CB741" s="40"/>
      <c r="CC741" s="5"/>
      <c r="CE741" s="40"/>
      <c r="CF741" s="5"/>
      <c r="CH741" s="40"/>
      <c r="CI741" s="5"/>
      <c r="CK741" s="40"/>
      <c r="CL741" s="5"/>
      <c r="CN741" s="40"/>
      <c r="CO741" s="5"/>
      <c r="CQ741" s="40"/>
      <c r="CR741" s="5"/>
    </row>
    <row r="742">
      <c r="AO742" s="40"/>
      <c r="AP742" s="5"/>
      <c r="AR742" s="40"/>
      <c r="AS742" s="5"/>
      <c r="AU742" s="40"/>
      <c r="AV742" s="5"/>
      <c r="AX742" s="40"/>
      <c r="AY742" s="5"/>
      <c r="BA742" s="40"/>
      <c r="BB742" s="5"/>
      <c r="BD742" s="40"/>
      <c r="BE742" s="5"/>
      <c r="BG742" s="40"/>
      <c r="BH742" s="5"/>
      <c r="BJ742" s="40"/>
      <c r="BK742" s="5"/>
      <c r="BM742" s="40"/>
      <c r="BN742" s="5"/>
      <c r="BP742" s="40"/>
      <c r="BQ742" s="5"/>
      <c r="BS742" s="40"/>
      <c r="BT742" s="5"/>
      <c r="BV742" s="40"/>
      <c r="BW742" s="5"/>
      <c r="BY742" s="40"/>
      <c r="BZ742" s="5"/>
      <c r="CB742" s="40"/>
      <c r="CC742" s="5"/>
      <c r="CE742" s="40"/>
      <c r="CF742" s="5"/>
      <c r="CH742" s="40"/>
      <c r="CI742" s="5"/>
      <c r="CK742" s="40"/>
      <c r="CL742" s="5"/>
      <c r="CN742" s="40"/>
      <c r="CO742" s="5"/>
      <c r="CQ742" s="40"/>
      <c r="CR742" s="5"/>
    </row>
    <row r="743">
      <c r="AO743" s="40"/>
      <c r="AP743" s="5"/>
      <c r="AR743" s="40"/>
      <c r="AS743" s="5"/>
      <c r="AU743" s="40"/>
      <c r="AV743" s="5"/>
      <c r="AX743" s="40"/>
      <c r="AY743" s="5"/>
      <c r="BA743" s="40"/>
      <c r="BB743" s="5"/>
      <c r="BD743" s="40"/>
      <c r="BE743" s="5"/>
      <c r="BG743" s="40"/>
      <c r="BH743" s="5"/>
      <c r="BJ743" s="40"/>
      <c r="BK743" s="5"/>
      <c r="BM743" s="40"/>
      <c r="BN743" s="5"/>
      <c r="BP743" s="40"/>
      <c r="BQ743" s="5"/>
      <c r="BS743" s="40"/>
      <c r="BT743" s="5"/>
      <c r="BV743" s="40"/>
      <c r="BW743" s="5"/>
      <c r="BY743" s="40"/>
      <c r="BZ743" s="5"/>
      <c r="CB743" s="40"/>
      <c r="CC743" s="5"/>
      <c r="CE743" s="40"/>
      <c r="CF743" s="5"/>
      <c r="CH743" s="40"/>
      <c r="CI743" s="5"/>
      <c r="CK743" s="40"/>
      <c r="CL743" s="5"/>
      <c r="CN743" s="40"/>
      <c r="CO743" s="5"/>
      <c r="CQ743" s="40"/>
      <c r="CR743" s="5"/>
    </row>
    <row r="744">
      <c r="AO744" s="40"/>
      <c r="AP744" s="5"/>
      <c r="AR744" s="40"/>
      <c r="AS744" s="5"/>
      <c r="AU744" s="40"/>
      <c r="AV744" s="5"/>
      <c r="AX744" s="40"/>
      <c r="AY744" s="5"/>
      <c r="BA744" s="40"/>
      <c r="BB744" s="5"/>
      <c r="BD744" s="40"/>
      <c r="BE744" s="5"/>
      <c r="BG744" s="40"/>
      <c r="BH744" s="5"/>
      <c r="BJ744" s="40"/>
      <c r="BK744" s="5"/>
      <c r="BM744" s="40"/>
      <c r="BN744" s="5"/>
      <c r="BP744" s="40"/>
      <c r="BQ744" s="5"/>
      <c r="BS744" s="40"/>
      <c r="BT744" s="5"/>
      <c r="BV744" s="40"/>
      <c r="BW744" s="5"/>
      <c r="BY744" s="40"/>
      <c r="BZ744" s="5"/>
      <c r="CB744" s="40"/>
      <c r="CC744" s="5"/>
      <c r="CE744" s="40"/>
      <c r="CF744" s="5"/>
      <c r="CH744" s="40"/>
      <c r="CI744" s="5"/>
      <c r="CK744" s="40"/>
      <c r="CL744" s="5"/>
      <c r="CN744" s="40"/>
      <c r="CO744" s="5"/>
      <c r="CQ744" s="40"/>
      <c r="CR744" s="5"/>
    </row>
    <row r="745">
      <c r="AO745" s="40"/>
      <c r="AP745" s="5"/>
      <c r="AR745" s="40"/>
      <c r="AS745" s="5"/>
      <c r="AU745" s="40"/>
      <c r="AV745" s="5"/>
      <c r="AX745" s="40"/>
      <c r="AY745" s="5"/>
      <c r="BA745" s="40"/>
      <c r="BB745" s="5"/>
      <c r="BD745" s="40"/>
      <c r="BE745" s="5"/>
      <c r="BG745" s="40"/>
      <c r="BH745" s="5"/>
      <c r="BJ745" s="40"/>
      <c r="BK745" s="5"/>
      <c r="BM745" s="40"/>
      <c r="BN745" s="5"/>
      <c r="BP745" s="40"/>
      <c r="BQ745" s="5"/>
      <c r="BS745" s="40"/>
      <c r="BT745" s="5"/>
      <c r="BV745" s="40"/>
      <c r="BW745" s="5"/>
      <c r="BY745" s="40"/>
      <c r="BZ745" s="5"/>
      <c r="CB745" s="40"/>
      <c r="CC745" s="5"/>
      <c r="CE745" s="40"/>
      <c r="CF745" s="5"/>
      <c r="CH745" s="40"/>
      <c r="CI745" s="5"/>
      <c r="CK745" s="40"/>
      <c r="CL745" s="5"/>
      <c r="CN745" s="40"/>
      <c r="CO745" s="5"/>
      <c r="CQ745" s="40"/>
      <c r="CR745" s="5"/>
    </row>
    <row r="746">
      <c r="AO746" s="40"/>
      <c r="AP746" s="5"/>
      <c r="AR746" s="40"/>
      <c r="AS746" s="5"/>
      <c r="AU746" s="40"/>
      <c r="AV746" s="5"/>
      <c r="AX746" s="40"/>
      <c r="AY746" s="5"/>
      <c r="BA746" s="40"/>
      <c r="BB746" s="5"/>
      <c r="BD746" s="40"/>
      <c r="BE746" s="5"/>
      <c r="BG746" s="40"/>
      <c r="BH746" s="5"/>
      <c r="BJ746" s="40"/>
      <c r="BK746" s="5"/>
      <c r="BM746" s="40"/>
      <c r="BN746" s="5"/>
      <c r="BP746" s="40"/>
      <c r="BQ746" s="5"/>
      <c r="BS746" s="40"/>
      <c r="BT746" s="5"/>
      <c r="BV746" s="40"/>
      <c r="BW746" s="5"/>
      <c r="BY746" s="40"/>
      <c r="BZ746" s="5"/>
      <c r="CB746" s="40"/>
      <c r="CC746" s="5"/>
      <c r="CE746" s="40"/>
      <c r="CF746" s="5"/>
      <c r="CH746" s="40"/>
      <c r="CI746" s="5"/>
      <c r="CK746" s="40"/>
      <c r="CL746" s="5"/>
      <c r="CN746" s="40"/>
      <c r="CO746" s="5"/>
      <c r="CQ746" s="40"/>
      <c r="CR746" s="5"/>
    </row>
    <row r="747">
      <c r="AO747" s="40"/>
      <c r="AP747" s="5"/>
      <c r="AR747" s="40"/>
      <c r="AS747" s="5"/>
      <c r="AU747" s="40"/>
      <c r="AV747" s="5"/>
      <c r="AX747" s="40"/>
      <c r="AY747" s="5"/>
      <c r="BA747" s="40"/>
      <c r="BB747" s="5"/>
      <c r="BD747" s="40"/>
      <c r="BE747" s="5"/>
      <c r="BG747" s="40"/>
      <c r="BH747" s="5"/>
      <c r="BJ747" s="40"/>
      <c r="BK747" s="5"/>
      <c r="BM747" s="40"/>
      <c r="BN747" s="5"/>
      <c r="BP747" s="40"/>
      <c r="BQ747" s="5"/>
      <c r="BS747" s="40"/>
      <c r="BT747" s="5"/>
      <c r="BV747" s="40"/>
      <c r="BW747" s="5"/>
      <c r="BY747" s="40"/>
      <c r="BZ747" s="5"/>
      <c r="CB747" s="40"/>
      <c r="CC747" s="5"/>
      <c r="CE747" s="40"/>
      <c r="CF747" s="5"/>
      <c r="CH747" s="40"/>
      <c r="CI747" s="5"/>
      <c r="CK747" s="40"/>
      <c r="CL747" s="5"/>
      <c r="CN747" s="40"/>
      <c r="CO747" s="5"/>
      <c r="CQ747" s="40"/>
      <c r="CR747" s="5"/>
    </row>
    <row r="748">
      <c r="AO748" s="40"/>
      <c r="AP748" s="5"/>
      <c r="AR748" s="40"/>
      <c r="AS748" s="5"/>
      <c r="AU748" s="40"/>
      <c r="AV748" s="5"/>
      <c r="AX748" s="40"/>
      <c r="AY748" s="5"/>
      <c r="BA748" s="40"/>
      <c r="BB748" s="5"/>
      <c r="BD748" s="40"/>
      <c r="BE748" s="5"/>
      <c r="BG748" s="40"/>
      <c r="BH748" s="5"/>
      <c r="BJ748" s="40"/>
      <c r="BK748" s="5"/>
      <c r="BM748" s="40"/>
      <c r="BN748" s="5"/>
      <c r="BP748" s="40"/>
      <c r="BQ748" s="5"/>
      <c r="BS748" s="40"/>
      <c r="BT748" s="5"/>
      <c r="BV748" s="40"/>
      <c r="BW748" s="5"/>
      <c r="BY748" s="40"/>
      <c r="BZ748" s="5"/>
      <c r="CB748" s="40"/>
      <c r="CC748" s="5"/>
      <c r="CE748" s="40"/>
      <c r="CF748" s="5"/>
      <c r="CH748" s="40"/>
      <c r="CI748" s="5"/>
      <c r="CK748" s="40"/>
      <c r="CL748" s="5"/>
      <c r="CN748" s="40"/>
      <c r="CO748" s="5"/>
      <c r="CQ748" s="40"/>
      <c r="CR748" s="5"/>
    </row>
    <row r="749">
      <c r="AO749" s="40"/>
      <c r="AP749" s="5"/>
      <c r="AR749" s="40"/>
      <c r="AS749" s="5"/>
      <c r="AU749" s="40"/>
      <c r="AV749" s="5"/>
      <c r="AX749" s="40"/>
      <c r="AY749" s="5"/>
      <c r="BA749" s="40"/>
      <c r="BB749" s="5"/>
      <c r="BD749" s="40"/>
      <c r="BE749" s="5"/>
      <c r="BG749" s="40"/>
      <c r="BH749" s="5"/>
      <c r="BJ749" s="40"/>
      <c r="BK749" s="5"/>
      <c r="BM749" s="40"/>
      <c r="BN749" s="5"/>
      <c r="BP749" s="40"/>
      <c r="BQ749" s="5"/>
      <c r="BS749" s="40"/>
      <c r="BT749" s="5"/>
      <c r="BV749" s="40"/>
      <c r="BW749" s="5"/>
      <c r="BY749" s="40"/>
      <c r="BZ749" s="5"/>
      <c r="CB749" s="40"/>
      <c r="CC749" s="5"/>
      <c r="CE749" s="40"/>
      <c r="CF749" s="5"/>
      <c r="CH749" s="40"/>
      <c r="CI749" s="5"/>
      <c r="CK749" s="40"/>
      <c r="CL749" s="5"/>
      <c r="CN749" s="40"/>
      <c r="CO749" s="5"/>
      <c r="CQ749" s="40"/>
      <c r="CR749" s="5"/>
    </row>
    <row r="750">
      <c r="AO750" s="40"/>
      <c r="AP750" s="5"/>
      <c r="AR750" s="40"/>
      <c r="AS750" s="5"/>
      <c r="AU750" s="40"/>
      <c r="AV750" s="5"/>
      <c r="AX750" s="40"/>
      <c r="AY750" s="5"/>
      <c r="BA750" s="40"/>
      <c r="BB750" s="5"/>
      <c r="BD750" s="40"/>
      <c r="BE750" s="5"/>
      <c r="BG750" s="40"/>
      <c r="BH750" s="5"/>
      <c r="BJ750" s="40"/>
      <c r="BK750" s="5"/>
      <c r="BM750" s="40"/>
      <c r="BN750" s="5"/>
      <c r="BP750" s="40"/>
      <c r="BQ750" s="5"/>
      <c r="BS750" s="40"/>
      <c r="BT750" s="5"/>
      <c r="BV750" s="40"/>
      <c r="BW750" s="5"/>
      <c r="BY750" s="40"/>
      <c r="BZ750" s="5"/>
      <c r="CB750" s="40"/>
      <c r="CC750" s="5"/>
      <c r="CE750" s="40"/>
      <c r="CF750" s="5"/>
      <c r="CH750" s="40"/>
      <c r="CI750" s="5"/>
      <c r="CK750" s="40"/>
      <c r="CL750" s="5"/>
      <c r="CN750" s="40"/>
      <c r="CO750" s="5"/>
      <c r="CQ750" s="40"/>
      <c r="CR750" s="5"/>
    </row>
    <row r="751">
      <c r="AO751" s="40"/>
      <c r="AP751" s="5"/>
      <c r="AR751" s="40"/>
      <c r="AS751" s="5"/>
      <c r="AU751" s="40"/>
      <c r="AV751" s="5"/>
      <c r="AX751" s="40"/>
      <c r="AY751" s="5"/>
      <c r="BA751" s="40"/>
      <c r="BB751" s="5"/>
      <c r="BD751" s="40"/>
      <c r="BE751" s="5"/>
      <c r="BG751" s="40"/>
      <c r="BH751" s="5"/>
      <c r="BJ751" s="40"/>
      <c r="BK751" s="5"/>
      <c r="BM751" s="40"/>
      <c r="BN751" s="5"/>
      <c r="BP751" s="40"/>
      <c r="BQ751" s="5"/>
      <c r="BS751" s="40"/>
      <c r="BT751" s="5"/>
      <c r="BV751" s="40"/>
      <c r="BW751" s="5"/>
      <c r="BY751" s="40"/>
      <c r="BZ751" s="5"/>
      <c r="CB751" s="40"/>
      <c r="CC751" s="5"/>
      <c r="CE751" s="40"/>
      <c r="CF751" s="5"/>
      <c r="CH751" s="40"/>
      <c r="CI751" s="5"/>
      <c r="CK751" s="40"/>
      <c r="CL751" s="5"/>
      <c r="CN751" s="40"/>
      <c r="CO751" s="5"/>
      <c r="CQ751" s="40"/>
      <c r="CR751" s="5"/>
    </row>
    <row r="752">
      <c r="AO752" s="40"/>
      <c r="AP752" s="5"/>
      <c r="AR752" s="40"/>
      <c r="AS752" s="5"/>
      <c r="AU752" s="40"/>
      <c r="AV752" s="5"/>
      <c r="AX752" s="40"/>
      <c r="AY752" s="5"/>
      <c r="BA752" s="40"/>
      <c r="BB752" s="5"/>
      <c r="BD752" s="40"/>
      <c r="BE752" s="5"/>
      <c r="BG752" s="40"/>
      <c r="BH752" s="5"/>
      <c r="BJ752" s="40"/>
      <c r="BK752" s="5"/>
      <c r="BM752" s="40"/>
      <c r="BN752" s="5"/>
      <c r="BP752" s="40"/>
      <c r="BQ752" s="5"/>
      <c r="BS752" s="40"/>
      <c r="BT752" s="5"/>
      <c r="BV752" s="40"/>
      <c r="BW752" s="5"/>
      <c r="BY752" s="40"/>
      <c r="BZ752" s="5"/>
      <c r="CB752" s="40"/>
      <c r="CC752" s="5"/>
      <c r="CE752" s="40"/>
      <c r="CF752" s="5"/>
      <c r="CH752" s="40"/>
      <c r="CI752" s="5"/>
      <c r="CK752" s="40"/>
      <c r="CL752" s="5"/>
      <c r="CN752" s="40"/>
      <c r="CO752" s="5"/>
      <c r="CQ752" s="40"/>
      <c r="CR752" s="5"/>
    </row>
    <row r="753">
      <c r="AO753" s="40"/>
      <c r="AP753" s="5"/>
      <c r="AR753" s="40"/>
      <c r="AS753" s="5"/>
      <c r="AU753" s="40"/>
      <c r="AV753" s="5"/>
      <c r="AX753" s="40"/>
      <c r="AY753" s="5"/>
      <c r="BA753" s="40"/>
      <c r="BB753" s="5"/>
      <c r="BD753" s="40"/>
      <c r="BE753" s="5"/>
      <c r="BG753" s="40"/>
      <c r="BH753" s="5"/>
      <c r="BJ753" s="40"/>
      <c r="BK753" s="5"/>
      <c r="BM753" s="40"/>
      <c r="BN753" s="5"/>
      <c r="BP753" s="40"/>
      <c r="BQ753" s="5"/>
      <c r="BS753" s="40"/>
      <c r="BT753" s="5"/>
      <c r="BV753" s="40"/>
      <c r="BW753" s="5"/>
      <c r="BY753" s="40"/>
      <c r="BZ753" s="5"/>
      <c r="CB753" s="40"/>
      <c r="CC753" s="5"/>
      <c r="CE753" s="40"/>
      <c r="CF753" s="5"/>
      <c r="CH753" s="40"/>
      <c r="CI753" s="5"/>
      <c r="CK753" s="40"/>
      <c r="CL753" s="5"/>
      <c r="CN753" s="40"/>
      <c r="CO753" s="5"/>
      <c r="CQ753" s="40"/>
      <c r="CR753" s="5"/>
    </row>
    <row r="754">
      <c r="AO754" s="40"/>
      <c r="AP754" s="5"/>
      <c r="AR754" s="40"/>
      <c r="AS754" s="5"/>
      <c r="AU754" s="40"/>
      <c r="AV754" s="5"/>
      <c r="AX754" s="40"/>
      <c r="AY754" s="5"/>
      <c r="BA754" s="40"/>
      <c r="BB754" s="5"/>
      <c r="BD754" s="40"/>
      <c r="BE754" s="5"/>
      <c r="BG754" s="40"/>
      <c r="BH754" s="5"/>
      <c r="BJ754" s="40"/>
      <c r="BK754" s="5"/>
      <c r="BM754" s="40"/>
      <c r="BN754" s="5"/>
      <c r="BP754" s="40"/>
      <c r="BQ754" s="5"/>
      <c r="BS754" s="40"/>
      <c r="BT754" s="5"/>
      <c r="BV754" s="40"/>
      <c r="BW754" s="5"/>
      <c r="BY754" s="40"/>
      <c r="BZ754" s="5"/>
      <c r="CB754" s="40"/>
      <c r="CC754" s="5"/>
      <c r="CE754" s="40"/>
      <c r="CF754" s="5"/>
      <c r="CH754" s="40"/>
      <c r="CI754" s="5"/>
      <c r="CK754" s="40"/>
      <c r="CL754" s="5"/>
      <c r="CN754" s="40"/>
      <c r="CO754" s="5"/>
      <c r="CQ754" s="40"/>
      <c r="CR754" s="5"/>
    </row>
    <row r="755">
      <c r="AO755" s="40"/>
      <c r="AP755" s="5"/>
      <c r="AR755" s="40"/>
      <c r="AS755" s="5"/>
      <c r="AU755" s="40"/>
      <c r="AV755" s="5"/>
      <c r="AX755" s="40"/>
      <c r="AY755" s="5"/>
      <c r="BA755" s="40"/>
      <c r="BB755" s="5"/>
      <c r="BD755" s="40"/>
      <c r="BE755" s="5"/>
      <c r="BG755" s="40"/>
      <c r="BH755" s="5"/>
      <c r="BJ755" s="40"/>
      <c r="BK755" s="5"/>
      <c r="BM755" s="40"/>
      <c r="BN755" s="5"/>
      <c r="BP755" s="40"/>
      <c r="BQ755" s="5"/>
      <c r="BS755" s="40"/>
      <c r="BT755" s="5"/>
      <c r="BV755" s="40"/>
      <c r="BW755" s="5"/>
      <c r="BY755" s="40"/>
      <c r="BZ755" s="5"/>
      <c r="CB755" s="40"/>
      <c r="CC755" s="5"/>
      <c r="CE755" s="40"/>
      <c r="CF755" s="5"/>
      <c r="CH755" s="40"/>
      <c r="CI755" s="5"/>
      <c r="CK755" s="40"/>
      <c r="CL755" s="5"/>
      <c r="CN755" s="40"/>
      <c r="CO755" s="5"/>
      <c r="CQ755" s="40"/>
      <c r="CR755" s="5"/>
    </row>
    <row r="756">
      <c r="AO756" s="40"/>
      <c r="AP756" s="5"/>
      <c r="AR756" s="40"/>
      <c r="AS756" s="5"/>
      <c r="AU756" s="40"/>
      <c r="AV756" s="5"/>
      <c r="AX756" s="40"/>
      <c r="AY756" s="5"/>
      <c r="BA756" s="40"/>
      <c r="BB756" s="5"/>
      <c r="BD756" s="40"/>
      <c r="BE756" s="5"/>
      <c r="BG756" s="40"/>
      <c r="BH756" s="5"/>
      <c r="BJ756" s="40"/>
      <c r="BK756" s="5"/>
      <c r="BM756" s="40"/>
      <c r="BN756" s="5"/>
      <c r="BP756" s="40"/>
      <c r="BQ756" s="5"/>
      <c r="BS756" s="40"/>
      <c r="BT756" s="5"/>
      <c r="BV756" s="40"/>
      <c r="BW756" s="5"/>
      <c r="BY756" s="40"/>
      <c r="BZ756" s="5"/>
      <c r="CB756" s="40"/>
      <c r="CC756" s="5"/>
      <c r="CE756" s="40"/>
      <c r="CF756" s="5"/>
      <c r="CH756" s="40"/>
      <c r="CI756" s="5"/>
      <c r="CK756" s="40"/>
      <c r="CL756" s="5"/>
      <c r="CN756" s="40"/>
      <c r="CO756" s="5"/>
      <c r="CQ756" s="40"/>
      <c r="CR756" s="5"/>
    </row>
    <row r="757">
      <c r="AO757" s="40"/>
      <c r="AP757" s="5"/>
      <c r="AR757" s="40"/>
      <c r="AS757" s="5"/>
      <c r="AU757" s="40"/>
      <c r="AV757" s="5"/>
      <c r="AX757" s="40"/>
      <c r="AY757" s="5"/>
      <c r="BA757" s="40"/>
      <c r="BB757" s="5"/>
      <c r="BD757" s="40"/>
      <c r="BE757" s="5"/>
      <c r="BG757" s="40"/>
      <c r="BH757" s="5"/>
      <c r="BJ757" s="40"/>
      <c r="BK757" s="5"/>
      <c r="BM757" s="40"/>
      <c r="BN757" s="5"/>
      <c r="BP757" s="40"/>
      <c r="BQ757" s="5"/>
      <c r="BS757" s="40"/>
      <c r="BT757" s="5"/>
      <c r="BV757" s="40"/>
      <c r="BW757" s="5"/>
      <c r="BY757" s="40"/>
      <c r="BZ757" s="5"/>
      <c r="CB757" s="40"/>
      <c r="CC757" s="5"/>
      <c r="CE757" s="40"/>
      <c r="CF757" s="5"/>
      <c r="CH757" s="40"/>
      <c r="CI757" s="5"/>
      <c r="CK757" s="40"/>
      <c r="CL757" s="5"/>
      <c r="CN757" s="40"/>
      <c r="CO757" s="5"/>
      <c r="CQ757" s="40"/>
      <c r="CR757" s="5"/>
    </row>
    <row r="758">
      <c r="AO758" s="40"/>
      <c r="AP758" s="5"/>
      <c r="AR758" s="40"/>
      <c r="AS758" s="5"/>
      <c r="AU758" s="40"/>
      <c r="AV758" s="5"/>
      <c r="AX758" s="40"/>
      <c r="AY758" s="5"/>
      <c r="BA758" s="40"/>
      <c r="BB758" s="5"/>
      <c r="BD758" s="40"/>
      <c r="BE758" s="5"/>
      <c r="BG758" s="40"/>
      <c r="BH758" s="5"/>
      <c r="BJ758" s="40"/>
      <c r="BK758" s="5"/>
      <c r="BM758" s="40"/>
      <c r="BN758" s="5"/>
      <c r="BP758" s="40"/>
      <c r="BQ758" s="5"/>
      <c r="BS758" s="40"/>
      <c r="BT758" s="5"/>
      <c r="BV758" s="40"/>
      <c r="BW758" s="5"/>
      <c r="BY758" s="40"/>
      <c r="BZ758" s="5"/>
      <c r="CB758" s="40"/>
      <c r="CC758" s="5"/>
      <c r="CE758" s="40"/>
      <c r="CF758" s="5"/>
      <c r="CH758" s="40"/>
      <c r="CI758" s="5"/>
      <c r="CK758" s="40"/>
      <c r="CL758" s="5"/>
      <c r="CN758" s="40"/>
      <c r="CO758" s="5"/>
      <c r="CQ758" s="40"/>
      <c r="CR758" s="5"/>
    </row>
    <row r="759">
      <c r="AO759" s="40"/>
      <c r="AP759" s="5"/>
      <c r="AR759" s="40"/>
      <c r="AS759" s="5"/>
      <c r="AU759" s="40"/>
      <c r="AV759" s="5"/>
      <c r="AX759" s="40"/>
      <c r="AY759" s="5"/>
      <c r="BA759" s="40"/>
      <c r="BB759" s="5"/>
      <c r="BD759" s="40"/>
      <c r="BE759" s="5"/>
      <c r="BG759" s="40"/>
      <c r="BH759" s="5"/>
      <c r="BJ759" s="40"/>
      <c r="BK759" s="5"/>
      <c r="BM759" s="40"/>
      <c r="BN759" s="5"/>
      <c r="BP759" s="40"/>
      <c r="BQ759" s="5"/>
      <c r="BS759" s="40"/>
      <c r="BT759" s="5"/>
      <c r="BV759" s="40"/>
      <c r="BW759" s="5"/>
      <c r="BY759" s="40"/>
      <c r="BZ759" s="5"/>
      <c r="CB759" s="40"/>
      <c r="CC759" s="5"/>
      <c r="CE759" s="40"/>
      <c r="CF759" s="5"/>
      <c r="CH759" s="40"/>
      <c r="CI759" s="5"/>
      <c r="CK759" s="40"/>
      <c r="CL759" s="5"/>
      <c r="CN759" s="40"/>
      <c r="CO759" s="5"/>
      <c r="CQ759" s="40"/>
      <c r="CR759" s="5"/>
    </row>
    <row r="760">
      <c r="AO760" s="40"/>
      <c r="AP760" s="5"/>
      <c r="AR760" s="40"/>
      <c r="AS760" s="5"/>
      <c r="AU760" s="40"/>
      <c r="AV760" s="5"/>
      <c r="AX760" s="40"/>
      <c r="AY760" s="5"/>
      <c r="BA760" s="40"/>
      <c r="BB760" s="5"/>
      <c r="BD760" s="40"/>
      <c r="BE760" s="5"/>
      <c r="BG760" s="40"/>
      <c r="BH760" s="5"/>
      <c r="BJ760" s="40"/>
      <c r="BK760" s="5"/>
      <c r="BM760" s="40"/>
      <c r="BN760" s="5"/>
      <c r="BP760" s="40"/>
      <c r="BQ760" s="5"/>
      <c r="BS760" s="40"/>
      <c r="BT760" s="5"/>
      <c r="BV760" s="40"/>
      <c r="BW760" s="5"/>
      <c r="BY760" s="40"/>
      <c r="BZ760" s="5"/>
      <c r="CB760" s="40"/>
      <c r="CC760" s="5"/>
      <c r="CE760" s="40"/>
      <c r="CF760" s="5"/>
      <c r="CH760" s="40"/>
      <c r="CI760" s="5"/>
      <c r="CK760" s="40"/>
      <c r="CL760" s="5"/>
      <c r="CN760" s="40"/>
      <c r="CO760" s="5"/>
      <c r="CQ760" s="40"/>
      <c r="CR760" s="5"/>
    </row>
    <row r="761">
      <c r="AO761" s="40"/>
      <c r="AP761" s="5"/>
      <c r="AR761" s="40"/>
      <c r="AS761" s="5"/>
      <c r="AU761" s="40"/>
      <c r="AV761" s="5"/>
      <c r="AX761" s="40"/>
      <c r="AY761" s="5"/>
      <c r="BA761" s="40"/>
      <c r="BB761" s="5"/>
      <c r="BD761" s="40"/>
      <c r="BE761" s="5"/>
      <c r="BG761" s="40"/>
      <c r="BH761" s="5"/>
      <c r="BJ761" s="40"/>
      <c r="BK761" s="5"/>
      <c r="BM761" s="40"/>
      <c r="BN761" s="5"/>
      <c r="BP761" s="40"/>
      <c r="BQ761" s="5"/>
      <c r="BS761" s="40"/>
      <c r="BT761" s="5"/>
      <c r="BV761" s="40"/>
      <c r="BW761" s="5"/>
      <c r="BY761" s="40"/>
      <c r="BZ761" s="5"/>
      <c r="CB761" s="40"/>
      <c r="CC761" s="5"/>
      <c r="CE761" s="40"/>
      <c r="CF761" s="5"/>
      <c r="CH761" s="40"/>
      <c r="CI761" s="5"/>
      <c r="CK761" s="40"/>
      <c r="CL761" s="5"/>
      <c r="CN761" s="40"/>
      <c r="CO761" s="5"/>
      <c r="CQ761" s="40"/>
      <c r="CR761" s="5"/>
    </row>
    <row r="762">
      <c r="AO762" s="40"/>
      <c r="AP762" s="5"/>
      <c r="AR762" s="40"/>
      <c r="AS762" s="5"/>
      <c r="AU762" s="40"/>
      <c r="AV762" s="5"/>
      <c r="AX762" s="40"/>
      <c r="AY762" s="5"/>
      <c r="BA762" s="40"/>
      <c r="BB762" s="5"/>
      <c r="BD762" s="40"/>
      <c r="BE762" s="5"/>
      <c r="BG762" s="40"/>
      <c r="BH762" s="5"/>
      <c r="BJ762" s="40"/>
      <c r="BK762" s="5"/>
      <c r="BM762" s="40"/>
      <c r="BN762" s="5"/>
      <c r="BP762" s="40"/>
      <c r="BQ762" s="5"/>
      <c r="BS762" s="40"/>
      <c r="BT762" s="5"/>
      <c r="BV762" s="40"/>
      <c r="BW762" s="5"/>
      <c r="BY762" s="40"/>
      <c r="BZ762" s="5"/>
      <c r="CB762" s="40"/>
      <c r="CC762" s="5"/>
      <c r="CE762" s="40"/>
      <c r="CF762" s="5"/>
      <c r="CH762" s="40"/>
      <c r="CI762" s="5"/>
      <c r="CK762" s="40"/>
      <c r="CL762" s="5"/>
      <c r="CN762" s="40"/>
      <c r="CO762" s="5"/>
      <c r="CQ762" s="40"/>
      <c r="CR762" s="5"/>
    </row>
    <row r="763">
      <c r="AO763" s="40"/>
      <c r="AP763" s="5"/>
      <c r="AR763" s="40"/>
      <c r="AS763" s="5"/>
      <c r="AU763" s="40"/>
      <c r="AV763" s="5"/>
      <c r="AX763" s="40"/>
      <c r="AY763" s="5"/>
      <c r="BA763" s="40"/>
      <c r="BB763" s="5"/>
      <c r="BD763" s="40"/>
      <c r="BE763" s="5"/>
      <c r="BG763" s="40"/>
      <c r="BH763" s="5"/>
      <c r="BJ763" s="40"/>
      <c r="BK763" s="5"/>
      <c r="BM763" s="40"/>
      <c r="BN763" s="5"/>
      <c r="BP763" s="40"/>
      <c r="BQ763" s="5"/>
      <c r="BS763" s="40"/>
      <c r="BT763" s="5"/>
      <c r="BV763" s="40"/>
      <c r="BW763" s="5"/>
      <c r="BY763" s="40"/>
      <c r="BZ763" s="5"/>
      <c r="CB763" s="40"/>
      <c r="CC763" s="5"/>
      <c r="CE763" s="40"/>
      <c r="CF763" s="5"/>
      <c r="CH763" s="40"/>
      <c r="CI763" s="5"/>
      <c r="CK763" s="40"/>
      <c r="CL763" s="5"/>
      <c r="CN763" s="40"/>
      <c r="CO763" s="5"/>
      <c r="CQ763" s="40"/>
      <c r="CR763" s="5"/>
    </row>
    <row r="764">
      <c r="AO764" s="40"/>
      <c r="AP764" s="5"/>
      <c r="AR764" s="40"/>
      <c r="AS764" s="5"/>
      <c r="AU764" s="40"/>
      <c r="AV764" s="5"/>
      <c r="AX764" s="40"/>
      <c r="AY764" s="5"/>
      <c r="BA764" s="40"/>
      <c r="BB764" s="5"/>
      <c r="BD764" s="40"/>
      <c r="BE764" s="5"/>
      <c r="BG764" s="40"/>
      <c r="BH764" s="5"/>
      <c r="BJ764" s="40"/>
      <c r="BK764" s="5"/>
      <c r="BM764" s="40"/>
      <c r="BN764" s="5"/>
      <c r="BP764" s="40"/>
      <c r="BQ764" s="5"/>
      <c r="BS764" s="40"/>
      <c r="BT764" s="5"/>
      <c r="BV764" s="40"/>
      <c r="BW764" s="5"/>
      <c r="BY764" s="40"/>
      <c r="BZ764" s="5"/>
      <c r="CB764" s="40"/>
      <c r="CC764" s="5"/>
      <c r="CE764" s="40"/>
      <c r="CF764" s="5"/>
      <c r="CH764" s="40"/>
      <c r="CI764" s="5"/>
      <c r="CK764" s="40"/>
      <c r="CL764" s="5"/>
      <c r="CN764" s="40"/>
      <c r="CO764" s="5"/>
      <c r="CQ764" s="40"/>
      <c r="CR764" s="5"/>
    </row>
    <row r="765">
      <c r="AO765" s="40"/>
      <c r="AP765" s="5"/>
      <c r="AR765" s="40"/>
      <c r="AS765" s="5"/>
      <c r="AU765" s="40"/>
      <c r="AV765" s="5"/>
      <c r="AX765" s="40"/>
      <c r="AY765" s="5"/>
      <c r="BA765" s="40"/>
      <c r="BB765" s="5"/>
      <c r="BD765" s="40"/>
      <c r="BE765" s="5"/>
      <c r="BG765" s="40"/>
      <c r="BH765" s="5"/>
      <c r="BJ765" s="40"/>
      <c r="BK765" s="5"/>
      <c r="BM765" s="40"/>
      <c r="BN765" s="5"/>
      <c r="BP765" s="40"/>
      <c r="BQ765" s="5"/>
      <c r="BS765" s="40"/>
      <c r="BT765" s="5"/>
      <c r="BV765" s="40"/>
      <c r="BW765" s="5"/>
      <c r="BY765" s="40"/>
      <c r="BZ765" s="5"/>
      <c r="CB765" s="40"/>
      <c r="CC765" s="5"/>
      <c r="CE765" s="40"/>
      <c r="CF765" s="5"/>
      <c r="CH765" s="40"/>
      <c r="CI765" s="5"/>
      <c r="CK765" s="40"/>
      <c r="CL765" s="5"/>
      <c r="CN765" s="40"/>
      <c r="CO765" s="5"/>
      <c r="CQ765" s="40"/>
      <c r="CR765" s="5"/>
    </row>
    <row r="766">
      <c r="AO766" s="40"/>
      <c r="AP766" s="5"/>
      <c r="AR766" s="40"/>
      <c r="AS766" s="5"/>
      <c r="AU766" s="40"/>
      <c r="AV766" s="5"/>
      <c r="AX766" s="40"/>
      <c r="AY766" s="5"/>
      <c r="BA766" s="40"/>
      <c r="BB766" s="5"/>
      <c r="BD766" s="40"/>
      <c r="BE766" s="5"/>
      <c r="BG766" s="40"/>
      <c r="BH766" s="5"/>
      <c r="BJ766" s="40"/>
      <c r="BK766" s="5"/>
      <c r="BM766" s="40"/>
      <c r="BN766" s="5"/>
      <c r="BP766" s="40"/>
      <c r="BQ766" s="5"/>
      <c r="BS766" s="40"/>
      <c r="BT766" s="5"/>
      <c r="BV766" s="40"/>
      <c r="BW766" s="5"/>
      <c r="BY766" s="40"/>
      <c r="BZ766" s="5"/>
      <c r="CB766" s="40"/>
      <c r="CC766" s="5"/>
      <c r="CE766" s="40"/>
      <c r="CF766" s="5"/>
      <c r="CH766" s="40"/>
      <c r="CI766" s="5"/>
      <c r="CK766" s="40"/>
      <c r="CL766" s="5"/>
      <c r="CN766" s="40"/>
      <c r="CO766" s="5"/>
      <c r="CQ766" s="40"/>
      <c r="CR766" s="5"/>
    </row>
    <row r="767">
      <c r="AO767" s="40"/>
      <c r="AP767" s="5"/>
      <c r="AR767" s="40"/>
      <c r="AS767" s="5"/>
      <c r="AU767" s="40"/>
      <c r="AV767" s="5"/>
      <c r="AX767" s="40"/>
      <c r="AY767" s="5"/>
      <c r="BA767" s="40"/>
      <c r="BB767" s="5"/>
      <c r="BD767" s="40"/>
      <c r="BE767" s="5"/>
      <c r="BG767" s="40"/>
      <c r="BH767" s="5"/>
      <c r="BJ767" s="40"/>
      <c r="BK767" s="5"/>
      <c r="BM767" s="40"/>
      <c r="BN767" s="5"/>
      <c r="BP767" s="40"/>
      <c r="BQ767" s="5"/>
      <c r="BS767" s="40"/>
      <c r="BT767" s="5"/>
      <c r="BV767" s="40"/>
      <c r="BW767" s="5"/>
      <c r="BY767" s="40"/>
      <c r="BZ767" s="5"/>
      <c r="CB767" s="40"/>
      <c r="CC767" s="5"/>
      <c r="CE767" s="40"/>
      <c r="CF767" s="5"/>
      <c r="CH767" s="40"/>
      <c r="CI767" s="5"/>
      <c r="CK767" s="40"/>
      <c r="CL767" s="5"/>
      <c r="CN767" s="40"/>
      <c r="CO767" s="5"/>
      <c r="CQ767" s="40"/>
      <c r="CR767" s="5"/>
    </row>
    <row r="768">
      <c r="AO768" s="40"/>
      <c r="AP768" s="5"/>
      <c r="AR768" s="40"/>
      <c r="AS768" s="5"/>
      <c r="AU768" s="40"/>
      <c r="AV768" s="5"/>
      <c r="AX768" s="40"/>
      <c r="AY768" s="5"/>
      <c r="BA768" s="40"/>
      <c r="BB768" s="5"/>
      <c r="BD768" s="40"/>
      <c r="BE768" s="5"/>
      <c r="BG768" s="40"/>
      <c r="BH768" s="5"/>
      <c r="BJ768" s="40"/>
      <c r="BK768" s="5"/>
      <c r="BM768" s="40"/>
      <c r="BN768" s="5"/>
      <c r="BP768" s="40"/>
      <c r="BQ768" s="5"/>
      <c r="BS768" s="40"/>
      <c r="BT768" s="5"/>
      <c r="BV768" s="40"/>
      <c r="BW768" s="5"/>
      <c r="BY768" s="40"/>
      <c r="BZ768" s="5"/>
      <c r="CB768" s="40"/>
      <c r="CC768" s="5"/>
      <c r="CE768" s="40"/>
      <c r="CF768" s="5"/>
      <c r="CH768" s="40"/>
      <c r="CI768" s="5"/>
      <c r="CK768" s="40"/>
      <c r="CL768" s="5"/>
      <c r="CN768" s="40"/>
      <c r="CO768" s="5"/>
      <c r="CQ768" s="40"/>
      <c r="CR768" s="5"/>
    </row>
    <row r="769">
      <c r="AO769" s="40"/>
      <c r="AP769" s="5"/>
      <c r="AR769" s="40"/>
      <c r="AS769" s="5"/>
      <c r="AU769" s="40"/>
      <c r="AV769" s="5"/>
      <c r="AX769" s="40"/>
      <c r="AY769" s="5"/>
      <c r="BA769" s="40"/>
      <c r="BB769" s="5"/>
      <c r="BD769" s="40"/>
      <c r="BE769" s="5"/>
      <c r="BG769" s="40"/>
      <c r="BH769" s="5"/>
      <c r="BJ769" s="40"/>
      <c r="BK769" s="5"/>
      <c r="BM769" s="40"/>
      <c r="BN769" s="5"/>
      <c r="BP769" s="40"/>
      <c r="BQ769" s="5"/>
      <c r="BS769" s="40"/>
      <c r="BT769" s="5"/>
      <c r="BV769" s="40"/>
      <c r="BW769" s="5"/>
      <c r="BY769" s="40"/>
      <c r="BZ769" s="5"/>
      <c r="CB769" s="40"/>
      <c r="CC769" s="5"/>
      <c r="CE769" s="40"/>
      <c r="CF769" s="5"/>
      <c r="CH769" s="40"/>
      <c r="CI769" s="5"/>
      <c r="CK769" s="40"/>
      <c r="CL769" s="5"/>
      <c r="CN769" s="40"/>
      <c r="CO769" s="5"/>
      <c r="CQ769" s="40"/>
      <c r="CR769" s="5"/>
    </row>
    <row r="770">
      <c r="AO770" s="40"/>
      <c r="AP770" s="5"/>
      <c r="AR770" s="40"/>
      <c r="AS770" s="5"/>
      <c r="AU770" s="40"/>
      <c r="AV770" s="5"/>
      <c r="AX770" s="40"/>
      <c r="AY770" s="5"/>
      <c r="BA770" s="40"/>
      <c r="BB770" s="5"/>
      <c r="BD770" s="40"/>
      <c r="BE770" s="5"/>
      <c r="BG770" s="40"/>
      <c r="BH770" s="5"/>
      <c r="BJ770" s="40"/>
      <c r="BK770" s="5"/>
      <c r="BM770" s="40"/>
      <c r="BN770" s="5"/>
      <c r="BP770" s="40"/>
      <c r="BQ770" s="5"/>
      <c r="BS770" s="40"/>
      <c r="BT770" s="5"/>
      <c r="BV770" s="40"/>
      <c r="BW770" s="5"/>
      <c r="BY770" s="40"/>
      <c r="BZ770" s="5"/>
      <c r="CB770" s="40"/>
      <c r="CC770" s="5"/>
      <c r="CE770" s="40"/>
      <c r="CF770" s="5"/>
      <c r="CH770" s="40"/>
      <c r="CI770" s="5"/>
      <c r="CK770" s="40"/>
      <c r="CL770" s="5"/>
      <c r="CN770" s="40"/>
      <c r="CO770" s="5"/>
      <c r="CQ770" s="40"/>
      <c r="CR770" s="5"/>
    </row>
    <row r="771">
      <c r="AO771" s="40"/>
      <c r="AP771" s="5"/>
      <c r="AR771" s="40"/>
      <c r="AS771" s="5"/>
      <c r="AU771" s="40"/>
      <c r="AV771" s="5"/>
      <c r="AX771" s="40"/>
      <c r="AY771" s="5"/>
      <c r="BA771" s="40"/>
      <c r="BB771" s="5"/>
      <c r="BD771" s="40"/>
      <c r="BE771" s="5"/>
      <c r="BG771" s="40"/>
      <c r="BH771" s="5"/>
      <c r="BJ771" s="40"/>
      <c r="BK771" s="5"/>
      <c r="BM771" s="40"/>
      <c r="BN771" s="5"/>
      <c r="BP771" s="40"/>
      <c r="BQ771" s="5"/>
      <c r="BS771" s="40"/>
      <c r="BT771" s="5"/>
      <c r="BV771" s="40"/>
      <c r="BW771" s="5"/>
      <c r="BY771" s="40"/>
      <c r="BZ771" s="5"/>
      <c r="CB771" s="40"/>
      <c r="CC771" s="5"/>
      <c r="CE771" s="40"/>
      <c r="CF771" s="5"/>
      <c r="CH771" s="40"/>
      <c r="CI771" s="5"/>
      <c r="CK771" s="40"/>
      <c r="CL771" s="5"/>
      <c r="CN771" s="40"/>
      <c r="CO771" s="5"/>
      <c r="CQ771" s="40"/>
      <c r="CR771" s="5"/>
    </row>
    <row r="772">
      <c r="AO772" s="40"/>
      <c r="AP772" s="5"/>
      <c r="AR772" s="40"/>
      <c r="AS772" s="5"/>
      <c r="AU772" s="40"/>
      <c r="AV772" s="5"/>
      <c r="AX772" s="40"/>
      <c r="AY772" s="5"/>
      <c r="BA772" s="40"/>
      <c r="BB772" s="5"/>
      <c r="BD772" s="40"/>
      <c r="BE772" s="5"/>
      <c r="BG772" s="40"/>
      <c r="BH772" s="5"/>
      <c r="BJ772" s="40"/>
      <c r="BK772" s="5"/>
      <c r="BM772" s="40"/>
      <c r="BN772" s="5"/>
      <c r="BP772" s="40"/>
      <c r="BQ772" s="5"/>
      <c r="BS772" s="40"/>
      <c r="BT772" s="5"/>
      <c r="BV772" s="40"/>
      <c r="BW772" s="5"/>
      <c r="BY772" s="40"/>
      <c r="BZ772" s="5"/>
      <c r="CB772" s="40"/>
      <c r="CC772" s="5"/>
      <c r="CE772" s="40"/>
      <c r="CF772" s="5"/>
      <c r="CH772" s="40"/>
      <c r="CI772" s="5"/>
      <c r="CK772" s="40"/>
      <c r="CL772" s="5"/>
      <c r="CN772" s="40"/>
      <c r="CO772" s="5"/>
      <c r="CQ772" s="40"/>
      <c r="CR772" s="5"/>
    </row>
    <row r="773">
      <c r="AO773" s="40"/>
      <c r="AP773" s="5"/>
      <c r="AR773" s="40"/>
      <c r="AS773" s="5"/>
      <c r="AU773" s="40"/>
      <c r="AV773" s="5"/>
      <c r="AX773" s="40"/>
      <c r="AY773" s="5"/>
      <c r="BA773" s="40"/>
      <c r="BB773" s="5"/>
      <c r="BD773" s="40"/>
      <c r="BE773" s="5"/>
      <c r="BG773" s="40"/>
      <c r="BH773" s="5"/>
      <c r="BJ773" s="40"/>
      <c r="BK773" s="5"/>
      <c r="BM773" s="40"/>
      <c r="BN773" s="5"/>
      <c r="BP773" s="40"/>
      <c r="BQ773" s="5"/>
      <c r="BS773" s="40"/>
      <c r="BT773" s="5"/>
      <c r="BV773" s="40"/>
      <c r="BW773" s="5"/>
      <c r="BY773" s="40"/>
      <c r="BZ773" s="5"/>
      <c r="CB773" s="40"/>
      <c r="CC773" s="5"/>
      <c r="CE773" s="40"/>
      <c r="CF773" s="5"/>
      <c r="CH773" s="40"/>
      <c r="CI773" s="5"/>
      <c r="CK773" s="40"/>
      <c r="CL773" s="5"/>
      <c r="CN773" s="40"/>
      <c r="CO773" s="5"/>
      <c r="CQ773" s="40"/>
      <c r="CR773" s="5"/>
    </row>
    <row r="774">
      <c r="AO774" s="40"/>
      <c r="AP774" s="5"/>
      <c r="AR774" s="40"/>
      <c r="AS774" s="5"/>
      <c r="AU774" s="40"/>
      <c r="AV774" s="5"/>
      <c r="AX774" s="40"/>
      <c r="AY774" s="5"/>
      <c r="BA774" s="40"/>
      <c r="BB774" s="5"/>
      <c r="BD774" s="40"/>
      <c r="BE774" s="5"/>
      <c r="BG774" s="40"/>
      <c r="BH774" s="5"/>
      <c r="BJ774" s="40"/>
      <c r="BK774" s="5"/>
      <c r="BM774" s="40"/>
      <c r="BN774" s="5"/>
      <c r="BP774" s="40"/>
      <c r="BQ774" s="5"/>
      <c r="BS774" s="40"/>
      <c r="BT774" s="5"/>
      <c r="BV774" s="40"/>
      <c r="BW774" s="5"/>
      <c r="BY774" s="40"/>
      <c r="BZ774" s="5"/>
      <c r="CB774" s="40"/>
      <c r="CC774" s="5"/>
      <c r="CE774" s="40"/>
      <c r="CF774" s="5"/>
      <c r="CH774" s="40"/>
      <c r="CI774" s="5"/>
      <c r="CK774" s="40"/>
      <c r="CL774" s="5"/>
      <c r="CN774" s="40"/>
      <c r="CO774" s="5"/>
      <c r="CQ774" s="40"/>
      <c r="CR774" s="5"/>
    </row>
    <row r="775">
      <c r="AO775" s="40"/>
      <c r="AP775" s="5"/>
      <c r="AR775" s="40"/>
      <c r="AS775" s="5"/>
      <c r="AU775" s="40"/>
      <c r="AV775" s="5"/>
      <c r="AX775" s="40"/>
      <c r="AY775" s="5"/>
      <c r="BA775" s="40"/>
      <c r="BB775" s="5"/>
      <c r="BD775" s="40"/>
      <c r="BE775" s="5"/>
      <c r="BG775" s="40"/>
      <c r="BH775" s="5"/>
      <c r="BJ775" s="40"/>
      <c r="BK775" s="5"/>
      <c r="BM775" s="40"/>
      <c r="BN775" s="5"/>
      <c r="BP775" s="40"/>
      <c r="BQ775" s="5"/>
      <c r="BS775" s="40"/>
      <c r="BT775" s="5"/>
      <c r="BV775" s="40"/>
      <c r="BW775" s="5"/>
      <c r="BY775" s="40"/>
      <c r="BZ775" s="5"/>
      <c r="CB775" s="40"/>
      <c r="CC775" s="5"/>
      <c r="CE775" s="40"/>
      <c r="CF775" s="5"/>
      <c r="CH775" s="40"/>
      <c r="CI775" s="5"/>
      <c r="CK775" s="40"/>
      <c r="CL775" s="5"/>
      <c r="CN775" s="40"/>
      <c r="CO775" s="5"/>
      <c r="CQ775" s="40"/>
      <c r="CR775" s="5"/>
    </row>
    <row r="776">
      <c r="AO776" s="40"/>
      <c r="AP776" s="5"/>
      <c r="AR776" s="40"/>
      <c r="AS776" s="5"/>
      <c r="AU776" s="40"/>
      <c r="AV776" s="5"/>
      <c r="AX776" s="40"/>
      <c r="AY776" s="5"/>
      <c r="BA776" s="40"/>
      <c r="BB776" s="5"/>
      <c r="BD776" s="40"/>
      <c r="BE776" s="5"/>
      <c r="BG776" s="40"/>
      <c r="BH776" s="5"/>
      <c r="BJ776" s="40"/>
      <c r="BK776" s="5"/>
      <c r="BM776" s="40"/>
      <c r="BN776" s="5"/>
      <c r="BP776" s="40"/>
      <c r="BQ776" s="5"/>
      <c r="BS776" s="40"/>
      <c r="BT776" s="5"/>
      <c r="BV776" s="40"/>
      <c r="BW776" s="5"/>
      <c r="BY776" s="40"/>
      <c r="BZ776" s="5"/>
      <c r="CB776" s="40"/>
      <c r="CC776" s="5"/>
      <c r="CE776" s="40"/>
      <c r="CF776" s="5"/>
      <c r="CH776" s="40"/>
      <c r="CI776" s="5"/>
      <c r="CK776" s="40"/>
      <c r="CL776" s="5"/>
      <c r="CN776" s="40"/>
      <c r="CO776" s="5"/>
      <c r="CQ776" s="40"/>
      <c r="CR776" s="5"/>
    </row>
    <row r="777">
      <c r="AO777" s="40"/>
      <c r="AP777" s="5"/>
      <c r="AR777" s="40"/>
      <c r="AS777" s="5"/>
      <c r="AU777" s="40"/>
      <c r="AV777" s="5"/>
      <c r="AX777" s="40"/>
      <c r="AY777" s="5"/>
      <c r="BA777" s="40"/>
      <c r="BB777" s="5"/>
      <c r="BD777" s="40"/>
      <c r="BE777" s="5"/>
      <c r="BG777" s="40"/>
      <c r="BH777" s="5"/>
      <c r="BJ777" s="40"/>
      <c r="BK777" s="5"/>
      <c r="BM777" s="40"/>
      <c r="BN777" s="5"/>
      <c r="BP777" s="40"/>
      <c r="BQ777" s="5"/>
      <c r="BS777" s="40"/>
      <c r="BT777" s="5"/>
      <c r="BV777" s="40"/>
      <c r="BW777" s="5"/>
      <c r="BY777" s="40"/>
      <c r="BZ777" s="5"/>
      <c r="CB777" s="40"/>
      <c r="CC777" s="5"/>
      <c r="CE777" s="40"/>
      <c r="CF777" s="5"/>
      <c r="CH777" s="40"/>
      <c r="CI777" s="5"/>
      <c r="CK777" s="40"/>
      <c r="CL777" s="5"/>
      <c r="CN777" s="40"/>
      <c r="CO777" s="5"/>
      <c r="CQ777" s="40"/>
      <c r="CR777" s="5"/>
    </row>
    <row r="778">
      <c r="AO778" s="40"/>
      <c r="AP778" s="5"/>
      <c r="AR778" s="40"/>
      <c r="AS778" s="5"/>
      <c r="AU778" s="40"/>
      <c r="AV778" s="5"/>
      <c r="AX778" s="40"/>
      <c r="AY778" s="5"/>
      <c r="BA778" s="40"/>
      <c r="BB778" s="5"/>
      <c r="BD778" s="40"/>
      <c r="BE778" s="5"/>
      <c r="BG778" s="40"/>
      <c r="BH778" s="5"/>
      <c r="BJ778" s="40"/>
      <c r="BK778" s="5"/>
      <c r="BM778" s="40"/>
      <c r="BN778" s="5"/>
      <c r="BP778" s="40"/>
      <c r="BQ778" s="5"/>
      <c r="BS778" s="40"/>
      <c r="BT778" s="5"/>
      <c r="BV778" s="40"/>
      <c r="BW778" s="5"/>
      <c r="BY778" s="40"/>
      <c r="BZ778" s="5"/>
      <c r="CB778" s="40"/>
      <c r="CC778" s="5"/>
      <c r="CE778" s="40"/>
      <c r="CF778" s="5"/>
      <c r="CH778" s="40"/>
      <c r="CI778" s="5"/>
      <c r="CK778" s="40"/>
      <c r="CL778" s="5"/>
      <c r="CN778" s="40"/>
      <c r="CO778" s="5"/>
      <c r="CQ778" s="40"/>
      <c r="CR778" s="5"/>
    </row>
    <row r="779">
      <c r="AO779" s="40"/>
      <c r="AP779" s="5"/>
      <c r="AR779" s="40"/>
      <c r="AS779" s="5"/>
      <c r="AU779" s="40"/>
      <c r="AV779" s="5"/>
      <c r="AX779" s="40"/>
      <c r="AY779" s="5"/>
      <c r="BA779" s="40"/>
      <c r="BB779" s="5"/>
      <c r="BD779" s="40"/>
      <c r="BE779" s="5"/>
      <c r="BG779" s="40"/>
      <c r="BH779" s="5"/>
      <c r="BJ779" s="40"/>
      <c r="BK779" s="5"/>
      <c r="BM779" s="40"/>
      <c r="BN779" s="5"/>
      <c r="BP779" s="40"/>
      <c r="BQ779" s="5"/>
      <c r="BS779" s="40"/>
      <c r="BT779" s="5"/>
      <c r="BV779" s="40"/>
      <c r="BW779" s="5"/>
      <c r="BY779" s="40"/>
      <c r="BZ779" s="5"/>
      <c r="CB779" s="40"/>
      <c r="CC779" s="5"/>
      <c r="CE779" s="40"/>
      <c r="CF779" s="5"/>
      <c r="CH779" s="40"/>
      <c r="CI779" s="5"/>
      <c r="CK779" s="40"/>
      <c r="CL779" s="5"/>
      <c r="CN779" s="40"/>
      <c r="CO779" s="5"/>
      <c r="CQ779" s="40"/>
      <c r="CR779" s="5"/>
    </row>
    <row r="780">
      <c r="AO780" s="40"/>
      <c r="AP780" s="5"/>
      <c r="AR780" s="40"/>
      <c r="AS780" s="5"/>
      <c r="AU780" s="40"/>
      <c r="AV780" s="5"/>
      <c r="AX780" s="40"/>
      <c r="AY780" s="5"/>
      <c r="BA780" s="40"/>
      <c r="BB780" s="5"/>
      <c r="BD780" s="40"/>
      <c r="BE780" s="5"/>
      <c r="BG780" s="40"/>
      <c r="BH780" s="5"/>
      <c r="BJ780" s="40"/>
      <c r="BK780" s="5"/>
      <c r="BM780" s="40"/>
      <c r="BN780" s="5"/>
      <c r="BP780" s="40"/>
      <c r="BQ780" s="5"/>
      <c r="BS780" s="40"/>
      <c r="BT780" s="5"/>
      <c r="BV780" s="40"/>
      <c r="BW780" s="5"/>
      <c r="BY780" s="40"/>
      <c r="BZ780" s="5"/>
      <c r="CB780" s="40"/>
      <c r="CC780" s="5"/>
      <c r="CE780" s="40"/>
      <c r="CF780" s="5"/>
      <c r="CH780" s="40"/>
      <c r="CI780" s="5"/>
      <c r="CK780" s="40"/>
      <c r="CL780" s="5"/>
      <c r="CN780" s="40"/>
      <c r="CO780" s="5"/>
      <c r="CQ780" s="40"/>
      <c r="CR780" s="5"/>
    </row>
    <row r="781">
      <c r="AO781" s="40"/>
      <c r="AP781" s="5"/>
      <c r="AR781" s="40"/>
      <c r="AS781" s="5"/>
      <c r="AU781" s="40"/>
      <c r="AV781" s="5"/>
      <c r="AX781" s="40"/>
      <c r="AY781" s="5"/>
      <c r="BA781" s="40"/>
      <c r="BB781" s="5"/>
      <c r="BD781" s="40"/>
      <c r="BE781" s="5"/>
      <c r="BG781" s="40"/>
      <c r="BH781" s="5"/>
      <c r="BJ781" s="40"/>
      <c r="BK781" s="5"/>
      <c r="BM781" s="40"/>
      <c r="BN781" s="5"/>
      <c r="BP781" s="40"/>
      <c r="BQ781" s="5"/>
      <c r="BS781" s="40"/>
      <c r="BT781" s="5"/>
      <c r="BV781" s="40"/>
      <c r="BW781" s="5"/>
      <c r="BY781" s="40"/>
      <c r="BZ781" s="5"/>
      <c r="CB781" s="40"/>
      <c r="CC781" s="5"/>
      <c r="CE781" s="40"/>
      <c r="CF781" s="5"/>
      <c r="CH781" s="40"/>
      <c r="CI781" s="5"/>
      <c r="CK781" s="40"/>
      <c r="CL781" s="5"/>
      <c r="CN781" s="40"/>
      <c r="CO781" s="5"/>
      <c r="CQ781" s="40"/>
      <c r="CR781" s="5"/>
    </row>
    <row r="782">
      <c r="AO782" s="40"/>
      <c r="AP782" s="5"/>
      <c r="AR782" s="40"/>
      <c r="AS782" s="5"/>
      <c r="AU782" s="40"/>
      <c r="AV782" s="5"/>
      <c r="AX782" s="40"/>
      <c r="AY782" s="5"/>
      <c r="BA782" s="40"/>
      <c r="BB782" s="5"/>
      <c r="BD782" s="40"/>
      <c r="BE782" s="5"/>
      <c r="BG782" s="40"/>
      <c r="BH782" s="5"/>
      <c r="BJ782" s="40"/>
      <c r="BK782" s="5"/>
      <c r="BM782" s="40"/>
      <c r="BN782" s="5"/>
      <c r="BP782" s="40"/>
      <c r="BQ782" s="5"/>
      <c r="BS782" s="40"/>
      <c r="BT782" s="5"/>
      <c r="BV782" s="40"/>
      <c r="BW782" s="5"/>
      <c r="BY782" s="40"/>
      <c r="BZ782" s="5"/>
      <c r="CB782" s="40"/>
      <c r="CC782" s="5"/>
      <c r="CE782" s="40"/>
      <c r="CF782" s="5"/>
      <c r="CH782" s="40"/>
      <c r="CI782" s="5"/>
      <c r="CK782" s="40"/>
      <c r="CL782" s="5"/>
      <c r="CN782" s="40"/>
      <c r="CO782" s="5"/>
      <c r="CQ782" s="40"/>
      <c r="CR782" s="5"/>
    </row>
    <row r="783">
      <c r="AO783" s="40"/>
      <c r="AP783" s="5"/>
      <c r="AR783" s="40"/>
      <c r="AS783" s="5"/>
      <c r="AU783" s="40"/>
      <c r="AV783" s="5"/>
      <c r="AX783" s="40"/>
      <c r="AY783" s="5"/>
      <c r="BA783" s="40"/>
      <c r="BB783" s="5"/>
      <c r="BD783" s="40"/>
      <c r="BE783" s="5"/>
      <c r="BG783" s="40"/>
      <c r="BH783" s="5"/>
      <c r="BJ783" s="40"/>
      <c r="BK783" s="5"/>
      <c r="BM783" s="40"/>
      <c r="BN783" s="5"/>
      <c r="BP783" s="40"/>
      <c r="BQ783" s="5"/>
      <c r="BS783" s="40"/>
      <c r="BT783" s="5"/>
      <c r="BV783" s="40"/>
      <c r="BW783" s="5"/>
      <c r="BY783" s="40"/>
      <c r="BZ783" s="5"/>
      <c r="CB783" s="40"/>
      <c r="CC783" s="5"/>
      <c r="CE783" s="40"/>
      <c r="CF783" s="5"/>
      <c r="CH783" s="40"/>
      <c r="CI783" s="5"/>
      <c r="CK783" s="40"/>
      <c r="CL783" s="5"/>
      <c r="CN783" s="40"/>
      <c r="CO783" s="5"/>
      <c r="CQ783" s="40"/>
      <c r="CR783" s="5"/>
    </row>
    <row r="784">
      <c r="AO784" s="40"/>
      <c r="AP784" s="5"/>
      <c r="AR784" s="40"/>
      <c r="AS784" s="5"/>
      <c r="AU784" s="40"/>
      <c r="AV784" s="5"/>
      <c r="AX784" s="40"/>
      <c r="AY784" s="5"/>
      <c r="BA784" s="40"/>
      <c r="BB784" s="5"/>
      <c r="BD784" s="40"/>
      <c r="BE784" s="5"/>
      <c r="BG784" s="40"/>
      <c r="BH784" s="5"/>
      <c r="BJ784" s="40"/>
      <c r="BK784" s="5"/>
      <c r="BM784" s="40"/>
      <c r="BN784" s="5"/>
      <c r="BP784" s="40"/>
      <c r="BQ784" s="5"/>
      <c r="BS784" s="40"/>
      <c r="BT784" s="5"/>
      <c r="BV784" s="40"/>
      <c r="BW784" s="5"/>
      <c r="BY784" s="40"/>
      <c r="BZ784" s="5"/>
      <c r="CB784" s="40"/>
      <c r="CC784" s="5"/>
      <c r="CE784" s="40"/>
      <c r="CF784" s="5"/>
      <c r="CH784" s="40"/>
      <c r="CI784" s="5"/>
      <c r="CK784" s="40"/>
      <c r="CL784" s="5"/>
      <c r="CN784" s="40"/>
      <c r="CO784" s="5"/>
      <c r="CQ784" s="40"/>
      <c r="CR784" s="5"/>
    </row>
    <row r="785">
      <c r="AO785" s="40"/>
      <c r="AP785" s="5"/>
      <c r="AR785" s="40"/>
      <c r="AS785" s="5"/>
      <c r="AU785" s="40"/>
      <c r="AV785" s="5"/>
      <c r="AX785" s="40"/>
      <c r="AY785" s="5"/>
      <c r="BA785" s="40"/>
      <c r="BB785" s="5"/>
      <c r="BD785" s="40"/>
      <c r="BE785" s="5"/>
      <c r="BG785" s="40"/>
      <c r="BH785" s="5"/>
      <c r="BJ785" s="40"/>
      <c r="BK785" s="5"/>
      <c r="BM785" s="40"/>
      <c r="BN785" s="5"/>
      <c r="BP785" s="40"/>
      <c r="BQ785" s="5"/>
      <c r="BS785" s="40"/>
      <c r="BT785" s="5"/>
      <c r="BV785" s="40"/>
      <c r="BW785" s="5"/>
      <c r="BY785" s="40"/>
      <c r="BZ785" s="5"/>
      <c r="CB785" s="40"/>
      <c r="CC785" s="5"/>
      <c r="CE785" s="40"/>
      <c r="CF785" s="5"/>
      <c r="CH785" s="40"/>
      <c r="CI785" s="5"/>
      <c r="CK785" s="40"/>
      <c r="CL785" s="5"/>
      <c r="CN785" s="40"/>
      <c r="CO785" s="5"/>
      <c r="CQ785" s="40"/>
      <c r="CR785" s="5"/>
    </row>
    <row r="786">
      <c r="AO786" s="40"/>
      <c r="AP786" s="5"/>
      <c r="AR786" s="40"/>
      <c r="AS786" s="5"/>
      <c r="AU786" s="40"/>
      <c r="AV786" s="5"/>
      <c r="AX786" s="40"/>
      <c r="AY786" s="5"/>
      <c r="BA786" s="40"/>
      <c r="BB786" s="5"/>
      <c r="BD786" s="40"/>
      <c r="BE786" s="5"/>
      <c r="BG786" s="40"/>
      <c r="BH786" s="5"/>
      <c r="BJ786" s="40"/>
      <c r="BK786" s="5"/>
      <c r="BM786" s="40"/>
      <c r="BN786" s="5"/>
      <c r="BP786" s="40"/>
      <c r="BQ786" s="5"/>
      <c r="BS786" s="40"/>
      <c r="BT786" s="5"/>
      <c r="BV786" s="40"/>
      <c r="BW786" s="5"/>
      <c r="BY786" s="40"/>
      <c r="BZ786" s="5"/>
      <c r="CB786" s="40"/>
      <c r="CC786" s="5"/>
      <c r="CE786" s="40"/>
      <c r="CF786" s="5"/>
      <c r="CH786" s="40"/>
      <c r="CI786" s="5"/>
      <c r="CK786" s="40"/>
      <c r="CL786" s="5"/>
      <c r="CN786" s="40"/>
      <c r="CO786" s="5"/>
      <c r="CQ786" s="40"/>
      <c r="CR786" s="5"/>
    </row>
    <row r="787">
      <c r="AO787" s="40"/>
      <c r="AP787" s="5"/>
      <c r="AR787" s="40"/>
      <c r="AS787" s="5"/>
      <c r="AU787" s="40"/>
      <c r="AV787" s="5"/>
      <c r="AX787" s="40"/>
      <c r="AY787" s="5"/>
      <c r="BA787" s="40"/>
      <c r="BB787" s="5"/>
      <c r="BD787" s="40"/>
      <c r="BE787" s="5"/>
      <c r="BG787" s="40"/>
      <c r="BH787" s="5"/>
      <c r="BJ787" s="40"/>
      <c r="BK787" s="5"/>
      <c r="BM787" s="40"/>
      <c r="BN787" s="5"/>
      <c r="BP787" s="40"/>
      <c r="BQ787" s="5"/>
      <c r="BS787" s="40"/>
      <c r="BT787" s="5"/>
      <c r="BV787" s="40"/>
      <c r="BW787" s="5"/>
      <c r="BY787" s="40"/>
      <c r="BZ787" s="5"/>
      <c r="CB787" s="40"/>
      <c r="CC787" s="5"/>
      <c r="CE787" s="40"/>
      <c r="CF787" s="5"/>
      <c r="CH787" s="40"/>
      <c r="CI787" s="5"/>
      <c r="CK787" s="40"/>
      <c r="CL787" s="5"/>
      <c r="CN787" s="40"/>
      <c r="CO787" s="5"/>
      <c r="CQ787" s="40"/>
      <c r="CR787" s="5"/>
    </row>
    <row r="788">
      <c r="AO788" s="40"/>
      <c r="AP788" s="5"/>
      <c r="AR788" s="40"/>
      <c r="AS788" s="5"/>
      <c r="AU788" s="40"/>
      <c r="AV788" s="5"/>
      <c r="AX788" s="40"/>
      <c r="AY788" s="5"/>
      <c r="BA788" s="40"/>
      <c r="BB788" s="5"/>
      <c r="BD788" s="40"/>
      <c r="BE788" s="5"/>
      <c r="BG788" s="40"/>
      <c r="BH788" s="5"/>
      <c r="BJ788" s="40"/>
      <c r="BK788" s="5"/>
      <c r="BM788" s="40"/>
      <c r="BN788" s="5"/>
      <c r="BP788" s="40"/>
      <c r="BQ788" s="5"/>
      <c r="BS788" s="40"/>
      <c r="BT788" s="5"/>
      <c r="BV788" s="40"/>
      <c r="BW788" s="5"/>
      <c r="BY788" s="40"/>
      <c r="BZ788" s="5"/>
      <c r="CB788" s="40"/>
      <c r="CC788" s="5"/>
      <c r="CE788" s="40"/>
      <c r="CF788" s="5"/>
      <c r="CH788" s="40"/>
      <c r="CI788" s="5"/>
      <c r="CK788" s="40"/>
      <c r="CL788" s="5"/>
      <c r="CN788" s="40"/>
      <c r="CO788" s="5"/>
      <c r="CQ788" s="40"/>
      <c r="CR788" s="5"/>
    </row>
    <row r="789">
      <c r="AO789" s="40"/>
      <c r="AP789" s="5"/>
      <c r="AR789" s="40"/>
      <c r="AS789" s="5"/>
      <c r="AU789" s="40"/>
      <c r="AV789" s="5"/>
      <c r="AX789" s="40"/>
      <c r="AY789" s="5"/>
      <c r="BA789" s="40"/>
      <c r="BB789" s="5"/>
      <c r="BD789" s="40"/>
      <c r="BE789" s="5"/>
      <c r="BG789" s="40"/>
      <c r="BH789" s="5"/>
      <c r="BJ789" s="40"/>
      <c r="BK789" s="5"/>
      <c r="BM789" s="40"/>
      <c r="BN789" s="5"/>
      <c r="BP789" s="40"/>
      <c r="BQ789" s="5"/>
      <c r="BS789" s="40"/>
      <c r="BT789" s="5"/>
      <c r="BV789" s="40"/>
      <c r="BW789" s="5"/>
      <c r="BY789" s="40"/>
      <c r="BZ789" s="5"/>
      <c r="CB789" s="40"/>
      <c r="CC789" s="5"/>
      <c r="CE789" s="40"/>
      <c r="CF789" s="5"/>
      <c r="CH789" s="40"/>
      <c r="CI789" s="5"/>
      <c r="CK789" s="40"/>
      <c r="CL789" s="5"/>
      <c r="CN789" s="40"/>
      <c r="CO789" s="5"/>
      <c r="CQ789" s="40"/>
      <c r="CR789" s="5"/>
    </row>
    <row r="790">
      <c r="AO790" s="40"/>
      <c r="AP790" s="5"/>
      <c r="AR790" s="40"/>
      <c r="AS790" s="5"/>
      <c r="AU790" s="40"/>
      <c r="AV790" s="5"/>
      <c r="AX790" s="40"/>
      <c r="AY790" s="5"/>
      <c r="BA790" s="40"/>
      <c r="BB790" s="5"/>
      <c r="BD790" s="40"/>
      <c r="BE790" s="5"/>
      <c r="BG790" s="40"/>
      <c r="BH790" s="5"/>
      <c r="BJ790" s="40"/>
      <c r="BK790" s="5"/>
      <c r="BM790" s="40"/>
      <c r="BN790" s="5"/>
      <c r="BP790" s="40"/>
      <c r="BQ790" s="5"/>
      <c r="BS790" s="40"/>
      <c r="BT790" s="5"/>
      <c r="BV790" s="40"/>
      <c r="BW790" s="5"/>
      <c r="BY790" s="40"/>
      <c r="BZ790" s="5"/>
      <c r="CB790" s="40"/>
      <c r="CC790" s="5"/>
      <c r="CE790" s="40"/>
      <c r="CF790" s="5"/>
      <c r="CH790" s="40"/>
      <c r="CI790" s="5"/>
      <c r="CK790" s="40"/>
      <c r="CL790" s="5"/>
      <c r="CN790" s="40"/>
      <c r="CO790" s="5"/>
      <c r="CQ790" s="40"/>
      <c r="CR790" s="5"/>
    </row>
    <row r="791">
      <c r="AO791" s="40"/>
      <c r="AP791" s="5"/>
      <c r="AR791" s="40"/>
      <c r="AS791" s="5"/>
      <c r="AU791" s="40"/>
      <c r="AV791" s="5"/>
      <c r="AX791" s="40"/>
      <c r="AY791" s="5"/>
      <c r="BA791" s="40"/>
      <c r="BB791" s="5"/>
      <c r="BD791" s="40"/>
      <c r="BE791" s="5"/>
      <c r="BG791" s="40"/>
      <c r="BH791" s="5"/>
      <c r="BJ791" s="40"/>
      <c r="BK791" s="5"/>
      <c r="BM791" s="40"/>
      <c r="BN791" s="5"/>
      <c r="BP791" s="40"/>
      <c r="BQ791" s="5"/>
      <c r="BS791" s="40"/>
      <c r="BT791" s="5"/>
      <c r="BV791" s="40"/>
      <c r="BW791" s="5"/>
      <c r="BY791" s="40"/>
      <c r="BZ791" s="5"/>
      <c r="CB791" s="40"/>
      <c r="CC791" s="5"/>
      <c r="CE791" s="40"/>
      <c r="CF791" s="5"/>
      <c r="CH791" s="40"/>
      <c r="CI791" s="5"/>
      <c r="CK791" s="40"/>
      <c r="CL791" s="5"/>
      <c r="CN791" s="40"/>
      <c r="CO791" s="5"/>
      <c r="CQ791" s="40"/>
      <c r="CR791" s="5"/>
    </row>
    <row r="792">
      <c r="AO792" s="40"/>
      <c r="AP792" s="5"/>
      <c r="AR792" s="40"/>
      <c r="AS792" s="5"/>
      <c r="AU792" s="40"/>
      <c r="AV792" s="5"/>
      <c r="AX792" s="40"/>
      <c r="AY792" s="5"/>
      <c r="BA792" s="40"/>
      <c r="BB792" s="5"/>
      <c r="BD792" s="40"/>
      <c r="BE792" s="5"/>
      <c r="BG792" s="40"/>
      <c r="BH792" s="5"/>
      <c r="BJ792" s="40"/>
      <c r="BK792" s="5"/>
      <c r="BM792" s="40"/>
      <c r="BN792" s="5"/>
      <c r="BP792" s="40"/>
      <c r="BQ792" s="5"/>
      <c r="BS792" s="40"/>
      <c r="BT792" s="5"/>
      <c r="BV792" s="40"/>
      <c r="BW792" s="5"/>
      <c r="BY792" s="40"/>
      <c r="BZ792" s="5"/>
      <c r="CB792" s="40"/>
      <c r="CC792" s="5"/>
      <c r="CE792" s="40"/>
      <c r="CF792" s="5"/>
      <c r="CH792" s="40"/>
      <c r="CI792" s="5"/>
      <c r="CK792" s="40"/>
      <c r="CL792" s="5"/>
      <c r="CN792" s="40"/>
      <c r="CO792" s="5"/>
      <c r="CQ792" s="40"/>
      <c r="CR792" s="5"/>
    </row>
    <row r="793">
      <c r="AO793" s="40"/>
      <c r="AP793" s="5"/>
      <c r="AR793" s="40"/>
      <c r="AS793" s="5"/>
      <c r="AU793" s="40"/>
      <c r="AV793" s="5"/>
      <c r="AX793" s="40"/>
      <c r="AY793" s="5"/>
      <c r="BA793" s="40"/>
      <c r="BB793" s="5"/>
      <c r="BD793" s="40"/>
      <c r="BE793" s="5"/>
      <c r="BG793" s="40"/>
      <c r="BH793" s="5"/>
      <c r="BJ793" s="40"/>
      <c r="BK793" s="5"/>
      <c r="BM793" s="40"/>
      <c r="BN793" s="5"/>
      <c r="BP793" s="40"/>
      <c r="BQ793" s="5"/>
      <c r="BS793" s="40"/>
      <c r="BT793" s="5"/>
      <c r="BV793" s="40"/>
      <c r="BW793" s="5"/>
      <c r="BY793" s="40"/>
      <c r="BZ793" s="5"/>
      <c r="CB793" s="40"/>
      <c r="CC793" s="5"/>
      <c r="CE793" s="40"/>
      <c r="CF793" s="5"/>
      <c r="CH793" s="40"/>
      <c r="CI793" s="5"/>
      <c r="CK793" s="40"/>
      <c r="CL793" s="5"/>
      <c r="CN793" s="40"/>
      <c r="CO793" s="5"/>
      <c r="CQ793" s="40"/>
      <c r="CR793" s="5"/>
    </row>
    <row r="794">
      <c r="AO794" s="40"/>
      <c r="AP794" s="5"/>
      <c r="AR794" s="40"/>
      <c r="AS794" s="5"/>
      <c r="AU794" s="40"/>
      <c r="AV794" s="5"/>
      <c r="AX794" s="40"/>
      <c r="AY794" s="5"/>
      <c r="BA794" s="40"/>
      <c r="BB794" s="5"/>
      <c r="BD794" s="40"/>
      <c r="BE794" s="5"/>
      <c r="BG794" s="40"/>
      <c r="BH794" s="5"/>
      <c r="BJ794" s="40"/>
      <c r="BK794" s="5"/>
      <c r="BM794" s="40"/>
      <c r="BN794" s="5"/>
      <c r="BP794" s="40"/>
      <c r="BQ794" s="5"/>
      <c r="BS794" s="40"/>
      <c r="BT794" s="5"/>
      <c r="BV794" s="40"/>
      <c r="BW794" s="5"/>
      <c r="BY794" s="40"/>
      <c r="BZ794" s="5"/>
      <c r="CB794" s="40"/>
      <c r="CC794" s="5"/>
      <c r="CE794" s="40"/>
      <c r="CF794" s="5"/>
      <c r="CH794" s="40"/>
      <c r="CI794" s="5"/>
      <c r="CK794" s="40"/>
      <c r="CL794" s="5"/>
      <c r="CN794" s="40"/>
      <c r="CO794" s="5"/>
      <c r="CQ794" s="40"/>
      <c r="CR794" s="5"/>
    </row>
    <row r="795">
      <c r="AO795" s="40"/>
      <c r="AP795" s="5"/>
      <c r="AR795" s="40"/>
      <c r="AS795" s="5"/>
      <c r="AU795" s="40"/>
      <c r="AV795" s="5"/>
      <c r="AX795" s="40"/>
      <c r="AY795" s="5"/>
      <c r="BA795" s="40"/>
      <c r="BB795" s="5"/>
      <c r="BD795" s="40"/>
      <c r="BE795" s="5"/>
      <c r="BG795" s="40"/>
      <c r="BH795" s="5"/>
      <c r="BJ795" s="40"/>
      <c r="BK795" s="5"/>
      <c r="BM795" s="40"/>
      <c r="BN795" s="5"/>
      <c r="BP795" s="40"/>
      <c r="BQ795" s="5"/>
      <c r="BS795" s="40"/>
      <c r="BT795" s="5"/>
      <c r="BV795" s="40"/>
      <c r="BW795" s="5"/>
      <c r="BY795" s="40"/>
      <c r="BZ795" s="5"/>
      <c r="CB795" s="40"/>
      <c r="CC795" s="5"/>
      <c r="CE795" s="40"/>
      <c r="CF795" s="5"/>
      <c r="CH795" s="40"/>
      <c r="CI795" s="5"/>
      <c r="CK795" s="40"/>
      <c r="CL795" s="5"/>
      <c r="CN795" s="40"/>
      <c r="CO795" s="5"/>
      <c r="CQ795" s="40"/>
      <c r="CR795" s="5"/>
    </row>
    <row r="796">
      <c r="AO796" s="40"/>
      <c r="AP796" s="5"/>
      <c r="AR796" s="40"/>
      <c r="AS796" s="5"/>
      <c r="AU796" s="40"/>
      <c r="AV796" s="5"/>
      <c r="AX796" s="40"/>
      <c r="AY796" s="5"/>
      <c r="BA796" s="40"/>
      <c r="BB796" s="5"/>
      <c r="BD796" s="40"/>
      <c r="BE796" s="5"/>
      <c r="BG796" s="40"/>
      <c r="BH796" s="5"/>
      <c r="BJ796" s="40"/>
      <c r="BK796" s="5"/>
      <c r="BM796" s="40"/>
      <c r="BN796" s="5"/>
      <c r="BP796" s="40"/>
      <c r="BQ796" s="5"/>
      <c r="BS796" s="40"/>
      <c r="BT796" s="5"/>
      <c r="BV796" s="40"/>
      <c r="BW796" s="5"/>
      <c r="BY796" s="40"/>
      <c r="BZ796" s="5"/>
      <c r="CB796" s="40"/>
      <c r="CC796" s="5"/>
      <c r="CE796" s="40"/>
      <c r="CF796" s="5"/>
      <c r="CH796" s="40"/>
      <c r="CI796" s="5"/>
      <c r="CK796" s="40"/>
      <c r="CL796" s="5"/>
      <c r="CN796" s="40"/>
      <c r="CO796" s="5"/>
      <c r="CQ796" s="40"/>
      <c r="CR796" s="5"/>
    </row>
    <row r="797">
      <c r="AO797" s="40"/>
      <c r="AP797" s="5"/>
      <c r="AR797" s="40"/>
      <c r="AS797" s="5"/>
      <c r="AU797" s="40"/>
      <c r="AV797" s="5"/>
      <c r="AX797" s="40"/>
      <c r="AY797" s="5"/>
      <c r="BA797" s="40"/>
      <c r="BB797" s="5"/>
      <c r="BD797" s="40"/>
      <c r="BE797" s="5"/>
      <c r="BG797" s="40"/>
      <c r="BH797" s="5"/>
      <c r="BJ797" s="40"/>
      <c r="BK797" s="5"/>
      <c r="BM797" s="40"/>
      <c r="BN797" s="5"/>
      <c r="BP797" s="40"/>
      <c r="BQ797" s="5"/>
      <c r="BS797" s="40"/>
      <c r="BT797" s="5"/>
      <c r="BV797" s="40"/>
      <c r="BW797" s="5"/>
      <c r="BY797" s="40"/>
      <c r="BZ797" s="5"/>
      <c r="CB797" s="40"/>
      <c r="CC797" s="5"/>
      <c r="CE797" s="40"/>
      <c r="CF797" s="5"/>
      <c r="CH797" s="40"/>
      <c r="CI797" s="5"/>
      <c r="CK797" s="40"/>
      <c r="CL797" s="5"/>
      <c r="CN797" s="40"/>
      <c r="CO797" s="5"/>
      <c r="CQ797" s="40"/>
      <c r="CR797" s="5"/>
    </row>
    <row r="798">
      <c r="AO798" s="40"/>
      <c r="AP798" s="5"/>
      <c r="AR798" s="40"/>
      <c r="AS798" s="5"/>
      <c r="AU798" s="40"/>
      <c r="AV798" s="5"/>
      <c r="AX798" s="40"/>
      <c r="AY798" s="5"/>
      <c r="BA798" s="40"/>
      <c r="BB798" s="5"/>
      <c r="BD798" s="40"/>
      <c r="BE798" s="5"/>
      <c r="BG798" s="40"/>
      <c r="BH798" s="5"/>
      <c r="BJ798" s="40"/>
      <c r="BK798" s="5"/>
      <c r="BM798" s="40"/>
      <c r="BN798" s="5"/>
      <c r="BP798" s="40"/>
      <c r="BQ798" s="5"/>
      <c r="BS798" s="40"/>
      <c r="BT798" s="5"/>
      <c r="BV798" s="40"/>
      <c r="BW798" s="5"/>
      <c r="BY798" s="40"/>
      <c r="BZ798" s="5"/>
      <c r="CB798" s="40"/>
      <c r="CC798" s="5"/>
      <c r="CE798" s="40"/>
      <c r="CF798" s="5"/>
      <c r="CH798" s="40"/>
      <c r="CI798" s="5"/>
      <c r="CK798" s="40"/>
      <c r="CL798" s="5"/>
      <c r="CN798" s="40"/>
      <c r="CO798" s="5"/>
      <c r="CQ798" s="40"/>
      <c r="CR798" s="5"/>
    </row>
    <row r="799">
      <c r="AO799" s="40"/>
      <c r="AP799" s="5"/>
      <c r="AR799" s="40"/>
      <c r="AS799" s="5"/>
      <c r="AU799" s="40"/>
      <c r="AV799" s="5"/>
      <c r="AX799" s="40"/>
      <c r="AY799" s="5"/>
      <c r="BA799" s="40"/>
      <c r="BB799" s="5"/>
      <c r="BD799" s="40"/>
      <c r="BE799" s="5"/>
      <c r="BG799" s="40"/>
      <c r="BH799" s="5"/>
      <c r="BJ799" s="40"/>
      <c r="BK799" s="5"/>
      <c r="BM799" s="40"/>
      <c r="BN799" s="5"/>
      <c r="BP799" s="40"/>
      <c r="BQ799" s="5"/>
      <c r="BS799" s="40"/>
      <c r="BT799" s="5"/>
      <c r="BV799" s="40"/>
      <c r="BW799" s="5"/>
      <c r="BY799" s="40"/>
      <c r="BZ799" s="5"/>
      <c r="CB799" s="40"/>
      <c r="CC799" s="5"/>
      <c r="CE799" s="40"/>
      <c r="CF799" s="5"/>
      <c r="CH799" s="40"/>
      <c r="CI799" s="5"/>
      <c r="CK799" s="40"/>
      <c r="CL799" s="5"/>
      <c r="CN799" s="40"/>
      <c r="CO799" s="5"/>
      <c r="CQ799" s="40"/>
      <c r="CR799" s="5"/>
    </row>
    <row r="800">
      <c r="AO800" s="40"/>
      <c r="AP800" s="5"/>
      <c r="AR800" s="40"/>
      <c r="AS800" s="5"/>
      <c r="AU800" s="40"/>
      <c r="AV800" s="5"/>
      <c r="AX800" s="40"/>
      <c r="AY800" s="5"/>
      <c r="BA800" s="40"/>
      <c r="BB800" s="5"/>
      <c r="BD800" s="40"/>
      <c r="BE800" s="5"/>
      <c r="BG800" s="40"/>
      <c r="BH800" s="5"/>
      <c r="BJ800" s="40"/>
      <c r="BK800" s="5"/>
      <c r="BM800" s="40"/>
      <c r="BN800" s="5"/>
      <c r="BP800" s="40"/>
      <c r="BQ800" s="5"/>
      <c r="BS800" s="40"/>
      <c r="BT800" s="5"/>
      <c r="BV800" s="40"/>
      <c r="BW800" s="5"/>
      <c r="BY800" s="40"/>
      <c r="BZ800" s="5"/>
      <c r="CB800" s="40"/>
      <c r="CC800" s="5"/>
      <c r="CE800" s="40"/>
      <c r="CF800" s="5"/>
      <c r="CH800" s="40"/>
      <c r="CI800" s="5"/>
      <c r="CK800" s="40"/>
      <c r="CL800" s="5"/>
      <c r="CN800" s="40"/>
      <c r="CO800" s="5"/>
      <c r="CQ800" s="40"/>
      <c r="CR800" s="5"/>
    </row>
    <row r="801">
      <c r="AO801" s="40"/>
      <c r="AP801" s="5"/>
      <c r="AR801" s="40"/>
      <c r="AS801" s="5"/>
      <c r="AU801" s="40"/>
      <c r="AV801" s="5"/>
      <c r="AX801" s="40"/>
      <c r="AY801" s="5"/>
      <c r="BA801" s="40"/>
      <c r="BB801" s="5"/>
      <c r="BD801" s="40"/>
      <c r="BE801" s="5"/>
      <c r="BG801" s="40"/>
      <c r="BH801" s="5"/>
      <c r="BJ801" s="40"/>
      <c r="BK801" s="5"/>
      <c r="BM801" s="40"/>
      <c r="BN801" s="5"/>
      <c r="BP801" s="40"/>
      <c r="BQ801" s="5"/>
      <c r="BS801" s="40"/>
      <c r="BT801" s="5"/>
      <c r="BV801" s="40"/>
      <c r="BW801" s="5"/>
      <c r="BY801" s="40"/>
      <c r="BZ801" s="5"/>
      <c r="CB801" s="40"/>
      <c r="CC801" s="5"/>
      <c r="CE801" s="40"/>
      <c r="CF801" s="5"/>
      <c r="CH801" s="40"/>
      <c r="CI801" s="5"/>
      <c r="CK801" s="40"/>
      <c r="CL801" s="5"/>
      <c r="CN801" s="40"/>
      <c r="CO801" s="5"/>
      <c r="CQ801" s="40"/>
      <c r="CR801" s="5"/>
    </row>
    <row r="802">
      <c r="AO802" s="40"/>
      <c r="AP802" s="5"/>
      <c r="AR802" s="40"/>
      <c r="AS802" s="5"/>
      <c r="AU802" s="40"/>
      <c r="AV802" s="5"/>
      <c r="AX802" s="40"/>
      <c r="AY802" s="5"/>
      <c r="BA802" s="40"/>
      <c r="BB802" s="5"/>
      <c r="BD802" s="40"/>
      <c r="BE802" s="5"/>
      <c r="BG802" s="40"/>
      <c r="BH802" s="5"/>
      <c r="BJ802" s="40"/>
      <c r="BK802" s="5"/>
      <c r="BM802" s="40"/>
      <c r="BN802" s="5"/>
      <c r="BP802" s="40"/>
      <c r="BQ802" s="5"/>
      <c r="BS802" s="40"/>
      <c r="BT802" s="5"/>
      <c r="BV802" s="40"/>
      <c r="BW802" s="5"/>
      <c r="BY802" s="40"/>
      <c r="BZ802" s="5"/>
      <c r="CB802" s="40"/>
      <c r="CC802" s="5"/>
      <c r="CE802" s="40"/>
      <c r="CF802" s="5"/>
      <c r="CH802" s="40"/>
      <c r="CI802" s="5"/>
      <c r="CK802" s="40"/>
      <c r="CL802" s="5"/>
      <c r="CN802" s="40"/>
      <c r="CO802" s="5"/>
      <c r="CQ802" s="40"/>
      <c r="CR802" s="5"/>
    </row>
    <row r="803">
      <c r="AO803" s="40"/>
      <c r="AP803" s="5"/>
      <c r="AR803" s="40"/>
      <c r="AS803" s="5"/>
      <c r="AU803" s="40"/>
      <c r="AV803" s="5"/>
      <c r="AX803" s="40"/>
      <c r="AY803" s="5"/>
      <c r="BA803" s="40"/>
      <c r="BB803" s="5"/>
      <c r="BD803" s="40"/>
      <c r="BE803" s="5"/>
      <c r="BG803" s="40"/>
      <c r="BH803" s="5"/>
      <c r="BJ803" s="40"/>
      <c r="BK803" s="5"/>
      <c r="BM803" s="40"/>
      <c r="BN803" s="5"/>
      <c r="BP803" s="40"/>
      <c r="BQ803" s="5"/>
      <c r="BS803" s="40"/>
      <c r="BT803" s="5"/>
      <c r="BV803" s="40"/>
      <c r="BW803" s="5"/>
      <c r="BY803" s="40"/>
      <c r="BZ803" s="5"/>
      <c r="CB803" s="40"/>
      <c r="CC803" s="5"/>
      <c r="CE803" s="40"/>
      <c r="CF803" s="5"/>
      <c r="CH803" s="40"/>
      <c r="CI803" s="5"/>
      <c r="CK803" s="40"/>
      <c r="CL803" s="5"/>
      <c r="CN803" s="40"/>
      <c r="CO803" s="5"/>
      <c r="CQ803" s="40"/>
      <c r="CR803" s="5"/>
    </row>
    <row r="804">
      <c r="AO804" s="40"/>
      <c r="AP804" s="5"/>
      <c r="AR804" s="40"/>
      <c r="AS804" s="5"/>
      <c r="AU804" s="40"/>
      <c r="AV804" s="5"/>
      <c r="AX804" s="40"/>
      <c r="AY804" s="5"/>
      <c r="BA804" s="40"/>
      <c r="BB804" s="5"/>
      <c r="BD804" s="40"/>
      <c r="BE804" s="5"/>
      <c r="BG804" s="40"/>
      <c r="BH804" s="5"/>
      <c r="BJ804" s="40"/>
      <c r="BK804" s="5"/>
      <c r="BM804" s="40"/>
      <c r="BN804" s="5"/>
      <c r="BP804" s="40"/>
      <c r="BQ804" s="5"/>
      <c r="BS804" s="40"/>
      <c r="BT804" s="5"/>
      <c r="BV804" s="40"/>
      <c r="BW804" s="5"/>
      <c r="BY804" s="40"/>
      <c r="BZ804" s="5"/>
      <c r="CB804" s="40"/>
      <c r="CC804" s="5"/>
      <c r="CE804" s="40"/>
      <c r="CF804" s="5"/>
      <c r="CH804" s="40"/>
      <c r="CI804" s="5"/>
      <c r="CK804" s="40"/>
      <c r="CL804" s="5"/>
      <c r="CN804" s="40"/>
      <c r="CO804" s="5"/>
      <c r="CQ804" s="40"/>
      <c r="CR804" s="5"/>
    </row>
    <row r="805">
      <c r="AO805" s="40"/>
      <c r="AP805" s="5"/>
      <c r="AR805" s="40"/>
      <c r="AS805" s="5"/>
      <c r="AU805" s="40"/>
      <c r="AV805" s="5"/>
      <c r="AX805" s="40"/>
      <c r="AY805" s="5"/>
      <c r="BA805" s="40"/>
      <c r="BB805" s="5"/>
      <c r="BD805" s="40"/>
      <c r="BE805" s="5"/>
      <c r="BG805" s="40"/>
      <c r="BH805" s="5"/>
      <c r="BJ805" s="40"/>
      <c r="BK805" s="5"/>
      <c r="BM805" s="40"/>
      <c r="BN805" s="5"/>
      <c r="BP805" s="40"/>
      <c r="BQ805" s="5"/>
      <c r="BS805" s="40"/>
      <c r="BT805" s="5"/>
      <c r="BV805" s="40"/>
      <c r="BW805" s="5"/>
      <c r="BY805" s="40"/>
      <c r="BZ805" s="5"/>
      <c r="CB805" s="40"/>
      <c r="CC805" s="5"/>
      <c r="CE805" s="40"/>
      <c r="CF805" s="5"/>
      <c r="CH805" s="40"/>
      <c r="CI805" s="5"/>
      <c r="CK805" s="40"/>
      <c r="CL805" s="5"/>
      <c r="CN805" s="40"/>
      <c r="CO805" s="5"/>
      <c r="CQ805" s="40"/>
      <c r="CR805" s="5"/>
    </row>
    <row r="806">
      <c r="AO806" s="40"/>
      <c r="AP806" s="5"/>
      <c r="AR806" s="40"/>
      <c r="AS806" s="5"/>
      <c r="AU806" s="40"/>
      <c r="AV806" s="5"/>
      <c r="AX806" s="40"/>
      <c r="AY806" s="5"/>
      <c r="BA806" s="40"/>
      <c r="BB806" s="5"/>
      <c r="BD806" s="40"/>
      <c r="BE806" s="5"/>
      <c r="BG806" s="40"/>
      <c r="BH806" s="5"/>
      <c r="BJ806" s="40"/>
      <c r="BK806" s="5"/>
      <c r="BM806" s="40"/>
      <c r="BN806" s="5"/>
      <c r="BP806" s="40"/>
      <c r="BQ806" s="5"/>
      <c r="BS806" s="40"/>
      <c r="BT806" s="5"/>
      <c r="BV806" s="40"/>
      <c r="BW806" s="5"/>
      <c r="BY806" s="40"/>
      <c r="BZ806" s="5"/>
      <c r="CB806" s="40"/>
      <c r="CC806" s="5"/>
      <c r="CE806" s="40"/>
      <c r="CF806" s="5"/>
      <c r="CH806" s="40"/>
      <c r="CI806" s="5"/>
      <c r="CK806" s="40"/>
      <c r="CL806" s="5"/>
      <c r="CN806" s="40"/>
      <c r="CO806" s="5"/>
      <c r="CQ806" s="40"/>
      <c r="CR806" s="5"/>
    </row>
    <row r="807">
      <c r="AO807" s="40"/>
      <c r="AP807" s="5"/>
      <c r="AR807" s="40"/>
      <c r="AS807" s="5"/>
      <c r="AU807" s="40"/>
      <c r="AV807" s="5"/>
      <c r="AX807" s="40"/>
      <c r="AY807" s="5"/>
      <c r="BA807" s="40"/>
      <c r="BB807" s="5"/>
      <c r="BD807" s="40"/>
      <c r="BE807" s="5"/>
      <c r="BG807" s="40"/>
      <c r="BH807" s="5"/>
      <c r="BJ807" s="40"/>
      <c r="BK807" s="5"/>
      <c r="BM807" s="40"/>
      <c r="BN807" s="5"/>
      <c r="BP807" s="40"/>
      <c r="BQ807" s="5"/>
      <c r="BS807" s="40"/>
      <c r="BT807" s="5"/>
      <c r="BV807" s="40"/>
      <c r="BW807" s="5"/>
      <c r="BY807" s="40"/>
      <c r="BZ807" s="5"/>
      <c r="CB807" s="40"/>
      <c r="CC807" s="5"/>
      <c r="CE807" s="40"/>
      <c r="CF807" s="5"/>
      <c r="CH807" s="40"/>
      <c r="CI807" s="5"/>
      <c r="CK807" s="40"/>
      <c r="CL807" s="5"/>
      <c r="CN807" s="40"/>
      <c r="CO807" s="5"/>
      <c r="CQ807" s="40"/>
      <c r="CR807" s="5"/>
    </row>
    <row r="808">
      <c r="AO808" s="40"/>
      <c r="AP808" s="5"/>
      <c r="AR808" s="40"/>
      <c r="AS808" s="5"/>
      <c r="AU808" s="40"/>
      <c r="AV808" s="5"/>
      <c r="AX808" s="40"/>
      <c r="AY808" s="5"/>
      <c r="BA808" s="40"/>
      <c r="BB808" s="5"/>
      <c r="BD808" s="40"/>
      <c r="BE808" s="5"/>
      <c r="BG808" s="40"/>
      <c r="BH808" s="5"/>
      <c r="BJ808" s="40"/>
      <c r="BK808" s="5"/>
      <c r="BM808" s="40"/>
      <c r="BN808" s="5"/>
      <c r="BP808" s="40"/>
      <c r="BQ808" s="5"/>
      <c r="BS808" s="40"/>
      <c r="BT808" s="5"/>
      <c r="BV808" s="40"/>
      <c r="BW808" s="5"/>
      <c r="BY808" s="40"/>
      <c r="BZ808" s="5"/>
      <c r="CB808" s="40"/>
      <c r="CC808" s="5"/>
      <c r="CE808" s="40"/>
      <c r="CF808" s="5"/>
      <c r="CH808" s="40"/>
      <c r="CI808" s="5"/>
      <c r="CK808" s="40"/>
      <c r="CL808" s="5"/>
      <c r="CN808" s="40"/>
      <c r="CO808" s="5"/>
      <c r="CQ808" s="40"/>
      <c r="CR808" s="5"/>
    </row>
    <row r="809">
      <c r="AO809" s="40"/>
      <c r="AP809" s="5"/>
      <c r="AR809" s="40"/>
      <c r="AS809" s="5"/>
      <c r="AU809" s="40"/>
      <c r="AV809" s="5"/>
      <c r="AX809" s="40"/>
      <c r="AY809" s="5"/>
      <c r="BA809" s="40"/>
      <c r="BB809" s="5"/>
      <c r="BD809" s="40"/>
      <c r="BE809" s="5"/>
      <c r="BG809" s="40"/>
      <c r="BH809" s="5"/>
      <c r="BJ809" s="40"/>
      <c r="BK809" s="5"/>
      <c r="BM809" s="40"/>
      <c r="BN809" s="5"/>
      <c r="BP809" s="40"/>
      <c r="BQ809" s="5"/>
      <c r="BS809" s="40"/>
      <c r="BT809" s="5"/>
      <c r="BV809" s="40"/>
      <c r="BW809" s="5"/>
      <c r="BY809" s="40"/>
      <c r="BZ809" s="5"/>
      <c r="CB809" s="40"/>
      <c r="CC809" s="5"/>
      <c r="CE809" s="40"/>
      <c r="CF809" s="5"/>
      <c r="CH809" s="40"/>
      <c r="CI809" s="5"/>
      <c r="CK809" s="40"/>
      <c r="CL809" s="5"/>
      <c r="CN809" s="40"/>
      <c r="CO809" s="5"/>
      <c r="CQ809" s="40"/>
      <c r="CR809" s="5"/>
    </row>
    <row r="810">
      <c r="AO810" s="40"/>
      <c r="AP810" s="5"/>
      <c r="AR810" s="40"/>
      <c r="AS810" s="5"/>
      <c r="AU810" s="40"/>
      <c r="AV810" s="5"/>
      <c r="AX810" s="40"/>
      <c r="AY810" s="5"/>
      <c r="BA810" s="40"/>
      <c r="BB810" s="5"/>
      <c r="BD810" s="40"/>
      <c r="BE810" s="5"/>
      <c r="BG810" s="40"/>
      <c r="BH810" s="5"/>
      <c r="BJ810" s="40"/>
      <c r="BK810" s="5"/>
      <c r="BM810" s="40"/>
      <c r="BN810" s="5"/>
      <c r="BP810" s="40"/>
      <c r="BQ810" s="5"/>
      <c r="BS810" s="40"/>
      <c r="BT810" s="5"/>
      <c r="BV810" s="40"/>
      <c r="BW810" s="5"/>
      <c r="BY810" s="40"/>
      <c r="BZ810" s="5"/>
      <c r="CB810" s="40"/>
      <c r="CC810" s="5"/>
      <c r="CE810" s="40"/>
      <c r="CF810" s="5"/>
      <c r="CH810" s="40"/>
      <c r="CI810" s="5"/>
      <c r="CK810" s="40"/>
      <c r="CL810" s="5"/>
      <c r="CN810" s="40"/>
      <c r="CO810" s="5"/>
      <c r="CQ810" s="40"/>
      <c r="CR810" s="5"/>
    </row>
    <row r="811">
      <c r="AO811" s="40"/>
      <c r="AP811" s="5"/>
      <c r="AR811" s="40"/>
      <c r="AS811" s="5"/>
      <c r="AU811" s="40"/>
      <c r="AV811" s="5"/>
      <c r="AX811" s="40"/>
      <c r="AY811" s="5"/>
      <c r="BA811" s="40"/>
      <c r="BB811" s="5"/>
      <c r="BD811" s="40"/>
      <c r="BE811" s="5"/>
      <c r="BG811" s="40"/>
      <c r="BH811" s="5"/>
      <c r="BJ811" s="40"/>
      <c r="BK811" s="5"/>
      <c r="BM811" s="40"/>
      <c r="BN811" s="5"/>
      <c r="BP811" s="40"/>
      <c r="BQ811" s="5"/>
      <c r="BS811" s="40"/>
      <c r="BT811" s="5"/>
      <c r="BV811" s="40"/>
      <c r="BW811" s="5"/>
      <c r="BY811" s="40"/>
      <c r="BZ811" s="5"/>
      <c r="CB811" s="40"/>
      <c r="CC811" s="5"/>
      <c r="CE811" s="40"/>
      <c r="CF811" s="5"/>
      <c r="CH811" s="40"/>
      <c r="CI811" s="5"/>
      <c r="CK811" s="40"/>
      <c r="CL811" s="5"/>
      <c r="CN811" s="40"/>
      <c r="CO811" s="5"/>
      <c r="CQ811" s="40"/>
      <c r="CR811" s="5"/>
    </row>
    <row r="812">
      <c r="AO812" s="40"/>
      <c r="AP812" s="5"/>
      <c r="AR812" s="40"/>
      <c r="AS812" s="5"/>
      <c r="AU812" s="40"/>
      <c r="AV812" s="5"/>
      <c r="AX812" s="40"/>
      <c r="AY812" s="5"/>
      <c r="BA812" s="40"/>
      <c r="BB812" s="5"/>
      <c r="BD812" s="40"/>
      <c r="BE812" s="5"/>
      <c r="BG812" s="40"/>
      <c r="BH812" s="5"/>
      <c r="BJ812" s="40"/>
      <c r="BK812" s="5"/>
      <c r="BM812" s="40"/>
      <c r="BN812" s="5"/>
      <c r="BP812" s="40"/>
      <c r="BQ812" s="5"/>
      <c r="BS812" s="40"/>
      <c r="BT812" s="5"/>
      <c r="BV812" s="40"/>
      <c r="BW812" s="5"/>
      <c r="BY812" s="40"/>
      <c r="BZ812" s="5"/>
      <c r="CB812" s="40"/>
      <c r="CC812" s="5"/>
      <c r="CE812" s="40"/>
      <c r="CF812" s="5"/>
      <c r="CH812" s="40"/>
      <c r="CI812" s="5"/>
      <c r="CK812" s="40"/>
      <c r="CL812" s="5"/>
      <c r="CN812" s="40"/>
      <c r="CO812" s="5"/>
      <c r="CQ812" s="40"/>
      <c r="CR812" s="5"/>
    </row>
    <row r="813">
      <c r="AO813" s="40"/>
      <c r="AP813" s="5"/>
      <c r="AR813" s="40"/>
      <c r="AS813" s="5"/>
      <c r="AU813" s="40"/>
      <c r="AV813" s="5"/>
      <c r="AX813" s="40"/>
      <c r="AY813" s="5"/>
      <c r="BA813" s="40"/>
      <c r="BB813" s="5"/>
      <c r="BD813" s="40"/>
      <c r="BE813" s="5"/>
      <c r="BG813" s="40"/>
      <c r="BH813" s="5"/>
      <c r="BJ813" s="40"/>
      <c r="BK813" s="5"/>
      <c r="BM813" s="40"/>
      <c r="BN813" s="5"/>
      <c r="BP813" s="40"/>
      <c r="BQ813" s="5"/>
      <c r="BS813" s="40"/>
      <c r="BT813" s="5"/>
      <c r="BV813" s="40"/>
      <c r="BW813" s="5"/>
      <c r="BY813" s="40"/>
      <c r="BZ813" s="5"/>
      <c r="CB813" s="40"/>
      <c r="CC813" s="5"/>
      <c r="CE813" s="40"/>
      <c r="CF813" s="5"/>
      <c r="CH813" s="40"/>
      <c r="CI813" s="5"/>
      <c r="CK813" s="40"/>
      <c r="CL813" s="5"/>
      <c r="CN813" s="40"/>
      <c r="CO813" s="5"/>
      <c r="CQ813" s="40"/>
      <c r="CR813" s="5"/>
    </row>
    <row r="814">
      <c r="AO814" s="40"/>
      <c r="AP814" s="5"/>
      <c r="AR814" s="40"/>
      <c r="AS814" s="5"/>
      <c r="AU814" s="40"/>
      <c r="AV814" s="5"/>
      <c r="AX814" s="40"/>
      <c r="AY814" s="5"/>
      <c r="BA814" s="40"/>
      <c r="BB814" s="5"/>
      <c r="BD814" s="40"/>
      <c r="BE814" s="5"/>
      <c r="BG814" s="40"/>
      <c r="BH814" s="5"/>
      <c r="BJ814" s="40"/>
      <c r="BK814" s="5"/>
      <c r="BM814" s="40"/>
      <c r="BN814" s="5"/>
      <c r="BP814" s="40"/>
      <c r="BQ814" s="5"/>
      <c r="BS814" s="40"/>
      <c r="BT814" s="5"/>
      <c r="BV814" s="40"/>
      <c r="BW814" s="5"/>
      <c r="BY814" s="40"/>
      <c r="BZ814" s="5"/>
      <c r="CB814" s="40"/>
      <c r="CC814" s="5"/>
      <c r="CE814" s="40"/>
      <c r="CF814" s="5"/>
      <c r="CH814" s="40"/>
      <c r="CI814" s="5"/>
      <c r="CK814" s="40"/>
      <c r="CL814" s="5"/>
      <c r="CN814" s="40"/>
      <c r="CO814" s="5"/>
      <c r="CQ814" s="40"/>
      <c r="CR814" s="5"/>
    </row>
    <row r="815">
      <c r="AO815" s="40"/>
      <c r="AP815" s="5"/>
      <c r="AR815" s="40"/>
      <c r="AS815" s="5"/>
      <c r="AU815" s="40"/>
      <c r="AV815" s="5"/>
      <c r="AX815" s="40"/>
      <c r="AY815" s="5"/>
      <c r="BA815" s="40"/>
      <c r="BB815" s="5"/>
      <c r="BD815" s="40"/>
      <c r="BE815" s="5"/>
      <c r="BG815" s="40"/>
      <c r="BH815" s="5"/>
      <c r="BJ815" s="40"/>
      <c r="BK815" s="5"/>
      <c r="BM815" s="40"/>
      <c r="BN815" s="5"/>
      <c r="BP815" s="40"/>
      <c r="BQ815" s="5"/>
      <c r="BS815" s="40"/>
      <c r="BT815" s="5"/>
      <c r="BV815" s="40"/>
      <c r="BW815" s="5"/>
      <c r="BY815" s="40"/>
      <c r="BZ815" s="5"/>
      <c r="CB815" s="40"/>
      <c r="CC815" s="5"/>
      <c r="CE815" s="40"/>
      <c r="CF815" s="5"/>
      <c r="CH815" s="40"/>
      <c r="CI815" s="5"/>
      <c r="CK815" s="40"/>
      <c r="CL815" s="5"/>
      <c r="CN815" s="40"/>
      <c r="CO815" s="5"/>
      <c r="CQ815" s="40"/>
      <c r="CR815" s="5"/>
    </row>
    <row r="816">
      <c r="AO816" s="40"/>
      <c r="AP816" s="5"/>
      <c r="AR816" s="40"/>
      <c r="AS816" s="5"/>
      <c r="AU816" s="40"/>
      <c r="AV816" s="5"/>
      <c r="AX816" s="40"/>
      <c r="AY816" s="5"/>
      <c r="BA816" s="40"/>
      <c r="BB816" s="5"/>
      <c r="BD816" s="40"/>
      <c r="BE816" s="5"/>
      <c r="BG816" s="40"/>
      <c r="BH816" s="5"/>
      <c r="BJ816" s="40"/>
      <c r="BK816" s="5"/>
      <c r="BM816" s="40"/>
      <c r="BN816" s="5"/>
      <c r="BP816" s="40"/>
      <c r="BQ816" s="5"/>
      <c r="BS816" s="40"/>
      <c r="BT816" s="5"/>
      <c r="BV816" s="40"/>
      <c r="BW816" s="5"/>
      <c r="BY816" s="40"/>
      <c r="BZ816" s="5"/>
      <c r="CB816" s="40"/>
      <c r="CC816" s="5"/>
      <c r="CE816" s="40"/>
      <c r="CF816" s="5"/>
      <c r="CH816" s="40"/>
      <c r="CI816" s="5"/>
      <c r="CK816" s="40"/>
      <c r="CL816" s="5"/>
      <c r="CN816" s="40"/>
      <c r="CO816" s="5"/>
      <c r="CQ816" s="40"/>
      <c r="CR816" s="5"/>
    </row>
    <row r="817">
      <c r="AO817" s="40"/>
      <c r="AP817" s="5"/>
      <c r="AR817" s="40"/>
      <c r="AS817" s="5"/>
      <c r="AU817" s="40"/>
      <c r="AV817" s="5"/>
      <c r="AX817" s="40"/>
      <c r="AY817" s="5"/>
      <c r="BA817" s="40"/>
      <c r="BB817" s="5"/>
      <c r="BD817" s="40"/>
      <c r="BE817" s="5"/>
      <c r="BG817" s="40"/>
      <c r="BH817" s="5"/>
      <c r="BJ817" s="40"/>
      <c r="BK817" s="5"/>
      <c r="BM817" s="40"/>
      <c r="BN817" s="5"/>
      <c r="BP817" s="40"/>
      <c r="BQ817" s="5"/>
      <c r="BS817" s="40"/>
      <c r="BT817" s="5"/>
      <c r="BV817" s="40"/>
      <c r="BW817" s="5"/>
      <c r="BY817" s="40"/>
      <c r="BZ817" s="5"/>
      <c r="CB817" s="40"/>
      <c r="CC817" s="5"/>
      <c r="CE817" s="40"/>
      <c r="CF817" s="5"/>
      <c r="CH817" s="40"/>
      <c r="CI817" s="5"/>
      <c r="CK817" s="40"/>
      <c r="CL817" s="5"/>
      <c r="CN817" s="40"/>
      <c r="CO817" s="5"/>
      <c r="CQ817" s="40"/>
      <c r="CR817" s="5"/>
    </row>
    <row r="818">
      <c r="AO818" s="40"/>
      <c r="AP818" s="5"/>
      <c r="AR818" s="40"/>
      <c r="AS818" s="5"/>
      <c r="AU818" s="40"/>
      <c r="AV818" s="5"/>
      <c r="AX818" s="40"/>
      <c r="AY818" s="5"/>
      <c r="BA818" s="40"/>
      <c r="BB818" s="5"/>
      <c r="BD818" s="40"/>
      <c r="BE818" s="5"/>
      <c r="BG818" s="40"/>
      <c r="BH818" s="5"/>
      <c r="BJ818" s="40"/>
      <c r="BK818" s="5"/>
      <c r="BM818" s="40"/>
      <c r="BN818" s="5"/>
      <c r="BP818" s="40"/>
      <c r="BQ818" s="5"/>
      <c r="BS818" s="40"/>
      <c r="BT818" s="5"/>
      <c r="BV818" s="40"/>
      <c r="BW818" s="5"/>
      <c r="BY818" s="40"/>
      <c r="BZ818" s="5"/>
      <c r="CB818" s="40"/>
      <c r="CC818" s="5"/>
      <c r="CE818" s="40"/>
      <c r="CF818" s="5"/>
      <c r="CH818" s="40"/>
      <c r="CI818" s="5"/>
      <c r="CK818" s="40"/>
      <c r="CL818" s="5"/>
      <c r="CN818" s="40"/>
      <c r="CO818" s="5"/>
      <c r="CQ818" s="40"/>
      <c r="CR818" s="5"/>
    </row>
    <row r="819">
      <c r="AO819" s="40"/>
      <c r="AP819" s="5"/>
      <c r="AR819" s="40"/>
      <c r="AS819" s="5"/>
      <c r="AU819" s="40"/>
      <c r="AV819" s="5"/>
      <c r="AX819" s="40"/>
      <c r="AY819" s="5"/>
      <c r="BA819" s="40"/>
      <c r="BB819" s="5"/>
      <c r="BD819" s="40"/>
      <c r="BE819" s="5"/>
      <c r="BG819" s="40"/>
      <c r="BH819" s="5"/>
      <c r="BJ819" s="40"/>
      <c r="BK819" s="5"/>
      <c r="BM819" s="40"/>
      <c r="BN819" s="5"/>
      <c r="BP819" s="40"/>
      <c r="BQ819" s="5"/>
      <c r="BS819" s="40"/>
      <c r="BT819" s="5"/>
      <c r="BV819" s="40"/>
      <c r="BW819" s="5"/>
      <c r="BY819" s="40"/>
      <c r="BZ819" s="5"/>
      <c r="CB819" s="40"/>
      <c r="CC819" s="5"/>
      <c r="CE819" s="40"/>
      <c r="CF819" s="5"/>
      <c r="CH819" s="40"/>
      <c r="CI819" s="5"/>
      <c r="CK819" s="40"/>
      <c r="CL819" s="5"/>
      <c r="CN819" s="40"/>
      <c r="CO819" s="5"/>
      <c r="CQ819" s="40"/>
      <c r="CR819" s="5"/>
    </row>
    <row r="820">
      <c r="AO820" s="40"/>
      <c r="AP820" s="5"/>
      <c r="AR820" s="40"/>
      <c r="AS820" s="5"/>
      <c r="AU820" s="40"/>
      <c r="AV820" s="5"/>
      <c r="AX820" s="40"/>
      <c r="AY820" s="5"/>
      <c r="BA820" s="40"/>
      <c r="BB820" s="5"/>
      <c r="BD820" s="40"/>
      <c r="BE820" s="5"/>
      <c r="BG820" s="40"/>
      <c r="BH820" s="5"/>
      <c r="BJ820" s="40"/>
      <c r="BK820" s="5"/>
      <c r="BM820" s="40"/>
      <c r="BN820" s="5"/>
      <c r="BP820" s="40"/>
      <c r="BQ820" s="5"/>
      <c r="BS820" s="40"/>
      <c r="BT820" s="5"/>
      <c r="BV820" s="40"/>
      <c r="BW820" s="5"/>
      <c r="BY820" s="40"/>
      <c r="BZ820" s="5"/>
      <c r="CB820" s="40"/>
      <c r="CC820" s="5"/>
      <c r="CE820" s="40"/>
      <c r="CF820" s="5"/>
      <c r="CH820" s="40"/>
      <c r="CI820" s="5"/>
      <c r="CK820" s="40"/>
      <c r="CL820" s="5"/>
      <c r="CN820" s="40"/>
      <c r="CO820" s="5"/>
      <c r="CQ820" s="40"/>
      <c r="CR820" s="5"/>
    </row>
    <row r="821">
      <c r="AO821" s="40"/>
      <c r="AP821" s="5"/>
      <c r="AR821" s="40"/>
      <c r="AS821" s="5"/>
      <c r="AU821" s="40"/>
      <c r="AV821" s="5"/>
      <c r="AX821" s="40"/>
      <c r="AY821" s="5"/>
      <c r="BA821" s="40"/>
      <c r="BB821" s="5"/>
      <c r="BD821" s="40"/>
      <c r="BE821" s="5"/>
      <c r="BG821" s="40"/>
      <c r="BH821" s="5"/>
      <c r="BJ821" s="40"/>
      <c r="BK821" s="5"/>
      <c r="BM821" s="40"/>
      <c r="BN821" s="5"/>
      <c r="BP821" s="40"/>
      <c r="BQ821" s="5"/>
      <c r="BS821" s="40"/>
      <c r="BT821" s="5"/>
      <c r="BV821" s="40"/>
      <c r="BW821" s="5"/>
      <c r="BY821" s="40"/>
      <c r="BZ821" s="5"/>
      <c r="CB821" s="40"/>
      <c r="CC821" s="5"/>
      <c r="CE821" s="40"/>
      <c r="CF821" s="5"/>
      <c r="CH821" s="40"/>
      <c r="CI821" s="5"/>
      <c r="CK821" s="40"/>
      <c r="CL821" s="5"/>
      <c r="CN821" s="40"/>
      <c r="CO821" s="5"/>
      <c r="CQ821" s="40"/>
      <c r="CR821" s="5"/>
    </row>
    <row r="822">
      <c r="AO822" s="40"/>
      <c r="AP822" s="5"/>
      <c r="AR822" s="40"/>
      <c r="AS822" s="5"/>
      <c r="AU822" s="40"/>
      <c r="AV822" s="5"/>
      <c r="AX822" s="40"/>
      <c r="AY822" s="5"/>
      <c r="BA822" s="40"/>
      <c r="BB822" s="5"/>
      <c r="BD822" s="40"/>
      <c r="BE822" s="5"/>
      <c r="BG822" s="40"/>
      <c r="BH822" s="5"/>
      <c r="BJ822" s="40"/>
      <c r="BK822" s="5"/>
      <c r="BM822" s="40"/>
      <c r="BN822" s="5"/>
      <c r="BP822" s="40"/>
      <c r="BQ822" s="5"/>
      <c r="BS822" s="40"/>
      <c r="BT822" s="5"/>
      <c r="BV822" s="40"/>
      <c r="BW822" s="5"/>
      <c r="BY822" s="40"/>
      <c r="BZ822" s="5"/>
      <c r="CB822" s="40"/>
      <c r="CC822" s="5"/>
      <c r="CE822" s="40"/>
      <c r="CF822" s="5"/>
      <c r="CH822" s="40"/>
      <c r="CI822" s="5"/>
      <c r="CK822" s="40"/>
      <c r="CL822" s="5"/>
      <c r="CN822" s="40"/>
      <c r="CO822" s="5"/>
      <c r="CQ822" s="40"/>
      <c r="CR822" s="5"/>
    </row>
    <row r="823">
      <c r="AO823" s="40"/>
      <c r="AP823" s="5"/>
      <c r="AR823" s="40"/>
      <c r="AS823" s="5"/>
      <c r="AU823" s="40"/>
      <c r="AV823" s="5"/>
      <c r="AX823" s="40"/>
      <c r="AY823" s="5"/>
      <c r="BA823" s="40"/>
      <c r="BB823" s="5"/>
      <c r="BD823" s="40"/>
      <c r="BE823" s="5"/>
      <c r="BG823" s="40"/>
      <c r="BH823" s="5"/>
      <c r="BJ823" s="40"/>
      <c r="BK823" s="5"/>
      <c r="BM823" s="40"/>
      <c r="BN823" s="5"/>
      <c r="BP823" s="40"/>
      <c r="BQ823" s="5"/>
      <c r="BS823" s="40"/>
      <c r="BT823" s="5"/>
      <c r="BV823" s="40"/>
      <c r="BW823" s="5"/>
      <c r="BY823" s="40"/>
      <c r="BZ823" s="5"/>
      <c r="CB823" s="40"/>
      <c r="CC823" s="5"/>
      <c r="CE823" s="40"/>
      <c r="CF823" s="5"/>
      <c r="CH823" s="40"/>
      <c r="CI823" s="5"/>
      <c r="CK823" s="40"/>
      <c r="CL823" s="5"/>
      <c r="CN823" s="40"/>
      <c r="CO823" s="5"/>
      <c r="CQ823" s="40"/>
      <c r="CR823" s="5"/>
    </row>
    <row r="824">
      <c r="AO824" s="40"/>
      <c r="AP824" s="5"/>
      <c r="AR824" s="40"/>
      <c r="AS824" s="5"/>
      <c r="AU824" s="40"/>
      <c r="AV824" s="5"/>
      <c r="AX824" s="40"/>
      <c r="AY824" s="5"/>
      <c r="BA824" s="40"/>
      <c r="BB824" s="5"/>
      <c r="BD824" s="40"/>
      <c r="BE824" s="5"/>
      <c r="BG824" s="40"/>
      <c r="BH824" s="5"/>
      <c r="BJ824" s="40"/>
      <c r="BK824" s="5"/>
      <c r="BM824" s="40"/>
      <c r="BN824" s="5"/>
      <c r="BP824" s="40"/>
      <c r="BQ824" s="5"/>
      <c r="BS824" s="40"/>
      <c r="BT824" s="5"/>
      <c r="BV824" s="40"/>
      <c r="BW824" s="5"/>
      <c r="BY824" s="40"/>
      <c r="BZ824" s="5"/>
      <c r="CB824" s="40"/>
      <c r="CC824" s="5"/>
      <c r="CE824" s="40"/>
      <c r="CF824" s="5"/>
      <c r="CH824" s="40"/>
      <c r="CI824" s="5"/>
      <c r="CK824" s="40"/>
      <c r="CL824" s="5"/>
      <c r="CN824" s="40"/>
      <c r="CO824" s="5"/>
      <c r="CQ824" s="40"/>
      <c r="CR824" s="5"/>
    </row>
    <row r="825">
      <c r="AO825" s="40"/>
      <c r="AP825" s="5"/>
      <c r="AR825" s="40"/>
      <c r="AS825" s="5"/>
      <c r="AU825" s="40"/>
      <c r="AV825" s="5"/>
      <c r="AX825" s="40"/>
      <c r="AY825" s="5"/>
      <c r="BA825" s="40"/>
      <c r="BB825" s="5"/>
      <c r="BD825" s="40"/>
      <c r="BE825" s="5"/>
      <c r="BG825" s="40"/>
      <c r="BH825" s="5"/>
      <c r="BJ825" s="40"/>
      <c r="BK825" s="5"/>
      <c r="BM825" s="40"/>
      <c r="BN825" s="5"/>
      <c r="BP825" s="40"/>
      <c r="BQ825" s="5"/>
      <c r="BS825" s="40"/>
      <c r="BT825" s="5"/>
      <c r="BV825" s="40"/>
      <c r="BW825" s="5"/>
      <c r="BY825" s="40"/>
      <c r="BZ825" s="5"/>
      <c r="CB825" s="40"/>
      <c r="CC825" s="5"/>
      <c r="CE825" s="40"/>
      <c r="CF825" s="5"/>
      <c r="CH825" s="40"/>
      <c r="CI825" s="5"/>
      <c r="CK825" s="40"/>
      <c r="CL825" s="5"/>
      <c r="CN825" s="40"/>
      <c r="CO825" s="5"/>
      <c r="CQ825" s="40"/>
      <c r="CR825" s="5"/>
    </row>
    <row r="826">
      <c r="AO826" s="40"/>
      <c r="AP826" s="5"/>
      <c r="AR826" s="40"/>
      <c r="AS826" s="5"/>
      <c r="AU826" s="40"/>
      <c r="AV826" s="5"/>
      <c r="AX826" s="40"/>
      <c r="AY826" s="5"/>
      <c r="BA826" s="40"/>
      <c r="BB826" s="5"/>
      <c r="BD826" s="40"/>
      <c r="BE826" s="5"/>
      <c r="BG826" s="40"/>
      <c r="BH826" s="5"/>
      <c r="BJ826" s="40"/>
      <c r="BK826" s="5"/>
      <c r="BM826" s="40"/>
      <c r="BN826" s="5"/>
      <c r="BP826" s="40"/>
      <c r="BQ826" s="5"/>
      <c r="BS826" s="40"/>
      <c r="BT826" s="5"/>
      <c r="BV826" s="40"/>
      <c r="BW826" s="5"/>
      <c r="BY826" s="40"/>
      <c r="BZ826" s="5"/>
      <c r="CB826" s="40"/>
      <c r="CC826" s="5"/>
      <c r="CE826" s="40"/>
      <c r="CF826" s="5"/>
      <c r="CH826" s="40"/>
      <c r="CI826" s="5"/>
      <c r="CK826" s="40"/>
      <c r="CL826" s="5"/>
      <c r="CN826" s="40"/>
      <c r="CO826" s="5"/>
      <c r="CQ826" s="40"/>
      <c r="CR826" s="5"/>
    </row>
    <row r="827">
      <c r="AO827" s="40"/>
      <c r="AP827" s="5"/>
      <c r="AR827" s="40"/>
      <c r="AS827" s="5"/>
      <c r="AU827" s="40"/>
      <c r="AV827" s="5"/>
      <c r="AX827" s="40"/>
      <c r="AY827" s="5"/>
      <c r="BA827" s="40"/>
      <c r="BB827" s="5"/>
      <c r="BD827" s="40"/>
      <c r="BE827" s="5"/>
      <c r="BG827" s="40"/>
      <c r="BH827" s="5"/>
      <c r="BJ827" s="40"/>
      <c r="BK827" s="5"/>
      <c r="BM827" s="40"/>
      <c r="BN827" s="5"/>
      <c r="BP827" s="40"/>
      <c r="BQ827" s="5"/>
      <c r="BS827" s="40"/>
      <c r="BT827" s="5"/>
      <c r="BV827" s="40"/>
      <c r="BW827" s="5"/>
      <c r="BY827" s="40"/>
      <c r="BZ827" s="5"/>
      <c r="CB827" s="40"/>
      <c r="CC827" s="5"/>
      <c r="CE827" s="40"/>
      <c r="CF827" s="5"/>
      <c r="CH827" s="40"/>
      <c r="CI827" s="5"/>
      <c r="CK827" s="40"/>
      <c r="CL827" s="5"/>
      <c r="CN827" s="40"/>
      <c r="CO827" s="5"/>
      <c r="CQ827" s="40"/>
      <c r="CR827" s="5"/>
    </row>
    <row r="828">
      <c r="AO828" s="40"/>
      <c r="AP828" s="5"/>
      <c r="AR828" s="40"/>
      <c r="AS828" s="5"/>
      <c r="AU828" s="40"/>
      <c r="AV828" s="5"/>
      <c r="AX828" s="40"/>
      <c r="AY828" s="5"/>
      <c r="BA828" s="40"/>
      <c r="BB828" s="5"/>
      <c r="BD828" s="40"/>
      <c r="BE828" s="5"/>
      <c r="BG828" s="40"/>
      <c r="BH828" s="5"/>
      <c r="BJ828" s="40"/>
      <c r="BK828" s="5"/>
      <c r="BM828" s="40"/>
      <c r="BN828" s="5"/>
      <c r="BP828" s="40"/>
      <c r="BQ828" s="5"/>
      <c r="BS828" s="40"/>
      <c r="BT828" s="5"/>
      <c r="BV828" s="40"/>
      <c r="BW828" s="5"/>
      <c r="BY828" s="40"/>
      <c r="BZ828" s="5"/>
      <c r="CB828" s="40"/>
      <c r="CC828" s="5"/>
      <c r="CE828" s="40"/>
      <c r="CF828" s="5"/>
      <c r="CH828" s="40"/>
      <c r="CI828" s="5"/>
      <c r="CK828" s="40"/>
      <c r="CL828" s="5"/>
      <c r="CN828" s="40"/>
      <c r="CO828" s="5"/>
      <c r="CQ828" s="40"/>
      <c r="CR828" s="5"/>
    </row>
    <row r="829">
      <c r="AO829" s="40"/>
      <c r="AP829" s="5"/>
      <c r="AR829" s="40"/>
      <c r="AS829" s="5"/>
      <c r="AU829" s="40"/>
      <c r="AV829" s="5"/>
      <c r="AX829" s="40"/>
      <c r="AY829" s="5"/>
      <c r="BA829" s="40"/>
      <c r="BB829" s="5"/>
      <c r="BD829" s="40"/>
      <c r="BE829" s="5"/>
      <c r="BG829" s="40"/>
      <c r="BH829" s="5"/>
      <c r="BJ829" s="40"/>
      <c r="BK829" s="5"/>
      <c r="BM829" s="40"/>
      <c r="BN829" s="5"/>
      <c r="BP829" s="40"/>
      <c r="BQ829" s="5"/>
      <c r="BS829" s="40"/>
      <c r="BT829" s="5"/>
      <c r="BV829" s="40"/>
      <c r="BW829" s="5"/>
      <c r="BY829" s="40"/>
      <c r="BZ829" s="5"/>
      <c r="CB829" s="40"/>
      <c r="CC829" s="5"/>
      <c r="CE829" s="40"/>
      <c r="CF829" s="5"/>
      <c r="CH829" s="40"/>
      <c r="CI829" s="5"/>
      <c r="CK829" s="40"/>
      <c r="CL829" s="5"/>
      <c r="CN829" s="40"/>
      <c r="CO829" s="5"/>
      <c r="CQ829" s="40"/>
      <c r="CR829" s="5"/>
    </row>
    <row r="830">
      <c r="AO830" s="40"/>
      <c r="AP830" s="5"/>
      <c r="AR830" s="40"/>
      <c r="AS830" s="5"/>
      <c r="AU830" s="40"/>
      <c r="AV830" s="5"/>
      <c r="AX830" s="40"/>
      <c r="AY830" s="5"/>
      <c r="BA830" s="40"/>
      <c r="BB830" s="5"/>
      <c r="BD830" s="40"/>
      <c r="BE830" s="5"/>
      <c r="BG830" s="40"/>
      <c r="BH830" s="5"/>
      <c r="BJ830" s="40"/>
      <c r="BK830" s="5"/>
      <c r="BM830" s="40"/>
      <c r="BN830" s="5"/>
      <c r="BP830" s="40"/>
      <c r="BQ830" s="5"/>
      <c r="BS830" s="40"/>
      <c r="BT830" s="5"/>
      <c r="BV830" s="40"/>
      <c r="BW830" s="5"/>
      <c r="BY830" s="40"/>
      <c r="BZ830" s="5"/>
      <c r="CB830" s="40"/>
      <c r="CC830" s="5"/>
      <c r="CE830" s="40"/>
      <c r="CF830" s="5"/>
      <c r="CH830" s="40"/>
      <c r="CI830" s="5"/>
      <c r="CK830" s="40"/>
      <c r="CL830" s="5"/>
      <c r="CN830" s="40"/>
      <c r="CO830" s="5"/>
      <c r="CQ830" s="40"/>
      <c r="CR830" s="5"/>
    </row>
    <row r="831">
      <c r="AO831" s="40"/>
      <c r="AP831" s="5"/>
      <c r="AR831" s="40"/>
      <c r="AS831" s="5"/>
      <c r="AU831" s="40"/>
      <c r="AV831" s="5"/>
      <c r="AX831" s="40"/>
      <c r="AY831" s="5"/>
      <c r="BA831" s="40"/>
      <c r="BB831" s="5"/>
      <c r="BD831" s="40"/>
      <c r="BE831" s="5"/>
      <c r="BG831" s="40"/>
      <c r="BH831" s="5"/>
      <c r="BJ831" s="40"/>
      <c r="BK831" s="5"/>
      <c r="BM831" s="40"/>
      <c r="BN831" s="5"/>
      <c r="BP831" s="40"/>
      <c r="BQ831" s="5"/>
      <c r="BS831" s="40"/>
      <c r="BT831" s="5"/>
      <c r="BV831" s="40"/>
      <c r="BW831" s="5"/>
      <c r="BY831" s="40"/>
      <c r="BZ831" s="5"/>
      <c r="CB831" s="40"/>
      <c r="CC831" s="5"/>
      <c r="CE831" s="40"/>
      <c r="CF831" s="5"/>
      <c r="CH831" s="40"/>
      <c r="CI831" s="5"/>
      <c r="CK831" s="40"/>
      <c r="CL831" s="5"/>
      <c r="CN831" s="40"/>
      <c r="CO831" s="5"/>
      <c r="CQ831" s="40"/>
      <c r="CR831" s="5"/>
    </row>
    <row r="832">
      <c r="AO832" s="40"/>
      <c r="AP832" s="5"/>
      <c r="AR832" s="40"/>
      <c r="AS832" s="5"/>
      <c r="AU832" s="40"/>
      <c r="AV832" s="5"/>
      <c r="AX832" s="40"/>
      <c r="AY832" s="5"/>
      <c r="BA832" s="40"/>
      <c r="BB832" s="5"/>
      <c r="BD832" s="40"/>
      <c r="BE832" s="5"/>
      <c r="BG832" s="40"/>
      <c r="BH832" s="5"/>
      <c r="BJ832" s="40"/>
      <c r="BK832" s="5"/>
      <c r="BM832" s="40"/>
      <c r="BN832" s="5"/>
      <c r="BP832" s="40"/>
      <c r="BQ832" s="5"/>
      <c r="BS832" s="40"/>
      <c r="BT832" s="5"/>
      <c r="BV832" s="40"/>
      <c r="BW832" s="5"/>
      <c r="BY832" s="40"/>
      <c r="BZ832" s="5"/>
      <c r="CB832" s="40"/>
      <c r="CC832" s="5"/>
      <c r="CE832" s="40"/>
      <c r="CF832" s="5"/>
      <c r="CH832" s="40"/>
      <c r="CI832" s="5"/>
      <c r="CK832" s="40"/>
      <c r="CL832" s="5"/>
      <c r="CN832" s="40"/>
      <c r="CO832" s="5"/>
      <c r="CQ832" s="40"/>
      <c r="CR832" s="5"/>
    </row>
    <row r="833">
      <c r="AO833" s="40"/>
      <c r="AP833" s="5"/>
      <c r="AR833" s="40"/>
      <c r="AS833" s="5"/>
      <c r="AU833" s="40"/>
      <c r="AV833" s="5"/>
      <c r="AX833" s="40"/>
      <c r="AY833" s="5"/>
      <c r="BA833" s="40"/>
      <c r="BB833" s="5"/>
      <c r="BD833" s="40"/>
      <c r="BE833" s="5"/>
      <c r="BG833" s="40"/>
      <c r="BH833" s="5"/>
      <c r="BJ833" s="40"/>
      <c r="BK833" s="5"/>
      <c r="BM833" s="40"/>
      <c r="BN833" s="5"/>
      <c r="BP833" s="40"/>
      <c r="BQ833" s="5"/>
      <c r="BS833" s="40"/>
      <c r="BT833" s="5"/>
      <c r="BV833" s="40"/>
      <c r="BW833" s="5"/>
      <c r="BY833" s="40"/>
      <c r="BZ833" s="5"/>
      <c r="CB833" s="40"/>
      <c r="CC833" s="5"/>
      <c r="CE833" s="40"/>
      <c r="CF833" s="5"/>
      <c r="CH833" s="40"/>
      <c r="CI833" s="5"/>
      <c r="CK833" s="40"/>
      <c r="CL833" s="5"/>
      <c r="CN833" s="40"/>
      <c r="CO833" s="5"/>
      <c r="CQ833" s="40"/>
      <c r="CR833" s="5"/>
    </row>
    <row r="834">
      <c r="AO834" s="40"/>
      <c r="AP834" s="5"/>
      <c r="AR834" s="40"/>
      <c r="AS834" s="5"/>
      <c r="AU834" s="40"/>
      <c r="AV834" s="5"/>
      <c r="AX834" s="40"/>
      <c r="AY834" s="5"/>
      <c r="BA834" s="40"/>
      <c r="BB834" s="5"/>
      <c r="BD834" s="40"/>
      <c r="BE834" s="5"/>
      <c r="BG834" s="40"/>
      <c r="BH834" s="5"/>
      <c r="BJ834" s="40"/>
      <c r="BK834" s="5"/>
      <c r="BM834" s="40"/>
      <c r="BN834" s="5"/>
      <c r="BP834" s="40"/>
      <c r="BQ834" s="5"/>
      <c r="BS834" s="40"/>
      <c r="BT834" s="5"/>
      <c r="BV834" s="40"/>
      <c r="BW834" s="5"/>
      <c r="BY834" s="40"/>
      <c r="BZ834" s="5"/>
      <c r="CB834" s="40"/>
      <c r="CC834" s="5"/>
      <c r="CE834" s="40"/>
      <c r="CF834" s="5"/>
      <c r="CH834" s="40"/>
      <c r="CI834" s="5"/>
      <c r="CK834" s="40"/>
      <c r="CL834" s="5"/>
      <c r="CN834" s="40"/>
      <c r="CO834" s="5"/>
      <c r="CQ834" s="40"/>
      <c r="CR834" s="5"/>
    </row>
    <row r="835">
      <c r="AO835" s="40"/>
      <c r="AP835" s="5"/>
      <c r="AR835" s="40"/>
      <c r="AS835" s="5"/>
      <c r="AU835" s="40"/>
      <c r="AV835" s="5"/>
      <c r="AX835" s="40"/>
      <c r="AY835" s="5"/>
      <c r="BA835" s="40"/>
      <c r="BB835" s="5"/>
      <c r="BD835" s="40"/>
      <c r="BE835" s="5"/>
      <c r="BG835" s="40"/>
      <c r="BH835" s="5"/>
      <c r="BJ835" s="40"/>
      <c r="BK835" s="5"/>
      <c r="BM835" s="40"/>
      <c r="BN835" s="5"/>
      <c r="BP835" s="40"/>
      <c r="BQ835" s="5"/>
      <c r="BS835" s="40"/>
      <c r="BT835" s="5"/>
      <c r="BV835" s="40"/>
      <c r="BW835" s="5"/>
      <c r="BY835" s="40"/>
      <c r="BZ835" s="5"/>
      <c r="CB835" s="40"/>
      <c r="CC835" s="5"/>
      <c r="CE835" s="40"/>
      <c r="CF835" s="5"/>
      <c r="CH835" s="40"/>
      <c r="CI835" s="5"/>
      <c r="CK835" s="40"/>
      <c r="CL835" s="5"/>
      <c r="CN835" s="40"/>
      <c r="CO835" s="5"/>
      <c r="CQ835" s="40"/>
      <c r="CR835" s="5"/>
    </row>
    <row r="836">
      <c r="AO836" s="40"/>
      <c r="AP836" s="5"/>
      <c r="AR836" s="40"/>
      <c r="AS836" s="5"/>
      <c r="AU836" s="40"/>
      <c r="AV836" s="5"/>
      <c r="AX836" s="40"/>
      <c r="AY836" s="5"/>
      <c r="BA836" s="40"/>
      <c r="BB836" s="5"/>
      <c r="BD836" s="40"/>
      <c r="BE836" s="5"/>
      <c r="BG836" s="40"/>
      <c r="BH836" s="5"/>
      <c r="BJ836" s="40"/>
      <c r="BK836" s="5"/>
      <c r="BM836" s="40"/>
      <c r="BN836" s="5"/>
      <c r="BP836" s="40"/>
      <c r="BQ836" s="5"/>
      <c r="BS836" s="40"/>
      <c r="BT836" s="5"/>
      <c r="BV836" s="40"/>
      <c r="BW836" s="5"/>
      <c r="BY836" s="40"/>
      <c r="BZ836" s="5"/>
      <c r="CB836" s="40"/>
      <c r="CC836" s="5"/>
      <c r="CE836" s="40"/>
      <c r="CF836" s="5"/>
      <c r="CH836" s="40"/>
      <c r="CI836" s="5"/>
      <c r="CK836" s="40"/>
      <c r="CL836" s="5"/>
      <c r="CN836" s="40"/>
      <c r="CO836" s="5"/>
      <c r="CQ836" s="40"/>
      <c r="CR836" s="5"/>
    </row>
    <row r="837">
      <c r="AO837" s="40"/>
      <c r="AP837" s="5"/>
      <c r="AR837" s="40"/>
      <c r="AS837" s="5"/>
      <c r="AU837" s="40"/>
      <c r="AV837" s="5"/>
      <c r="AX837" s="40"/>
      <c r="AY837" s="5"/>
      <c r="BA837" s="40"/>
      <c r="BB837" s="5"/>
      <c r="BD837" s="40"/>
      <c r="BE837" s="5"/>
      <c r="BG837" s="40"/>
      <c r="BH837" s="5"/>
      <c r="BJ837" s="40"/>
      <c r="BK837" s="5"/>
      <c r="BM837" s="40"/>
      <c r="BN837" s="5"/>
      <c r="BP837" s="40"/>
      <c r="BQ837" s="5"/>
      <c r="BS837" s="40"/>
      <c r="BT837" s="5"/>
      <c r="BV837" s="40"/>
      <c r="BW837" s="5"/>
      <c r="BY837" s="40"/>
      <c r="BZ837" s="5"/>
      <c r="CB837" s="40"/>
      <c r="CC837" s="5"/>
      <c r="CE837" s="40"/>
      <c r="CF837" s="5"/>
      <c r="CH837" s="40"/>
      <c r="CI837" s="5"/>
      <c r="CK837" s="40"/>
      <c r="CL837" s="5"/>
      <c r="CN837" s="40"/>
      <c r="CO837" s="5"/>
      <c r="CQ837" s="40"/>
      <c r="CR837" s="5"/>
    </row>
    <row r="838">
      <c r="AO838" s="40"/>
      <c r="AP838" s="5"/>
      <c r="AR838" s="40"/>
      <c r="AS838" s="5"/>
      <c r="AU838" s="40"/>
      <c r="AV838" s="5"/>
      <c r="AX838" s="40"/>
      <c r="AY838" s="5"/>
      <c r="BA838" s="40"/>
      <c r="BB838" s="5"/>
      <c r="BD838" s="40"/>
      <c r="BE838" s="5"/>
      <c r="BG838" s="40"/>
      <c r="BH838" s="5"/>
      <c r="BJ838" s="40"/>
      <c r="BK838" s="5"/>
      <c r="BM838" s="40"/>
      <c r="BN838" s="5"/>
      <c r="BP838" s="40"/>
      <c r="BQ838" s="5"/>
      <c r="BS838" s="40"/>
      <c r="BT838" s="5"/>
      <c r="BV838" s="40"/>
      <c r="BW838" s="5"/>
      <c r="BY838" s="40"/>
      <c r="BZ838" s="5"/>
      <c r="CB838" s="40"/>
      <c r="CC838" s="5"/>
      <c r="CE838" s="40"/>
      <c r="CF838" s="5"/>
      <c r="CH838" s="40"/>
      <c r="CI838" s="5"/>
      <c r="CK838" s="40"/>
      <c r="CL838" s="5"/>
      <c r="CN838" s="40"/>
      <c r="CO838" s="5"/>
      <c r="CQ838" s="40"/>
      <c r="CR838" s="5"/>
    </row>
    <row r="839">
      <c r="AO839" s="40"/>
      <c r="AP839" s="5"/>
      <c r="AR839" s="40"/>
      <c r="AS839" s="5"/>
      <c r="AU839" s="40"/>
      <c r="AV839" s="5"/>
      <c r="AX839" s="40"/>
      <c r="AY839" s="5"/>
      <c r="BA839" s="40"/>
      <c r="BB839" s="5"/>
      <c r="BD839" s="40"/>
      <c r="BE839" s="5"/>
      <c r="BG839" s="40"/>
      <c r="BH839" s="5"/>
      <c r="BJ839" s="40"/>
      <c r="BK839" s="5"/>
      <c r="BM839" s="40"/>
      <c r="BN839" s="5"/>
      <c r="BP839" s="40"/>
      <c r="BQ839" s="5"/>
      <c r="BS839" s="40"/>
      <c r="BT839" s="5"/>
      <c r="BV839" s="40"/>
      <c r="BW839" s="5"/>
      <c r="BY839" s="40"/>
      <c r="BZ839" s="5"/>
      <c r="CB839" s="40"/>
      <c r="CC839" s="5"/>
      <c r="CE839" s="40"/>
      <c r="CF839" s="5"/>
      <c r="CH839" s="40"/>
      <c r="CI839" s="5"/>
      <c r="CK839" s="40"/>
      <c r="CL839" s="5"/>
      <c r="CN839" s="40"/>
      <c r="CO839" s="5"/>
      <c r="CQ839" s="40"/>
      <c r="CR839" s="5"/>
    </row>
    <row r="840">
      <c r="AO840" s="40"/>
      <c r="AP840" s="5"/>
      <c r="AR840" s="40"/>
      <c r="AS840" s="5"/>
      <c r="AU840" s="40"/>
      <c r="AV840" s="5"/>
      <c r="AX840" s="40"/>
      <c r="AY840" s="5"/>
      <c r="BA840" s="40"/>
      <c r="BB840" s="5"/>
      <c r="BD840" s="40"/>
      <c r="BE840" s="5"/>
      <c r="BG840" s="40"/>
      <c r="BH840" s="5"/>
      <c r="BJ840" s="40"/>
      <c r="BK840" s="5"/>
      <c r="BM840" s="40"/>
      <c r="BN840" s="5"/>
      <c r="BP840" s="40"/>
      <c r="BQ840" s="5"/>
      <c r="BS840" s="40"/>
      <c r="BT840" s="5"/>
      <c r="BV840" s="40"/>
      <c r="BW840" s="5"/>
      <c r="BY840" s="40"/>
      <c r="BZ840" s="5"/>
      <c r="CB840" s="40"/>
      <c r="CC840" s="5"/>
      <c r="CE840" s="40"/>
      <c r="CF840" s="5"/>
      <c r="CH840" s="40"/>
      <c r="CI840" s="5"/>
      <c r="CK840" s="40"/>
      <c r="CL840" s="5"/>
      <c r="CN840" s="40"/>
      <c r="CO840" s="5"/>
      <c r="CQ840" s="40"/>
      <c r="CR840" s="5"/>
    </row>
    <row r="841">
      <c r="AO841" s="40"/>
      <c r="AP841" s="5"/>
      <c r="AR841" s="40"/>
      <c r="AS841" s="5"/>
      <c r="AU841" s="40"/>
      <c r="AV841" s="5"/>
      <c r="AX841" s="40"/>
      <c r="AY841" s="5"/>
      <c r="BA841" s="40"/>
      <c r="BB841" s="5"/>
      <c r="BD841" s="40"/>
      <c r="BE841" s="5"/>
      <c r="BG841" s="40"/>
      <c r="BH841" s="5"/>
      <c r="BJ841" s="40"/>
      <c r="BK841" s="5"/>
      <c r="BM841" s="40"/>
      <c r="BN841" s="5"/>
      <c r="BP841" s="40"/>
      <c r="BQ841" s="5"/>
      <c r="BS841" s="40"/>
      <c r="BT841" s="5"/>
      <c r="BV841" s="40"/>
      <c r="BW841" s="5"/>
      <c r="BY841" s="40"/>
      <c r="BZ841" s="5"/>
      <c r="CB841" s="40"/>
      <c r="CC841" s="5"/>
      <c r="CE841" s="40"/>
      <c r="CF841" s="5"/>
      <c r="CH841" s="40"/>
      <c r="CI841" s="5"/>
      <c r="CK841" s="40"/>
      <c r="CL841" s="5"/>
      <c r="CN841" s="40"/>
      <c r="CO841" s="5"/>
      <c r="CQ841" s="40"/>
      <c r="CR841" s="5"/>
    </row>
    <row r="842">
      <c r="AO842" s="40"/>
      <c r="AP842" s="5"/>
      <c r="AR842" s="40"/>
      <c r="AS842" s="5"/>
      <c r="AU842" s="40"/>
      <c r="AV842" s="5"/>
      <c r="AX842" s="40"/>
      <c r="AY842" s="5"/>
      <c r="BA842" s="40"/>
      <c r="BB842" s="5"/>
      <c r="BD842" s="40"/>
      <c r="BE842" s="5"/>
      <c r="BG842" s="40"/>
      <c r="BH842" s="5"/>
      <c r="BJ842" s="40"/>
      <c r="BK842" s="5"/>
      <c r="BM842" s="40"/>
      <c r="BN842" s="5"/>
      <c r="BP842" s="40"/>
      <c r="BQ842" s="5"/>
      <c r="BS842" s="40"/>
      <c r="BT842" s="5"/>
      <c r="BV842" s="40"/>
      <c r="BW842" s="5"/>
      <c r="BY842" s="40"/>
      <c r="BZ842" s="5"/>
      <c r="CB842" s="40"/>
      <c r="CC842" s="5"/>
      <c r="CE842" s="40"/>
      <c r="CF842" s="5"/>
      <c r="CH842" s="40"/>
      <c r="CI842" s="5"/>
      <c r="CK842" s="40"/>
      <c r="CL842" s="5"/>
      <c r="CN842" s="40"/>
      <c r="CO842" s="5"/>
      <c r="CQ842" s="40"/>
      <c r="CR842" s="5"/>
    </row>
    <row r="843">
      <c r="AO843" s="40"/>
      <c r="AP843" s="5"/>
      <c r="AR843" s="40"/>
      <c r="AS843" s="5"/>
      <c r="AU843" s="40"/>
      <c r="AV843" s="5"/>
      <c r="AX843" s="40"/>
      <c r="AY843" s="5"/>
      <c r="BA843" s="40"/>
      <c r="BB843" s="5"/>
      <c r="BD843" s="40"/>
      <c r="BE843" s="5"/>
      <c r="BG843" s="40"/>
      <c r="BH843" s="5"/>
      <c r="BJ843" s="40"/>
      <c r="BK843" s="5"/>
      <c r="BM843" s="40"/>
      <c r="BN843" s="5"/>
      <c r="BP843" s="40"/>
      <c r="BQ843" s="5"/>
      <c r="BS843" s="40"/>
      <c r="BT843" s="5"/>
      <c r="BV843" s="40"/>
      <c r="BW843" s="5"/>
      <c r="BY843" s="40"/>
      <c r="BZ843" s="5"/>
      <c r="CB843" s="40"/>
      <c r="CC843" s="5"/>
      <c r="CE843" s="40"/>
      <c r="CF843" s="5"/>
      <c r="CH843" s="40"/>
      <c r="CI843" s="5"/>
      <c r="CK843" s="40"/>
      <c r="CL843" s="5"/>
      <c r="CN843" s="40"/>
      <c r="CO843" s="5"/>
      <c r="CQ843" s="40"/>
      <c r="CR843" s="5"/>
    </row>
    <row r="844">
      <c r="AO844" s="40"/>
      <c r="AP844" s="5"/>
      <c r="AR844" s="40"/>
      <c r="AS844" s="5"/>
      <c r="AU844" s="40"/>
      <c r="AV844" s="5"/>
      <c r="AX844" s="40"/>
      <c r="AY844" s="5"/>
      <c r="BA844" s="40"/>
      <c r="BB844" s="5"/>
      <c r="BD844" s="40"/>
      <c r="BE844" s="5"/>
      <c r="BG844" s="40"/>
      <c r="BH844" s="5"/>
      <c r="BJ844" s="40"/>
      <c r="BK844" s="5"/>
      <c r="BM844" s="40"/>
      <c r="BN844" s="5"/>
      <c r="BP844" s="40"/>
      <c r="BQ844" s="5"/>
      <c r="BS844" s="40"/>
      <c r="BT844" s="5"/>
      <c r="BV844" s="40"/>
      <c r="BW844" s="5"/>
      <c r="BY844" s="40"/>
      <c r="BZ844" s="5"/>
      <c r="CB844" s="40"/>
      <c r="CC844" s="5"/>
      <c r="CE844" s="40"/>
      <c r="CF844" s="5"/>
      <c r="CH844" s="40"/>
      <c r="CI844" s="5"/>
      <c r="CK844" s="40"/>
      <c r="CL844" s="5"/>
      <c r="CN844" s="40"/>
      <c r="CO844" s="5"/>
      <c r="CQ844" s="40"/>
      <c r="CR844" s="5"/>
    </row>
    <row r="845">
      <c r="AO845" s="40"/>
      <c r="AP845" s="5"/>
      <c r="AR845" s="40"/>
      <c r="AS845" s="5"/>
      <c r="AU845" s="40"/>
      <c r="AV845" s="5"/>
      <c r="AX845" s="40"/>
      <c r="AY845" s="5"/>
      <c r="BA845" s="40"/>
      <c r="BB845" s="5"/>
      <c r="BD845" s="40"/>
      <c r="BE845" s="5"/>
      <c r="BG845" s="40"/>
      <c r="BH845" s="5"/>
      <c r="BJ845" s="40"/>
      <c r="BK845" s="5"/>
      <c r="BM845" s="40"/>
      <c r="BN845" s="5"/>
      <c r="BP845" s="40"/>
      <c r="BQ845" s="5"/>
      <c r="BS845" s="40"/>
      <c r="BT845" s="5"/>
      <c r="BV845" s="40"/>
      <c r="BW845" s="5"/>
      <c r="BY845" s="40"/>
      <c r="BZ845" s="5"/>
      <c r="CB845" s="40"/>
      <c r="CC845" s="5"/>
      <c r="CE845" s="40"/>
      <c r="CF845" s="5"/>
      <c r="CH845" s="40"/>
      <c r="CI845" s="5"/>
      <c r="CK845" s="40"/>
      <c r="CL845" s="5"/>
      <c r="CN845" s="40"/>
      <c r="CO845" s="5"/>
      <c r="CQ845" s="40"/>
      <c r="CR845" s="5"/>
    </row>
    <row r="846">
      <c r="AO846" s="40"/>
      <c r="AP846" s="5"/>
      <c r="AR846" s="40"/>
      <c r="AS846" s="5"/>
      <c r="AU846" s="40"/>
      <c r="AV846" s="5"/>
      <c r="AX846" s="40"/>
      <c r="AY846" s="5"/>
      <c r="BA846" s="40"/>
      <c r="BB846" s="5"/>
      <c r="BD846" s="40"/>
      <c r="BE846" s="5"/>
      <c r="BG846" s="40"/>
      <c r="BH846" s="5"/>
      <c r="BJ846" s="40"/>
      <c r="BK846" s="5"/>
      <c r="BM846" s="40"/>
      <c r="BN846" s="5"/>
      <c r="BP846" s="40"/>
      <c r="BQ846" s="5"/>
      <c r="BS846" s="40"/>
      <c r="BT846" s="5"/>
      <c r="BV846" s="40"/>
      <c r="BW846" s="5"/>
      <c r="BY846" s="40"/>
      <c r="BZ846" s="5"/>
      <c r="CB846" s="40"/>
      <c r="CC846" s="5"/>
      <c r="CE846" s="40"/>
      <c r="CF846" s="5"/>
      <c r="CH846" s="40"/>
      <c r="CI846" s="5"/>
      <c r="CK846" s="40"/>
      <c r="CL846" s="5"/>
      <c r="CN846" s="40"/>
      <c r="CO846" s="5"/>
      <c r="CQ846" s="40"/>
      <c r="CR846" s="5"/>
    </row>
    <row r="847">
      <c r="AO847" s="40"/>
      <c r="AP847" s="5"/>
      <c r="AR847" s="40"/>
      <c r="AS847" s="5"/>
      <c r="AU847" s="40"/>
      <c r="AV847" s="5"/>
      <c r="AX847" s="40"/>
      <c r="AY847" s="5"/>
      <c r="BA847" s="40"/>
      <c r="BB847" s="5"/>
      <c r="BD847" s="40"/>
      <c r="BE847" s="5"/>
      <c r="BG847" s="40"/>
      <c r="BH847" s="5"/>
      <c r="BJ847" s="40"/>
      <c r="BK847" s="5"/>
      <c r="BM847" s="40"/>
      <c r="BN847" s="5"/>
      <c r="BP847" s="40"/>
      <c r="BQ847" s="5"/>
      <c r="BS847" s="40"/>
      <c r="BT847" s="5"/>
      <c r="BV847" s="40"/>
      <c r="BW847" s="5"/>
      <c r="BY847" s="40"/>
      <c r="BZ847" s="5"/>
      <c r="CB847" s="40"/>
      <c r="CC847" s="5"/>
      <c r="CE847" s="40"/>
      <c r="CF847" s="5"/>
      <c r="CH847" s="40"/>
      <c r="CI847" s="5"/>
      <c r="CK847" s="40"/>
      <c r="CL847" s="5"/>
      <c r="CN847" s="40"/>
      <c r="CO847" s="5"/>
      <c r="CQ847" s="40"/>
      <c r="CR847" s="5"/>
    </row>
    <row r="848">
      <c r="AO848" s="40"/>
      <c r="AP848" s="5"/>
      <c r="AR848" s="40"/>
      <c r="AS848" s="5"/>
      <c r="AU848" s="40"/>
      <c r="AV848" s="5"/>
      <c r="AX848" s="40"/>
      <c r="AY848" s="5"/>
      <c r="BA848" s="40"/>
      <c r="BB848" s="5"/>
      <c r="BD848" s="40"/>
      <c r="BE848" s="5"/>
      <c r="BG848" s="40"/>
      <c r="BH848" s="5"/>
      <c r="BJ848" s="40"/>
      <c r="BK848" s="5"/>
      <c r="BM848" s="40"/>
      <c r="BN848" s="5"/>
      <c r="BP848" s="40"/>
      <c r="BQ848" s="5"/>
      <c r="BS848" s="40"/>
      <c r="BT848" s="5"/>
      <c r="BV848" s="40"/>
      <c r="BW848" s="5"/>
      <c r="BY848" s="40"/>
      <c r="BZ848" s="5"/>
      <c r="CB848" s="40"/>
      <c r="CC848" s="5"/>
      <c r="CE848" s="40"/>
      <c r="CF848" s="5"/>
      <c r="CH848" s="40"/>
      <c r="CI848" s="5"/>
      <c r="CK848" s="40"/>
      <c r="CL848" s="5"/>
      <c r="CN848" s="40"/>
      <c r="CO848" s="5"/>
      <c r="CQ848" s="40"/>
      <c r="CR848" s="5"/>
    </row>
    <row r="849">
      <c r="AO849" s="40"/>
      <c r="AP849" s="5"/>
      <c r="AR849" s="40"/>
      <c r="AS849" s="5"/>
      <c r="AU849" s="40"/>
      <c r="AV849" s="5"/>
      <c r="AX849" s="40"/>
      <c r="AY849" s="5"/>
      <c r="BA849" s="40"/>
      <c r="BB849" s="5"/>
      <c r="BD849" s="40"/>
      <c r="BE849" s="5"/>
      <c r="BG849" s="40"/>
      <c r="BH849" s="5"/>
      <c r="BJ849" s="40"/>
      <c r="BK849" s="5"/>
      <c r="BM849" s="40"/>
      <c r="BN849" s="5"/>
      <c r="BP849" s="40"/>
      <c r="BQ849" s="5"/>
      <c r="BS849" s="40"/>
      <c r="BT849" s="5"/>
      <c r="BV849" s="40"/>
      <c r="BW849" s="5"/>
      <c r="BY849" s="40"/>
      <c r="BZ849" s="5"/>
      <c r="CB849" s="40"/>
      <c r="CC849" s="5"/>
      <c r="CE849" s="40"/>
      <c r="CF849" s="5"/>
      <c r="CH849" s="40"/>
      <c r="CI849" s="5"/>
      <c r="CK849" s="40"/>
      <c r="CL849" s="5"/>
      <c r="CN849" s="40"/>
      <c r="CO849" s="5"/>
      <c r="CQ849" s="40"/>
      <c r="CR849" s="5"/>
    </row>
    <row r="850">
      <c r="AO850" s="40"/>
      <c r="AP850" s="5"/>
      <c r="AR850" s="40"/>
      <c r="AS850" s="5"/>
      <c r="AU850" s="40"/>
      <c r="AV850" s="5"/>
      <c r="AX850" s="40"/>
      <c r="AY850" s="5"/>
      <c r="BA850" s="40"/>
      <c r="BB850" s="5"/>
      <c r="BD850" s="40"/>
      <c r="BE850" s="5"/>
      <c r="BG850" s="40"/>
      <c r="BH850" s="5"/>
      <c r="BJ850" s="40"/>
      <c r="BK850" s="5"/>
      <c r="BM850" s="40"/>
      <c r="BN850" s="5"/>
      <c r="BP850" s="40"/>
      <c r="BQ850" s="5"/>
      <c r="BS850" s="40"/>
      <c r="BT850" s="5"/>
      <c r="BV850" s="40"/>
      <c r="BW850" s="5"/>
      <c r="BY850" s="40"/>
      <c r="BZ850" s="5"/>
      <c r="CB850" s="40"/>
      <c r="CC850" s="5"/>
      <c r="CE850" s="40"/>
      <c r="CF850" s="5"/>
      <c r="CH850" s="40"/>
      <c r="CI850" s="5"/>
      <c r="CK850" s="40"/>
      <c r="CL850" s="5"/>
      <c r="CN850" s="40"/>
      <c r="CO850" s="5"/>
      <c r="CQ850" s="40"/>
      <c r="CR850" s="5"/>
    </row>
    <row r="851">
      <c r="AO851" s="40"/>
      <c r="AP851" s="5"/>
      <c r="AR851" s="40"/>
      <c r="AS851" s="5"/>
      <c r="AU851" s="40"/>
      <c r="AV851" s="5"/>
      <c r="AX851" s="40"/>
      <c r="AY851" s="5"/>
      <c r="BA851" s="40"/>
      <c r="BB851" s="5"/>
      <c r="BD851" s="40"/>
      <c r="BE851" s="5"/>
      <c r="BG851" s="40"/>
      <c r="BH851" s="5"/>
      <c r="BJ851" s="40"/>
      <c r="BK851" s="5"/>
      <c r="BM851" s="40"/>
      <c r="BN851" s="5"/>
      <c r="BP851" s="40"/>
      <c r="BQ851" s="5"/>
      <c r="BS851" s="40"/>
      <c r="BT851" s="5"/>
      <c r="BV851" s="40"/>
      <c r="BW851" s="5"/>
      <c r="BY851" s="40"/>
      <c r="BZ851" s="5"/>
      <c r="CB851" s="40"/>
      <c r="CC851" s="5"/>
      <c r="CE851" s="40"/>
      <c r="CF851" s="5"/>
      <c r="CH851" s="40"/>
      <c r="CI851" s="5"/>
      <c r="CK851" s="40"/>
      <c r="CL851" s="5"/>
      <c r="CN851" s="40"/>
      <c r="CO851" s="5"/>
      <c r="CQ851" s="40"/>
      <c r="CR851" s="5"/>
    </row>
    <row r="852">
      <c r="AO852" s="40"/>
      <c r="AP852" s="5"/>
      <c r="AR852" s="40"/>
      <c r="AS852" s="5"/>
      <c r="AU852" s="40"/>
      <c r="AV852" s="5"/>
      <c r="AX852" s="40"/>
      <c r="AY852" s="5"/>
      <c r="BA852" s="40"/>
      <c r="BB852" s="5"/>
      <c r="BD852" s="40"/>
      <c r="BE852" s="5"/>
      <c r="BG852" s="40"/>
      <c r="BH852" s="5"/>
      <c r="BJ852" s="40"/>
      <c r="BK852" s="5"/>
      <c r="BM852" s="40"/>
      <c r="BN852" s="5"/>
      <c r="BP852" s="40"/>
      <c r="BQ852" s="5"/>
      <c r="BS852" s="40"/>
      <c r="BT852" s="5"/>
      <c r="BV852" s="40"/>
      <c r="BW852" s="5"/>
      <c r="BY852" s="40"/>
      <c r="BZ852" s="5"/>
      <c r="CB852" s="40"/>
      <c r="CC852" s="5"/>
      <c r="CE852" s="40"/>
      <c r="CF852" s="5"/>
      <c r="CH852" s="40"/>
      <c r="CI852" s="5"/>
      <c r="CK852" s="40"/>
      <c r="CL852" s="5"/>
      <c r="CN852" s="40"/>
      <c r="CO852" s="5"/>
      <c r="CQ852" s="40"/>
      <c r="CR852" s="5"/>
    </row>
    <row r="853">
      <c r="AO853" s="40"/>
      <c r="AP853" s="5"/>
      <c r="AR853" s="40"/>
      <c r="AS853" s="5"/>
      <c r="AU853" s="40"/>
      <c r="AV853" s="5"/>
      <c r="AX853" s="40"/>
      <c r="AY853" s="5"/>
      <c r="BA853" s="40"/>
      <c r="BB853" s="5"/>
      <c r="BD853" s="40"/>
      <c r="BE853" s="5"/>
      <c r="BG853" s="40"/>
      <c r="BH853" s="5"/>
      <c r="BJ853" s="40"/>
      <c r="BK853" s="5"/>
      <c r="BM853" s="40"/>
      <c r="BN853" s="5"/>
      <c r="BP853" s="40"/>
      <c r="BQ853" s="5"/>
      <c r="BS853" s="40"/>
      <c r="BT853" s="5"/>
      <c r="BV853" s="40"/>
      <c r="BW853" s="5"/>
      <c r="BY853" s="40"/>
      <c r="BZ853" s="5"/>
      <c r="CB853" s="40"/>
      <c r="CC853" s="5"/>
      <c r="CE853" s="40"/>
      <c r="CF853" s="5"/>
      <c r="CH853" s="40"/>
      <c r="CI853" s="5"/>
      <c r="CK853" s="40"/>
      <c r="CL853" s="5"/>
      <c r="CN853" s="40"/>
      <c r="CO853" s="5"/>
      <c r="CQ853" s="40"/>
      <c r="CR853" s="5"/>
    </row>
    <row r="854">
      <c r="AO854" s="40"/>
      <c r="AP854" s="5"/>
      <c r="AR854" s="40"/>
      <c r="AS854" s="5"/>
      <c r="AU854" s="40"/>
      <c r="AV854" s="5"/>
      <c r="AX854" s="40"/>
      <c r="AY854" s="5"/>
      <c r="BA854" s="40"/>
      <c r="BB854" s="5"/>
      <c r="BD854" s="40"/>
      <c r="BE854" s="5"/>
      <c r="BG854" s="40"/>
      <c r="BH854" s="5"/>
      <c r="BJ854" s="40"/>
      <c r="BK854" s="5"/>
      <c r="BM854" s="40"/>
      <c r="BN854" s="5"/>
      <c r="BP854" s="40"/>
      <c r="BQ854" s="5"/>
      <c r="BS854" s="40"/>
      <c r="BT854" s="5"/>
      <c r="BV854" s="40"/>
      <c r="BW854" s="5"/>
      <c r="BY854" s="40"/>
      <c r="BZ854" s="5"/>
      <c r="CB854" s="40"/>
      <c r="CC854" s="5"/>
      <c r="CE854" s="40"/>
      <c r="CF854" s="5"/>
      <c r="CH854" s="40"/>
      <c r="CI854" s="5"/>
      <c r="CK854" s="40"/>
      <c r="CL854" s="5"/>
      <c r="CN854" s="40"/>
      <c r="CO854" s="5"/>
      <c r="CQ854" s="40"/>
      <c r="CR854" s="5"/>
    </row>
    <row r="855">
      <c r="AO855" s="40"/>
      <c r="AP855" s="5"/>
      <c r="AR855" s="40"/>
      <c r="AS855" s="5"/>
      <c r="AU855" s="40"/>
      <c r="AV855" s="5"/>
      <c r="AX855" s="40"/>
      <c r="AY855" s="5"/>
      <c r="BA855" s="40"/>
      <c r="BB855" s="5"/>
      <c r="BD855" s="40"/>
      <c r="BE855" s="5"/>
      <c r="BG855" s="40"/>
      <c r="BH855" s="5"/>
      <c r="BJ855" s="40"/>
      <c r="BK855" s="5"/>
      <c r="BM855" s="40"/>
      <c r="BN855" s="5"/>
      <c r="BP855" s="40"/>
      <c r="BQ855" s="5"/>
      <c r="BS855" s="40"/>
      <c r="BT855" s="5"/>
      <c r="BV855" s="40"/>
      <c r="BW855" s="5"/>
      <c r="BY855" s="40"/>
      <c r="BZ855" s="5"/>
      <c r="CB855" s="40"/>
      <c r="CC855" s="5"/>
      <c r="CE855" s="40"/>
      <c r="CF855" s="5"/>
      <c r="CH855" s="40"/>
      <c r="CI855" s="5"/>
      <c r="CK855" s="40"/>
      <c r="CL855" s="5"/>
      <c r="CN855" s="40"/>
      <c r="CO855" s="5"/>
      <c r="CQ855" s="40"/>
      <c r="CR855" s="5"/>
    </row>
    <row r="856">
      <c r="AO856" s="40"/>
      <c r="AP856" s="5"/>
      <c r="AR856" s="40"/>
      <c r="AS856" s="5"/>
      <c r="AU856" s="40"/>
      <c r="AV856" s="5"/>
      <c r="AX856" s="40"/>
      <c r="AY856" s="5"/>
      <c r="BA856" s="40"/>
      <c r="BB856" s="5"/>
      <c r="BD856" s="40"/>
      <c r="BE856" s="5"/>
      <c r="BG856" s="40"/>
      <c r="BH856" s="5"/>
      <c r="BJ856" s="40"/>
      <c r="BK856" s="5"/>
      <c r="BM856" s="40"/>
      <c r="BN856" s="5"/>
      <c r="BP856" s="40"/>
      <c r="BQ856" s="5"/>
      <c r="BS856" s="40"/>
      <c r="BT856" s="5"/>
      <c r="BV856" s="40"/>
      <c r="BW856" s="5"/>
      <c r="BY856" s="40"/>
      <c r="BZ856" s="5"/>
      <c r="CB856" s="40"/>
      <c r="CC856" s="5"/>
      <c r="CE856" s="40"/>
      <c r="CF856" s="5"/>
      <c r="CH856" s="40"/>
      <c r="CI856" s="5"/>
      <c r="CK856" s="40"/>
      <c r="CL856" s="5"/>
      <c r="CN856" s="40"/>
      <c r="CO856" s="5"/>
      <c r="CQ856" s="40"/>
      <c r="CR856" s="5"/>
    </row>
    <row r="857">
      <c r="AO857" s="40"/>
      <c r="AP857" s="5"/>
      <c r="AR857" s="40"/>
      <c r="AS857" s="5"/>
      <c r="AU857" s="40"/>
      <c r="AV857" s="5"/>
      <c r="AX857" s="40"/>
      <c r="AY857" s="5"/>
      <c r="BA857" s="40"/>
      <c r="BB857" s="5"/>
      <c r="BD857" s="40"/>
      <c r="BE857" s="5"/>
      <c r="BG857" s="40"/>
      <c r="BH857" s="5"/>
      <c r="BJ857" s="40"/>
      <c r="BK857" s="5"/>
      <c r="BM857" s="40"/>
      <c r="BN857" s="5"/>
      <c r="BP857" s="40"/>
      <c r="BQ857" s="5"/>
      <c r="BS857" s="40"/>
      <c r="BT857" s="5"/>
      <c r="BV857" s="40"/>
      <c r="BW857" s="5"/>
      <c r="BY857" s="40"/>
      <c r="BZ857" s="5"/>
      <c r="CB857" s="40"/>
      <c r="CC857" s="5"/>
      <c r="CE857" s="40"/>
      <c r="CF857" s="5"/>
      <c r="CH857" s="40"/>
      <c r="CI857" s="5"/>
      <c r="CK857" s="40"/>
      <c r="CL857" s="5"/>
      <c r="CN857" s="40"/>
      <c r="CO857" s="5"/>
      <c r="CQ857" s="40"/>
      <c r="CR857" s="5"/>
    </row>
    <row r="858">
      <c r="AO858" s="40"/>
      <c r="AP858" s="5"/>
      <c r="AR858" s="40"/>
      <c r="AS858" s="5"/>
      <c r="AU858" s="40"/>
      <c r="AV858" s="5"/>
      <c r="AX858" s="40"/>
      <c r="AY858" s="5"/>
      <c r="BA858" s="40"/>
      <c r="BB858" s="5"/>
      <c r="BD858" s="40"/>
      <c r="BE858" s="5"/>
      <c r="BG858" s="40"/>
      <c r="BH858" s="5"/>
      <c r="BJ858" s="40"/>
      <c r="BK858" s="5"/>
      <c r="BM858" s="40"/>
      <c r="BN858" s="5"/>
      <c r="BP858" s="40"/>
      <c r="BQ858" s="5"/>
      <c r="BS858" s="40"/>
      <c r="BT858" s="5"/>
      <c r="BV858" s="40"/>
      <c r="BW858" s="5"/>
      <c r="BY858" s="40"/>
      <c r="BZ858" s="5"/>
      <c r="CB858" s="40"/>
      <c r="CC858" s="5"/>
      <c r="CE858" s="40"/>
      <c r="CF858" s="5"/>
      <c r="CH858" s="40"/>
      <c r="CI858" s="5"/>
      <c r="CK858" s="40"/>
      <c r="CL858" s="5"/>
      <c r="CN858" s="40"/>
      <c r="CO858" s="5"/>
      <c r="CQ858" s="40"/>
      <c r="CR858" s="5"/>
    </row>
    <row r="859">
      <c r="AO859" s="40"/>
      <c r="AP859" s="5"/>
      <c r="AR859" s="40"/>
      <c r="AS859" s="5"/>
      <c r="AU859" s="40"/>
      <c r="AV859" s="5"/>
      <c r="AX859" s="40"/>
      <c r="AY859" s="5"/>
      <c r="BA859" s="40"/>
      <c r="BB859" s="5"/>
      <c r="BD859" s="40"/>
      <c r="BE859" s="5"/>
      <c r="BG859" s="40"/>
      <c r="BH859" s="5"/>
      <c r="BJ859" s="40"/>
      <c r="BK859" s="5"/>
      <c r="BM859" s="40"/>
      <c r="BN859" s="5"/>
      <c r="BP859" s="40"/>
      <c r="BQ859" s="5"/>
      <c r="BS859" s="40"/>
      <c r="BT859" s="5"/>
      <c r="BV859" s="40"/>
      <c r="BW859" s="5"/>
      <c r="BY859" s="40"/>
      <c r="BZ859" s="5"/>
      <c r="CB859" s="40"/>
      <c r="CC859" s="5"/>
      <c r="CE859" s="40"/>
      <c r="CF859" s="5"/>
      <c r="CH859" s="40"/>
      <c r="CI859" s="5"/>
      <c r="CK859" s="40"/>
      <c r="CL859" s="5"/>
      <c r="CN859" s="40"/>
      <c r="CO859" s="5"/>
      <c r="CQ859" s="40"/>
      <c r="CR859" s="5"/>
    </row>
    <row r="860">
      <c r="AO860" s="40"/>
      <c r="AP860" s="5"/>
      <c r="AR860" s="40"/>
      <c r="AS860" s="5"/>
      <c r="AU860" s="40"/>
      <c r="AV860" s="5"/>
      <c r="AX860" s="40"/>
      <c r="AY860" s="5"/>
      <c r="BA860" s="40"/>
      <c r="BB860" s="5"/>
      <c r="BD860" s="40"/>
      <c r="BE860" s="5"/>
      <c r="BG860" s="40"/>
      <c r="BH860" s="5"/>
      <c r="BJ860" s="40"/>
      <c r="BK860" s="5"/>
      <c r="BM860" s="40"/>
      <c r="BN860" s="5"/>
      <c r="BP860" s="40"/>
      <c r="BQ860" s="5"/>
      <c r="BS860" s="40"/>
      <c r="BT860" s="5"/>
      <c r="BV860" s="40"/>
      <c r="BW860" s="5"/>
      <c r="BY860" s="40"/>
      <c r="BZ860" s="5"/>
      <c r="CB860" s="40"/>
      <c r="CC860" s="5"/>
      <c r="CE860" s="40"/>
      <c r="CF860" s="5"/>
      <c r="CH860" s="40"/>
      <c r="CI860" s="5"/>
      <c r="CK860" s="40"/>
      <c r="CL860" s="5"/>
      <c r="CN860" s="40"/>
      <c r="CO860" s="5"/>
      <c r="CQ860" s="40"/>
      <c r="CR860" s="5"/>
    </row>
    <row r="861">
      <c r="AO861" s="40"/>
      <c r="AP861" s="5"/>
      <c r="AR861" s="40"/>
      <c r="AS861" s="5"/>
      <c r="AU861" s="40"/>
      <c r="AV861" s="5"/>
      <c r="AX861" s="40"/>
      <c r="AY861" s="5"/>
      <c r="BA861" s="40"/>
      <c r="BB861" s="5"/>
      <c r="BD861" s="40"/>
      <c r="BE861" s="5"/>
      <c r="BG861" s="40"/>
      <c r="BH861" s="5"/>
      <c r="BJ861" s="40"/>
      <c r="BK861" s="5"/>
      <c r="BM861" s="40"/>
      <c r="BN861" s="5"/>
      <c r="BP861" s="40"/>
      <c r="BQ861" s="5"/>
      <c r="BS861" s="40"/>
      <c r="BT861" s="5"/>
      <c r="BV861" s="40"/>
      <c r="BW861" s="5"/>
      <c r="BY861" s="40"/>
      <c r="BZ861" s="5"/>
      <c r="CB861" s="40"/>
      <c r="CC861" s="5"/>
      <c r="CE861" s="40"/>
      <c r="CF861" s="5"/>
      <c r="CH861" s="40"/>
      <c r="CI861" s="5"/>
      <c r="CK861" s="40"/>
      <c r="CL861" s="5"/>
      <c r="CN861" s="40"/>
      <c r="CO861" s="5"/>
      <c r="CQ861" s="40"/>
      <c r="CR861" s="5"/>
    </row>
    <row r="862">
      <c r="AO862" s="40"/>
      <c r="AP862" s="5"/>
      <c r="AR862" s="40"/>
      <c r="AS862" s="5"/>
      <c r="AU862" s="40"/>
      <c r="AV862" s="5"/>
      <c r="AX862" s="40"/>
      <c r="AY862" s="5"/>
      <c r="BA862" s="40"/>
      <c r="BB862" s="5"/>
      <c r="BD862" s="40"/>
      <c r="BE862" s="5"/>
      <c r="BG862" s="40"/>
      <c r="BH862" s="5"/>
      <c r="BJ862" s="40"/>
      <c r="BK862" s="5"/>
      <c r="BM862" s="40"/>
      <c r="BN862" s="5"/>
      <c r="BP862" s="40"/>
      <c r="BQ862" s="5"/>
      <c r="BS862" s="40"/>
      <c r="BT862" s="5"/>
      <c r="BV862" s="40"/>
      <c r="BW862" s="5"/>
      <c r="BY862" s="40"/>
      <c r="BZ862" s="5"/>
      <c r="CB862" s="40"/>
      <c r="CC862" s="5"/>
      <c r="CE862" s="40"/>
      <c r="CF862" s="5"/>
      <c r="CH862" s="40"/>
      <c r="CI862" s="5"/>
      <c r="CK862" s="40"/>
      <c r="CL862" s="5"/>
      <c r="CN862" s="40"/>
      <c r="CO862" s="5"/>
      <c r="CQ862" s="40"/>
      <c r="CR862" s="5"/>
    </row>
    <row r="863">
      <c r="AO863" s="40"/>
      <c r="AP863" s="5"/>
      <c r="AR863" s="40"/>
      <c r="AS863" s="5"/>
      <c r="AU863" s="40"/>
      <c r="AV863" s="5"/>
      <c r="AX863" s="40"/>
      <c r="AY863" s="5"/>
      <c r="BA863" s="40"/>
      <c r="BB863" s="5"/>
      <c r="BD863" s="40"/>
      <c r="BE863" s="5"/>
      <c r="BG863" s="40"/>
      <c r="BH863" s="5"/>
      <c r="BJ863" s="40"/>
      <c r="BK863" s="5"/>
      <c r="BM863" s="40"/>
      <c r="BN863" s="5"/>
      <c r="BP863" s="40"/>
      <c r="BQ863" s="5"/>
      <c r="BS863" s="40"/>
      <c r="BT863" s="5"/>
      <c r="BV863" s="40"/>
      <c r="BW863" s="5"/>
      <c r="BY863" s="40"/>
      <c r="BZ863" s="5"/>
      <c r="CB863" s="40"/>
      <c r="CC863" s="5"/>
      <c r="CE863" s="40"/>
      <c r="CF863" s="5"/>
      <c r="CH863" s="40"/>
      <c r="CI863" s="5"/>
      <c r="CK863" s="40"/>
      <c r="CL863" s="5"/>
      <c r="CN863" s="40"/>
      <c r="CO863" s="5"/>
      <c r="CQ863" s="40"/>
      <c r="CR863" s="5"/>
    </row>
    <row r="864">
      <c r="AO864" s="40"/>
      <c r="AP864" s="5"/>
      <c r="AR864" s="40"/>
      <c r="AS864" s="5"/>
      <c r="AU864" s="40"/>
      <c r="AV864" s="5"/>
      <c r="AX864" s="40"/>
      <c r="AY864" s="5"/>
      <c r="BA864" s="40"/>
      <c r="BB864" s="5"/>
      <c r="BD864" s="40"/>
      <c r="BE864" s="5"/>
      <c r="BG864" s="40"/>
      <c r="BH864" s="5"/>
      <c r="BJ864" s="40"/>
      <c r="BK864" s="5"/>
      <c r="BM864" s="40"/>
      <c r="BN864" s="5"/>
      <c r="BP864" s="40"/>
      <c r="BQ864" s="5"/>
      <c r="BS864" s="40"/>
      <c r="BT864" s="5"/>
      <c r="BV864" s="40"/>
      <c r="BW864" s="5"/>
      <c r="BY864" s="40"/>
      <c r="BZ864" s="5"/>
      <c r="CB864" s="40"/>
      <c r="CC864" s="5"/>
      <c r="CE864" s="40"/>
      <c r="CF864" s="5"/>
      <c r="CH864" s="40"/>
      <c r="CI864" s="5"/>
      <c r="CK864" s="40"/>
      <c r="CL864" s="5"/>
      <c r="CN864" s="40"/>
      <c r="CO864" s="5"/>
      <c r="CQ864" s="40"/>
      <c r="CR864" s="5"/>
    </row>
    <row r="865">
      <c r="AO865" s="40"/>
      <c r="AP865" s="5"/>
      <c r="AR865" s="40"/>
      <c r="AS865" s="5"/>
      <c r="AU865" s="40"/>
      <c r="AV865" s="5"/>
      <c r="AX865" s="40"/>
      <c r="AY865" s="5"/>
      <c r="BA865" s="40"/>
      <c r="BB865" s="5"/>
      <c r="BD865" s="40"/>
      <c r="BE865" s="5"/>
      <c r="BG865" s="40"/>
      <c r="BH865" s="5"/>
      <c r="BJ865" s="40"/>
      <c r="BK865" s="5"/>
      <c r="BM865" s="40"/>
      <c r="BN865" s="5"/>
      <c r="BP865" s="40"/>
      <c r="BQ865" s="5"/>
      <c r="BS865" s="40"/>
      <c r="BT865" s="5"/>
      <c r="BV865" s="40"/>
      <c r="BW865" s="5"/>
      <c r="BY865" s="40"/>
      <c r="BZ865" s="5"/>
      <c r="CB865" s="40"/>
      <c r="CC865" s="5"/>
      <c r="CE865" s="40"/>
      <c r="CF865" s="5"/>
      <c r="CH865" s="40"/>
      <c r="CI865" s="5"/>
      <c r="CK865" s="40"/>
      <c r="CL865" s="5"/>
      <c r="CN865" s="40"/>
      <c r="CO865" s="5"/>
      <c r="CQ865" s="40"/>
      <c r="CR865" s="5"/>
    </row>
    <row r="866">
      <c r="AO866" s="40"/>
      <c r="AP866" s="5"/>
      <c r="AR866" s="40"/>
      <c r="AS866" s="5"/>
      <c r="AU866" s="40"/>
      <c r="AV866" s="5"/>
      <c r="AX866" s="40"/>
      <c r="AY866" s="5"/>
      <c r="BA866" s="40"/>
      <c r="BB866" s="5"/>
      <c r="BD866" s="40"/>
      <c r="BE866" s="5"/>
      <c r="BG866" s="40"/>
      <c r="BH866" s="5"/>
      <c r="BJ866" s="40"/>
      <c r="BK866" s="5"/>
      <c r="BM866" s="40"/>
      <c r="BN866" s="5"/>
      <c r="BP866" s="40"/>
      <c r="BQ866" s="5"/>
      <c r="BS866" s="40"/>
      <c r="BT866" s="5"/>
      <c r="BV866" s="40"/>
      <c r="BW866" s="5"/>
      <c r="BY866" s="40"/>
      <c r="BZ866" s="5"/>
      <c r="CB866" s="40"/>
      <c r="CC866" s="5"/>
      <c r="CE866" s="40"/>
      <c r="CF866" s="5"/>
      <c r="CH866" s="40"/>
      <c r="CI866" s="5"/>
      <c r="CK866" s="40"/>
      <c r="CL866" s="5"/>
      <c r="CN866" s="40"/>
      <c r="CO866" s="5"/>
      <c r="CQ866" s="40"/>
      <c r="CR866" s="5"/>
    </row>
    <row r="867">
      <c r="AO867" s="40"/>
      <c r="AP867" s="5"/>
      <c r="AR867" s="40"/>
      <c r="AS867" s="5"/>
      <c r="AU867" s="40"/>
      <c r="AV867" s="5"/>
      <c r="AX867" s="40"/>
      <c r="AY867" s="5"/>
      <c r="BA867" s="40"/>
      <c r="BB867" s="5"/>
      <c r="BD867" s="40"/>
      <c r="BE867" s="5"/>
      <c r="BG867" s="40"/>
      <c r="BH867" s="5"/>
      <c r="BJ867" s="40"/>
      <c r="BK867" s="5"/>
      <c r="BM867" s="40"/>
      <c r="BN867" s="5"/>
      <c r="BP867" s="40"/>
      <c r="BQ867" s="5"/>
      <c r="BS867" s="40"/>
      <c r="BT867" s="5"/>
      <c r="BV867" s="40"/>
      <c r="BW867" s="5"/>
      <c r="BY867" s="40"/>
      <c r="BZ867" s="5"/>
      <c r="CB867" s="40"/>
      <c r="CC867" s="5"/>
      <c r="CE867" s="40"/>
      <c r="CF867" s="5"/>
      <c r="CH867" s="40"/>
      <c r="CI867" s="5"/>
      <c r="CK867" s="40"/>
      <c r="CL867" s="5"/>
      <c r="CN867" s="40"/>
      <c r="CO867" s="5"/>
      <c r="CQ867" s="40"/>
      <c r="CR867" s="5"/>
    </row>
    <row r="868">
      <c r="AO868" s="40"/>
      <c r="AP868" s="5"/>
      <c r="AR868" s="40"/>
      <c r="AS868" s="5"/>
      <c r="AU868" s="40"/>
      <c r="AV868" s="5"/>
      <c r="AX868" s="40"/>
      <c r="AY868" s="5"/>
      <c r="BA868" s="40"/>
      <c r="BB868" s="5"/>
      <c r="BD868" s="40"/>
      <c r="BE868" s="5"/>
      <c r="BG868" s="40"/>
      <c r="BH868" s="5"/>
      <c r="BJ868" s="40"/>
      <c r="BK868" s="5"/>
      <c r="BM868" s="40"/>
      <c r="BN868" s="5"/>
      <c r="BP868" s="40"/>
      <c r="BQ868" s="5"/>
      <c r="BS868" s="40"/>
      <c r="BT868" s="5"/>
      <c r="BV868" s="40"/>
      <c r="BW868" s="5"/>
      <c r="BY868" s="40"/>
      <c r="BZ868" s="5"/>
      <c r="CB868" s="40"/>
      <c r="CC868" s="5"/>
      <c r="CE868" s="40"/>
      <c r="CF868" s="5"/>
      <c r="CH868" s="40"/>
      <c r="CI868" s="5"/>
      <c r="CK868" s="40"/>
      <c r="CL868" s="5"/>
      <c r="CN868" s="40"/>
      <c r="CO868" s="5"/>
      <c r="CQ868" s="40"/>
      <c r="CR868" s="5"/>
    </row>
    <row r="869">
      <c r="AO869" s="40"/>
      <c r="AP869" s="5"/>
      <c r="AR869" s="40"/>
      <c r="AS869" s="5"/>
      <c r="AU869" s="40"/>
      <c r="AV869" s="5"/>
      <c r="AX869" s="40"/>
      <c r="AY869" s="5"/>
      <c r="BA869" s="40"/>
      <c r="BB869" s="5"/>
      <c r="BD869" s="40"/>
      <c r="BE869" s="5"/>
      <c r="BG869" s="40"/>
      <c r="BH869" s="5"/>
      <c r="BJ869" s="40"/>
      <c r="BK869" s="5"/>
      <c r="BM869" s="40"/>
      <c r="BN869" s="5"/>
      <c r="BP869" s="40"/>
      <c r="BQ869" s="5"/>
      <c r="BS869" s="40"/>
      <c r="BT869" s="5"/>
      <c r="BV869" s="40"/>
      <c r="BW869" s="5"/>
      <c r="BY869" s="40"/>
      <c r="BZ869" s="5"/>
      <c r="CB869" s="40"/>
      <c r="CC869" s="5"/>
      <c r="CE869" s="40"/>
      <c r="CF869" s="5"/>
      <c r="CH869" s="40"/>
      <c r="CI869" s="5"/>
      <c r="CK869" s="40"/>
      <c r="CL869" s="5"/>
      <c r="CN869" s="40"/>
      <c r="CO869" s="5"/>
      <c r="CQ869" s="40"/>
      <c r="CR869" s="5"/>
    </row>
    <row r="870">
      <c r="AO870" s="40"/>
      <c r="AP870" s="5"/>
      <c r="AR870" s="40"/>
      <c r="AS870" s="5"/>
      <c r="AU870" s="40"/>
      <c r="AV870" s="5"/>
      <c r="AX870" s="40"/>
      <c r="AY870" s="5"/>
      <c r="BA870" s="40"/>
      <c r="BB870" s="5"/>
      <c r="BD870" s="40"/>
      <c r="BE870" s="5"/>
      <c r="BG870" s="40"/>
      <c r="BH870" s="5"/>
      <c r="BJ870" s="40"/>
      <c r="BK870" s="5"/>
      <c r="BM870" s="40"/>
      <c r="BN870" s="5"/>
      <c r="BP870" s="40"/>
      <c r="BQ870" s="5"/>
      <c r="BS870" s="40"/>
      <c r="BT870" s="5"/>
      <c r="BV870" s="40"/>
      <c r="BW870" s="5"/>
      <c r="BY870" s="40"/>
      <c r="BZ870" s="5"/>
      <c r="CB870" s="40"/>
      <c r="CC870" s="5"/>
      <c r="CE870" s="40"/>
      <c r="CF870" s="5"/>
      <c r="CH870" s="40"/>
      <c r="CI870" s="5"/>
      <c r="CK870" s="40"/>
      <c r="CL870" s="5"/>
      <c r="CN870" s="40"/>
      <c r="CO870" s="5"/>
      <c r="CQ870" s="40"/>
      <c r="CR870" s="5"/>
    </row>
    <row r="871">
      <c r="AO871" s="40"/>
      <c r="AP871" s="5"/>
      <c r="AR871" s="40"/>
      <c r="AS871" s="5"/>
      <c r="AU871" s="40"/>
      <c r="AV871" s="5"/>
      <c r="AX871" s="40"/>
      <c r="AY871" s="5"/>
      <c r="BA871" s="40"/>
      <c r="BB871" s="5"/>
      <c r="BD871" s="40"/>
      <c r="BE871" s="5"/>
      <c r="BG871" s="40"/>
      <c r="BH871" s="5"/>
      <c r="BJ871" s="40"/>
      <c r="BK871" s="5"/>
      <c r="BM871" s="40"/>
      <c r="BN871" s="5"/>
      <c r="BP871" s="40"/>
      <c r="BQ871" s="5"/>
      <c r="BS871" s="40"/>
      <c r="BT871" s="5"/>
      <c r="BV871" s="40"/>
      <c r="BW871" s="5"/>
      <c r="BY871" s="40"/>
      <c r="BZ871" s="5"/>
      <c r="CB871" s="40"/>
      <c r="CC871" s="5"/>
      <c r="CE871" s="40"/>
      <c r="CF871" s="5"/>
      <c r="CH871" s="40"/>
      <c r="CI871" s="5"/>
      <c r="CK871" s="40"/>
      <c r="CL871" s="5"/>
      <c r="CN871" s="40"/>
      <c r="CO871" s="5"/>
      <c r="CQ871" s="40"/>
      <c r="CR871" s="5"/>
    </row>
    <row r="872">
      <c r="AO872" s="40"/>
      <c r="AP872" s="5"/>
      <c r="AR872" s="40"/>
      <c r="AS872" s="5"/>
      <c r="AU872" s="40"/>
      <c r="AV872" s="5"/>
      <c r="AX872" s="40"/>
      <c r="AY872" s="5"/>
      <c r="BA872" s="40"/>
      <c r="BB872" s="5"/>
      <c r="BD872" s="40"/>
      <c r="BE872" s="5"/>
      <c r="BG872" s="40"/>
      <c r="BH872" s="5"/>
      <c r="BJ872" s="40"/>
      <c r="BK872" s="5"/>
      <c r="BM872" s="40"/>
      <c r="BN872" s="5"/>
      <c r="BP872" s="40"/>
      <c r="BQ872" s="5"/>
      <c r="BS872" s="40"/>
      <c r="BT872" s="5"/>
      <c r="BV872" s="40"/>
      <c r="BW872" s="5"/>
      <c r="BY872" s="40"/>
      <c r="BZ872" s="5"/>
      <c r="CB872" s="40"/>
      <c r="CC872" s="5"/>
      <c r="CE872" s="40"/>
      <c r="CF872" s="5"/>
      <c r="CH872" s="40"/>
      <c r="CI872" s="5"/>
      <c r="CK872" s="40"/>
      <c r="CL872" s="5"/>
      <c r="CN872" s="40"/>
      <c r="CO872" s="5"/>
      <c r="CQ872" s="40"/>
      <c r="CR872" s="5"/>
    </row>
    <row r="873">
      <c r="AO873" s="40"/>
      <c r="AP873" s="5"/>
      <c r="AR873" s="40"/>
      <c r="AS873" s="5"/>
      <c r="AU873" s="40"/>
      <c r="AV873" s="5"/>
      <c r="AX873" s="40"/>
      <c r="AY873" s="5"/>
      <c r="BA873" s="40"/>
      <c r="BB873" s="5"/>
      <c r="BD873" s="40"/>
      <c r="BE873" s="5"/>
      <c r="BG873" s="40"/>
      <c r="BH873" s="5"/>
      <c r="BJ873" s="40"/>
      <c r="BK873" s="5"/>
      <c r="BM873" s="40"/>
      <c r="BN873" s="5"/>
      <c r="BP873" s="40"/>
      <c r="BQ873" s="5"/>
      <c r="BS873" s="40"/>
      <c r="BT873" s="5"/>
      <c r="BV873" s="40"/>
      <c r="BW873" s="5"/>
      <c r="BY873" s="40"/>
      <c r="BZ873" s="5"/>
      <c r="CB873" s="40"/>
      <c r="CC873" s="5"/>
      <c r="CE873" s="40"/>
      <c r="CF873" s="5"/>
      <c r="CH873" s="40"/>
      <c r="CI873" s="5"/>
      <c r="CK873" s="40"/>
      <c r="CL873" s="5"/>
      <c r="CN873" s="40"/>
      <c r="CO873" s="5"/>
      <c r="CQ873" s="40"/>
      <c r="CR873" s="5"/>
    </row>
    <row r="874">
      <c r="AO874" s="40"/>
      <c r="AP874" s="5"/>
      <c r="AR874" s="40"/>
      <c r="AS874" s="5"/>
      <c r="AU874" s="40"/>
      <c r="AV874" s="5"/>
      <c r="AX874" s="40"/>
      <c r="AY874" s="5"/>
      <c r="BA874" s="40"/>
      <c r="BB874" s="5"/>
      <c r="BD874" s="40"/>
      <c r="BE874" s="5"/>
      <c r="BG874" s="40"/>
      <c r="BH874" s="5"/>
      <c r="BJ874" s="40"/>
      <c r="BK874" s="5"/>
      <c r="BM874" s="40"/>
      <c r="BN874" s="5"/>
      <c r="BP874" s="40"/>
      <c r="BQ874" s="5"/>
      <c r="BS874" s="40"/>
      <c r="BT874" s="5"/>
      <c r="BV874" s="40"/>
      <c r="BW874" s="5"/>
      <c r="BY874" s="40"/>
      <c r="BZ874" s="5"/>
      <c r="CB874" s="40"/>
      <c r="CC874" s="5"/>
      <c r="CE874" s="40"/>
      <c r="CF874" s="5"/>
      <c r="CH874" s="40"/>
      <c r="CI874" s="5"/>
      <c r="CK874" s="40"/>
      <c r="CL874" s="5"/>
      <c r="CN874" s="40"/>
      <c r="CO874" s="5"/>
      <c r="CQ874" s="40"/>
      <c r="CR874" s="5"/>
    </row>
    <row r="875">
      <c r="AO875" s="40"/>
      <c r="AP875" s="5"/>
      <c r="AR875" s="40"/>
      <c r="AS875" s="5"/>
      <c r="AU875" s="40"/>
      <c r="AV875" s="5"/>
      <c r="AX875" s="40"/>
      <c r="AY875" s="5"/>
      <c r="BA875" s="40"/>
      <c r="BB875" s="5"/>
      <c r="BD875" s="40"/>
      <c r="BE875" s="5"/>
      <c r="BG875" s="40"/>
      <c r="BH875" s="5"/>
      <c r="BJ875" s="40"/>
      <c r="BK875" s="5"/>
      <c r="BM875" s="40"/>
      <c r="BN875" s="5"/>
      <c r="BP875" s="40"/>
      <c r="BQ875" s="5"/>
      <c r="BS875" s="40"/>
      <c r="BT875" s="5"/>
      <c r="BV875" s="40"/>
      <c r="BW875" s="5"/>
      <c r="BY875" s="40"/>
      <c r="BZ875" s="5"/>
      <c r="CB875" s="40"/>
      <c r="CC875" s="5"/>
      <c r="CE875" s="40"/>
      <c r="CF875" s="5"/>
      <c r="CH875" s="40"/>
      <c r="CI875" s="5"/>
      <c r="CK875" s="40"/>
      <c r="CL875" s="5"/>
      <c r="CN875" s="40"/>
      <c r="CO875" s="5"/>
      <c r="CQ875" s="40"/>
      <c r="CR875" s="5"/>
    </row>
    <row r="876">
      <c r="AO876" s="40"/>
      <c r="AP876" s="5"/>
      <c r="AR876" s="40"/>
      <c r="AS876" s="5"/>
      <c r="AU876" s="40"/>
      <c r="AV876" s="5"/>
      <c r="AX876" s="40"/>
      <c r="AY876" s="5"/>
      <c r="BA876" s="40"/>
      <c r="BB876" s="5"/>
      <c r="BD876" s="40"/>
      <c r="BE876" s="5"/>
      <c r="BG876" s="40"/>
      <c r="BH876" s="5"/>
      <c r="BJ876" s="40"/>
      <c r="BK876" s="5"/>
      <c r="BM876" s="40"/>
      <c r="BN876" s="5"/>
      <c r="BP876" s="40"/>
      <c r="BQ876" s="5"/>
      <c r="BS876" s="40"/>
      <c r="BT876" s="5"/>
      <c r="BV876" s="40"/>
      <c r="BW876" s="5"/>
      <c r="BY876" s="40"/>
      <c r="BZ876" s="5"/>
      <c r="CB876" s="40"/>
      <c r="CC876" s="5"/>
      <c r="CE876" s="40"/>
      <c r="CF876" s="5"/>
      <c r="CH876" s="40"/>
      <c r="CI876" s="5"/>
      <c r="CK876" s="40"/>
      <c r="CL876" s="5"/>
      <c r="CN876" s="40"/>
      <c r="CO876" s="5"/>
      <c r="CQ876" s="40"/>
      <c r="CR876" s="5"/>
    </row>
    <row r="877">
      <c r="AO877" s="40"/>
      <c r="AP877" s="5"/>
      <c r="AR877" s="40"/>
      <c r="AS877" s="5"/>
      <c r="AU877" s="40"/>
      <c r="AV877" s="5"/>
      <c r="AX877" s="40"/>
      <c r="AY877" s="5"/>
      <c r="BA877" s="40"/>
      <c r="BB877" s="5"/>
      <c r="BD877" s="40"/>
      <c r="BE877" s="5"/>
      <c r="BG877" s="40"/>
      <c r="BH877" s="5"/>
      <c r="BJ877" s="40"/>
      <c r="BK877" s="5"/>
      <c r="BM877" s="40"/>
      <c r="BN877" s="5"/>
      <c r="BP877" s="40"/>
      <c r="BQ877" s="5"/>
      <c r="BS877" s="40"/>
      <c r="BT877" s="5"/>
      <c r="BV877" s="40"/>
      <c r="BW877" s="5"/>
      <c r="BY877" s="40"/>
      <c r="BZ877" s="5"/>
      <c r="CB877" s="40"/>
      <c r="CC877" s="5"/>
      <c r="CE877" s="40"/>
      <c r="CF877" s="5"/>
      <c r="CH877" s="40"/>
      <c r="CI877" s="5"/>
      <c r="CK877" s="40"/>
      <c r="CL877" s="5"/>
      <c r="CN877" s="40"/>
      <c r="CO877" s="5"/>
      <c r="CQ877" s="40"/>
      <c r="CR877" s="5"/>
    </row>
    <row r="878">
      <c r="AO878" s="40"/>
      <c r="AP878" s="5"/>
      <c r="AR878" s="40"/>
      <c r="AS878" s="5"/>
      <c r="AU878" s="40"/>
      <c r="AV878" s="5"/>
      <c r="AX878" s="40"/>
      <c r="AY878" s="5"/>
      <c r="BA878" s="40"/>
      <c r="BB878" s="5"/>
      <c r="BD878" s="40"/>
      <c r="BE878" s="5"/>
      <c r="BG878" s="40"/>
      <c r="BH878" s="5"/>
      <c r="BJ878" s="40"/>
      <c r="BK878" s="5"/>
      <c r="BM878" s="40"/>
      <c r="BN878" s="5"/>
      <c r="BP878" s="40"/>
      <c r="BQ878" s="5"/>
      <c r="BS878" s="40"/>
      <c r="BT878" s="5"/>
      <c r="BV878" s="40"/>
      <c r="BW878" s="5"/>
      <c r="BY878" s="40"/>
      <c r="BZ878" s="5"/>
      <c r="CB878" s="40"/>
      <c r="CC878" s="5"/>
      <c r="CE878" s="40"/>
      <c r="CF878" s="5"/>
      <c r="CH878" s="40"/>
      <c r="CI878" s="5"/>
      <c r="CK878" s="40"/>
      <c r="CL878" s="5"/>
      <c r="CN878" s="40"/>
      <c r="CO878" s="5"/>
      <c r="CQ878" s="40"/>
      <c r="CR878" s="5"/>
    </row>
    <row r="879">
      <c r="AO879" s="40"/>
      <c r="AP879" s="5"/>
      <c r="AR879" s="40"/>
      <c r="AS879" s="5"/>
      <c r="AU879" s="40"/>
      <c r="AV879" s="5"/>
      <c r="AX879" s="40"/>
      <c r="AY879" s="5"/>
      <c r="BA879" s="40"/>
      <c r="BB879" s="5"/>
      <c r="BD879" s="40"/>
      <c r="BE879" s="5"/>
      <c r="BG879" s="40"/>
      <c r="BH879" s="5"/>
      <c r="BJ879" s="40"/>
      <c r="BK879" s="5"/>
      <c r="BM879" s="40"/>
      <c r="BN879" s="5"/>
      <c r="BP879" s="40"/>
      <c r="BQ879" s="5"/>
      <c r="BS879" s="40"/>
      <c r="BT879" s="5"/>
      <c r="BV879" s="40"/>
      <c r="BW879" s="5"/>
      <c r="BY879" s="40"/>
      <c r="BZ879" s="5"/>
      <c r="CB879" s="40"/>
      <c r="CC879" s="5"/>
      <c r="CE879" s="40"/>
      <c r="CF879" s="5"/>
      <c r="CH879" s="40"/>
      <c r="CI879" s="5"/>
      <c r="CK879" s="40"/>
      <c r="CL879" s="5"/>
      <c r="CN879" s="40"/>
      <c r="CO879" s="5"/>
      <c r="CQ879" s="40"/>
      <c r="CR879" s="5"/>
    </row>
    <row r="880">
      <c r="AO880" s="40"/>
      <c r="AP880" s="5"/>
      <c r="AR880" s="40"/>
      <c r="AS880" s="5"/>
      <c r="AU880" s="40"/>
      <c r="AV880" s="5"/>
      <c r="AX880" s="40"/>
      <c r="AY880" s="5"/>
      <c r="BA880" s="40"/>
      <c r="BB880" s="5"/>
      <c r="BD880" s="40"/>
      <c r="BE880" s="5"/>
      <c r="BG880" s="40"/>
      <c r="BH880" s="5"/>
      <c r="BJ880" s="40"/>
      <c r="BK880" s="5"/>
      <c r="BM880" s="40"/>
      <c r="BN880" s="5"/>
      <c r="BP880" s="40"/>
      <c r="BQ880" s="5"/>
      <c r="BS880" s="40"/>
      <c r="BT880" s="5"/>
      <c r="BV880" s="40"/>
      <c r="BW880" s="5"/>
      <c r="BY880" s="40"/>
      <c r="BZ880" s="5"/>
      <c r="CB880" s="40"/>
      <c r="CC880" s="5"/>
      <c r="CE880" s="40"/>
      <c r="CF880" s="5"/>
      <c r="CH880" s="40"/>
      <c r="CI880" s="5"/>
      <c r="CK880" s="40"/>
      <c r="CL880" s="5"/>
      <c r="CN880" s="40"/>
      <c r="CO880" s="5"/>
      <c r="CQ880" s="40"/>
      <c r="CR880" s="5"/>
    </row>
    <row r="881">
      <c r="AO881" s="40"/>
      <c r="AP881" s="5"/>
      <c r="AR881" s="40"/>
      <c r="AS881" s="5"/>
      <c r="AU881" s="40"/>
      <c r="AV881" s="5"/>
      <c r="AX881" s="40"/>
      <c r="AY881" s="5"/>
      <c r="BA881" s="40"/>
      <c r="BB881" s="5"/>
      <c r="BD881" s="40"/>
      <c r="BE881" s="5"/>
      <c r="BG881" s="40"/>
      <c r="BH881" s="5"/>
      <c r="BJ881" s="40"/>
      <c r="BK881" s="5"/>
      <c r="BM881" s="40"/>
      <c r="BN881" s="5"/>
      <c r="BP881" s="40"/>
      <c r="BQ881" s="5"/>
      <c r="BS881" s="40"/>
      <c r="BT881" s="5"/>
      <c r="BV881" s="40"/>
      <c r="BW881" s="5"/>
      <c r="BY881" s="40"/>
      <c r="BZ881" s="5"/>
      <c r="CB881" s="40"/>
      <c r="CC881" s="5"/>
      <c r="CE881" s="40"/>
      <c r="CF881" s="5"/>
      <c r="CH881" s="40"/>
      <c r="CI881" s="5"/>
      <c r="CK881" s="40"/>
      <c r="CL881" s="5"/>
      <c r="CN881" s="40"/>
      <c r="CO881" s="5"/>
      <c r="CQ881" s="40"/>
      <c r="CR881" s="5"/>
    </row>
    <row r="882">
      <c r="AO882" s="40"/>
      <c r="AP882" s="5"/>
      <c r="AR882" s="40"/>
      <c r="AS882" s="5"/>
      <c r="AU882" s="40"/>
      <c r="AV882" s="5"/>
      <c r="AX882" s="40"/>
      <c r="AY882" s="5"/>
      <c r="BA882" s="40"/>
      <c r="BB882" s="5"/>
      <c r="BD882" s="40"/>
      <c r="BE882" s="5"/>
      <c r="BG882" s="40"/>
      <c r="BH882" s="5"/>
      <c r="BJ882" s="40"/>
      <c r="BK882" s="5"/>
      <c r="BM882" s="40"/>
      <c r="BN882" s="5"/>
      <c r="BP882" s="40"/>
      <c r="BQ882" s="5"/>
      <c r="BS882" s="40"/>
      <c r="BT882" s="5"/>
      <c r="BV882" s="40"/>
      <c r="BW882" s="5"/>
      <c r="BY882" s="40"/>
      <c r="BZ882" s="5"/>
      <c r="CB882" s="40"/>
      <c r="CC882" s="5"/>
      <c r="CE882" s="40"/>
      <c r="CF882" s="5"/>
      <c r="CH882" s="40"/>
      <c r="CI882" s="5"/>
      <c r="CK882" s="40"/>
      <c r="CL882" s="5"/>
      <c r="CN882" s="40"/>
      <c r="CO882" s="5"/>
      <c r="CQ882" s="40"/>
      <c r="CR882" s="5"/>
    </row>
    <row r="883">
      <c r="AO883" s="40"/>
      <c r="AP883" s="5"/>
      <c r="AR883" s="40"/>
      <c r="AS883" s="5"/>
      <c r="AU883" s="40"/>
      <c r="AV883" s="5"/>
      <c r="AX883" s="40"/>
      <c r="AY883" s="5"/>
      <c r="BA883" s="40"/>
      <c r="BB883" s="5"/>
      <c r="BD883" s="40"/>
      <c r="BE883" s="5"/>
      <c r="BG883" s="40"/>
      <c r="BH883" s="5"/>
      <c r="BJ883" s="40"/>
      <c r="BK883" s="5"/>
      <c r="BM883" s="40"/>
      <c r="BN883" s="5"/>
      <c r="BP883" s="40"/>
      <c r="BQ883" s="5"/>
      <c r="BS883" s="40"/>
      <c r="BT883" s="5"/>
      <c r="BV883" s="40"/>
      <c r="BW883" s="5"/>
      <c r="BY883" s="40"/>
      <c r="BZ883" s="5"/>
      <c r="CB883" s="40"/>
      <c r="CC883" s="5"/>
      <c r="CE883" s="40"/>
      <c r="CF883" s="5"/>
      <c r="CH883" s="40"/>
      <c r="CI883" s="5"/>
      <c r="CK883" s="40"/>
      <c r="CL883" s="5"/>
      <c r="CN883" s="40"/>
      <c r="CO883" s="5"/>
      <c r="CQ883" s="40"/>
      <c r="CR883" s="5"/>
    </row>
    <row r="884">
      <c r="AO884" s="40"/>
      <c r="AP884" s="5"/>
      <c r="AR884" s="40"/>
      <c r="AS884" s="5"/>
      <c r="AU884" s="40"/>
      <c r="AV884" s="5"/>
      <c r="AX884" s="40"/>
      <c r="AY884" s="5"/>
      <c r="BA884" s="40"/>
      <c r="BB884" s="5"/>
      <c r="BD884" s="40"/>
      <c r="BE884" s="5"/>
      <c r="BG884" s="40"/>
      <c r="BH884" s="5"/>
      <c r="BJ884" s="40"/>
      <c r="BK884" s="5"/>
      <c r="BM884" s="40"/>
      <c r="BN884" s="5"/>
      <c r="BP884" s="40"/>
      <c r="BQ884" s="5"/>
      <c r="BS884" s="40"/>
      <c r="BT884" s="5"/>
      <c r="BV884" s="40"/>
      <c r="BW884" s="5"/>
      <c r="BY884" s="40"/>
      <c r="BZ884" s="5"/>
      <c r="CB884" s="40"/>
      <c r="CC884" s="5"/>
      <c r="CE884" s="40"/>
      <c r="CF884" s="5"/>
      <c r="CH884" s="40"/>
      <c r="CI884" s="5"/>
      <c r="CK884" s="40"/>
      <c r="CL884" s="5"/>
      <c r="CN884" s="40"/>
      <c r="CO884" s="5"/>
      <c r="CQ884" s="40"/>
      <c r="CR884" s="5"/>
    </row>
    <row r="885">
      <c r="AO885" s="40"/>
      <c r="AP885" s="5"/>
      <c r="AR885" s="40"/>
      <c r="AS885" s="5"/>
      <c r="AU885" s="40"/>
      <c r="AV885" s="5"/>
      <c r="AX885" s="40"/>
      <c r="AY885" s="5"/>
      <c r="BA885" s="40"/>
      <c r="BB885" s="5"/>
      <c r="BD885" s="40"/>
      <c r="BE885" s="5"/>
      <c r="BG885" s="40"/>
      <c r="BH885" s="5"/>
      <c r="BJ885" s="40"/>
      <c r="BK885" s="5"/>
      <c r="BM885" s="40"/>
      <c r="BN885" s="5"/>
      <c r="BP885" s="40"/>
      <c r="BQ885" s="5"/>
      <c r="BS885" s="40"/>
      <c r="BT885" s="5"/>
      <c r="BV885" s="40"/>
      <c r="BW885" s="5"/>
      <c r="BY885" s="40"/>
      <c r="BZ885" s="5"/>
      <c r="CB885" s="40"/>
      <c r="CC885" s="5"/>
      <c r="CE885" s="40"/>
      <c r="CF885" s="5"/>
      <c r="CH885" s="40"/>
      <c r="CI885" s="5"/>
      <c r="CK885" s="40"/>
      <c r="CL885" s="5"/>
      <c r="CN885" s="40"/>
      <c r="CO885" s="5"/>
      <c r="CQ885" s="40"/>
      <c r="CR885" s="5"/>
    </row>
    <row r="886">
      <c r="AO886" s="40"/>
      <c r="AP886" s="5"/>
      <c r="AR886" s="40"/>
      <c r="AS886" s="5"/>
      <c r="AU886" s="40"/>
      <c r="AV886" s="5"/>
      <c r="AX886" s="40"/>
      <c r="AY886" s="5"/>
      <c r="BA886" s="40"/>
      <c r="BB886" s="5"/>
      <c r="BD886" s="40"/>
      <c r="BE886" s="5"/>
      <c r="BG886" s="40"/>
      <c r="BH886" s="5"/>
      <c r="BJ886" s="40"/>
      <c r="BK886" s="5"/>
      <c r="BM886" s="40"/>
      <c r="BN886" s="5"/>
      <c r="BP886" s="40"/>
      <c r="BQ886" s="5"/>
      <c r="BS886" s="40"/>
      <c r="BT886" s="5"/>
      <c r="BV886" s="40"/>
      <c r="BW886" s="5"/>
      <c r="BY886" s="40"/>
      <c r="BZ886" s="5"/>
      <c r="CB886" s="40"/>
      <c r="CC886" s="5"/>
      <c r="CE886" s="40"/>
      <c r="CF886" s="5"/>
      <c r="CH886" s="40"/>
      <c r="CI886" s="5"/>
      <c r="CK886" s="40"/>
      <c r="CL886" s="5"/>
      <c r="CN886" s="40"/>
      <c r="CO886" s="5"/>
      <c r="CQ886" s="40"/>
      <c r="CR886" s="5"/>
    </row>
    <row r="887">
      <c r="AO887" s="40"/>
      <c r="AP887" s="5"/>
      <c r="AR887" s="40"/>
      <c r="AS887" s="5"/>
      <c r="AU887" s="40"/>
      <c r="AV887" s="5"/>
      <c r="AX887" s="40"/>
      <c r="AY887" s="5"/>
      <c r="BA887" s="40"/>
      <c r="BB887" s="5"/>
      <c r="BD887" s="40"/>
      <c r="BE887" s="5"/>
      <c r="BG887" s="40"/>
      <c r="BH887" s="5"/>
      <c r="BJ887" s="40"/>
      <c r="BK887" s="5"/>
      <c r="BM887" s="40"/>
      <c r="BN887" s="5"/>
      <c r="BP887" s="40"/>
      <c r="BQ887" s="5"/>
      <c r="BS887" s="40"/>
      <c r="BT887" s="5"/>
      <c r="BV887" s="40"/>
      <c r="BW887" s="5"/>
      <c r="BY887" s="40"/>
      <c r="BZ887" s="5"/>
      <c r="CB887" s="40"/>
      <c r="CC887" s="5"/>
      <c r="CE887" s="40"/>
      <c r="CF887" s="5"/>
      <c r="CH887" s="40"/>
      <c r="CI887" s="5"/>
      <c r="CK887" s="40"/>
      <c r="CL887" s="5"/>
      <c r="CN887" s="40"/>
      <c r="CO887" s="5"/>
      <c r="CQ887" s="40"/>
      <c r="CR887" s="5"/>
    </row>
    <row r="888">
      <c r="AO888" s="40"/>
      <c r="AP888" s="5"/>
      <c r="AR888" s="40"/>
      <c r="AS888" s="5"/>
      <c r="AU888" s="40"/>
      <c r="AV888" s="5"/>
      <c r="AX888" s="40"/>
      <c r="AY888" s="5"/>
      <c r="BA888" s="40"/>
      <c r="BB888" s="5"/>
      <c r="BD888" s="40"/>
      <c r="BE888" s="5"/>
      <c r="BG888" s="40"/>
      <c r="BH888" s="5"/>
      <c r="BJ888" s="40"/>
      <c r="BK888" s="5"/>
      <c r="BM888" s="40"/>
      <c r="BN888" s="5"/>
      <c r="BP888" s="40"/>
      <c r="BQ888" s="5"/>
      <c r="BS888" s="40"/>
      <c r="BT888" s="5"/>
      <c r="BV888" s="40"/>
      <c r="BW888" s="5"/>
      <c r="BY888" s="40"/>
      <c r="BZ888" s="5"/>
      <c r="CB888" s="40"/>
      <c r="CC888" s="5"/>
      <c r="CE888" s="40"/>
      <c r="CF888" s="5"/>
      <c r="CH888" s="40"/>
      <c r="CI888" s="5"/>
      <c r="CK888" s="40"/>
      <c r="CL888" s="5"/>
      <c r="CN888" s="40"/>
      <c r="CO888" s="5"/>
      <c r="CQ888" s="40"/>
      <c r="CR888" s="5"/>
    </row>
    <row r="889">
      <c r="AO889" s="40"/>
      <c r="AP889" s="5"/>
      <c r="AR889" s="40"/>
      <c r="AS889" s="5"/>
      <c r="AU889" s="40"/>
      <c r="AV889" s="5"/>
      <c r="AX889" s="40"/>
      <c r="AY889" s="5"/>
      <c r="BA889" s="40"/>
      <c r="BB889" s="5"/>
      <c r="BD889" s="40"/>
      <c r="BE889" s="5"/>
      <c r="BG889" s="40"/>
      <c r="BH889" s="5"/>
      <c r="BJ889" s="40"/>
      <c r="BK889" s="5"/>
      <c r="BM889" s="40"/>
      <c r="BN889" s="5"/>
      <c r="BP889" s="40"/>
      <c r="BQ889" s="5"/>
      <c r="BS889" s="40"/>
      <c r="BT889" s="5"/>
      <c r="BV889" s="40"/>
      <c r="BW889" s="5"/>
      <c r="BY889" s="40"/>
      <c r="BZ889" s="5"/>
      <c r="CB889" s="40"/>
      <c r="CC889" s="5"/>
      <c r="CE889" s="40"/>
      <c r="CF889" s="5"/>
      <c r="CH889" s="40"/>
      <c r="CI889" s="5"/>
      <c r="CK889" s="40"/>
      <c r="CL889" s="5"/>
      <c r="CN889" s="40"/>
      <c r="CO889" s="5"/>
      <c r="CQ889" s="40"/>
      <c r="CR889" s="5"/>
    </row>
    <row r="890">
      <c r="AO890" s="40"/>
      <c r="AP890" s="5"/>
      <c r="AR890" s="40"/>
      <c r="AS890" s="5"/>
      <c r="AU890" s="40"/>
      <c r="AV890" s="5"/>
      <c r="AX890" s="40"/>
      <c r="AY890" s="5"/>
      <c r="BA890" s="40"/>
      <c r="BB890" s="5"/>
      <c r="BD890" s="40"/>
      <c r="BE890" s="5"/>
      <c r="BG890" s="40"/>
      <c r="BH890" s="5"/>
      <c r="BJ890" s="40"/>
      <c r="BK890" s="5"/>
      <c r="BM890" s="40"/>
      <c r="BN890" s="5"/>
      <c r="BP890" s="40"/>
      <c r="BQ890" s="5"/>
      <c r="BS890" s="40"/>
      <c r="BT890" s="5"/>
      <c r="BV890" s="40"/>
      <c r="BW890" s="5"/>
      <c r="BY890" s="40"/>
      <c r="BZ890" s="5"/>
      <c r="CB890" s="40"/>
      <c r="CC890" s="5"/>
      <c r="CE890" s="40"/>
      <c r="CF890" s="5"/>
      <c r="CH890" s="40"/>
      <c r="CI890" s="5"/>
      <c r="CK890" s="40"/>
      <c r="CL890" s="5"/>
      <c r="CN890" s="40"/>
      <c r="CO890" s="5"/>
      <c r="CQ890" s="40"/>
      <c r="CR890" s="5"/>
    </row>
    <row r="891">
      <c r="AO891" s="40"/>
      <c r="AP891" s="5"/>
      <c r="AR891" s="40"/>
      <c r="AS891" s="5"/>
      <c r="AU891" s="40"/>
      <c r="AV891" s="5"/>
      <c r="AX891" s="40"/>
      <c r="AY891" s="5"/>
      <c r="BA891" s="40"/>
      <c r="BB891" s="5"/>
      <c r="BD891" s="40"/>
      <c r="BE891" s="5"/>
      <c r="BG891" s="40"/>
      <c r="BH891" s="5"/>
      <c r="BJ891" s="40"/>
      <c r="BK891" s="5"/>
      <c r="BM891" s="40"/>
      <c r="BN891" s="5"/>
      <c r="BP891" s="40"/>
      <c r="BQ891" s="5"/>
      <c r="BS891" s="40"/>
      <c r="BT891" s="5"/>
      <c r="BV891" s="40"/>
      <c r="BW891" s="5"/>
      <c r="BY891" s="40"/>
      <c r="BZ891" s="5"/>
      <c r="CB891" s="40"/>
      <c r="CC891" s="5"/>
      <c r="CE891" s="40"/>
      <c r="CF891" s="5"/>
      <c r="CH891" s="40"/>
      <c r="CI891" s="5"/>
      <c r="CK891" s="40"/>
      <c r="CL891" s="5"/>
      <c r="CN891" s="40"/>
      <c r="CO891" s="5"/>
      <c r="CQ891" s="40"/>
      <c r="CR891" s="5"/>
    </row>
    <row r="892">
      <c r="AO892" s="40"/>
      <c r="AP892" s="5"/>
      <c r="AR892" s="40"/>
      <c r="AS892" s="5"/>
      <c r="AU892" s="40"/>
      <c r="AV892" s="5"/>
      <c r="AX892" s="40"/>
      <c r="AY892" s="5"/>
      <c r="BA892" s="40"/>
      <c r="BB892" s="5"/>
      <c r="BD892" s="40"/>
      <c r="BE892" s="5"/>
      <c r="BG892" s="40"/>
      <c r="BH892" s="5"/>
      <c r="BJ892" s="40"/>
      <c r="BK892" s="5"/>
      <c r="BM892" s="40"/>
      <c r="BN892" s="5"/>
      <c r="BP892" s="40"/>
      <c r="BQ892" s="5"/>
      <c r="BS892" s="40"/>
      <c r="BT892" s="5"/>
      <c r="BV892" s="40"/>
      <c r="BW892" s="5"/>
      <c r="BY892" s="40"/>
      <c r="BZ892" s="5"/>
      <c r="CB892" s="40"/>
      <c r="CC892" s="5"/>
      <c r="CE892" s="40"/>
      <c r="CF892" s="5"/>
      <c r="CH892" s="40"/>
      <c r="CI892" s="5"/>
      <c r="CK892" s="40"/>
      <c r="CL892" s="5"/>
      <c r="CN892" s="40"/>
      <c r="CO892" s="5"/>
      <c r="CQ892" s="40"/>
      <c r="CR892" s="5"/>
    </row>
    <row r="893">
      <c r="AO893" s="40"/>
      <c r="AP893" s="5"/>
      <c r="AR893" s="40"/>
      <c r="AS893" s="5"/>
      <c r="AU893" s="40"/>
      <c r="AV893" s="5"/>
      <c r="AX893" s="40"/>
      <c r="AY893" s="5"/>
      <c r="BA893" s="40"/>
      <c r="BB893" s="5"/>
      <c r="BD893" s="40"/>
      <c r="BE893" s="5"/>
      <c r="BG893" s="40"/>
      <c r="BH893" s="5"/>
      <c r="BJ893" s="40"/>
      <c r="BK893" s="5"/>
      <c r="BM893" s="40"/>
      <c r="BN893" s="5"/>
      <c r="BP893" s="40"/>
      <c r="BQ893" s="5"/>
      <c r="BS893" s="40"/>
      <c r="BT893" s="5"/>
      <c r="BV893" s="40"/>
      <c r="BW893" s="5"/>
      <c r="BY893" s="40"/>
      <c r="BZ893" s="5"/>
      <c r="CB893" s="40"/>
      <c r="CC893" s="5"/>
      <c r="CE893" s="40"/>
      <c r="CF893" s="5"/>
      <c r="CH893" s="40"/>
      <c r="CI893" s="5"/>
      <c r="CK893" s="40"/>
      <c r="CL893" s="5"/>
      <c r="CN893" s="40"/>
      <c r="CO893" s="5"/>
      <c r="CQ893" s="40"/>
      <c r="CR893" s="5"/>
    </row>
    <row r="894">
      <c r="AO894" s="40"/>
      <c r="AP894" s="5"/>
      <c r="AR894" s="40"/>
      <c r="AS894" s="5"/>
      <c r="AU894" s="40"/>
      <c r="AV894" s="5"/>
      <c r="AX894" s="40"/>
      <c r="AY894" s="5"/>
      <c r="BA894" s="40"/>
      <c r="BB894" s="5"/>
      <c r="BD894" s="40"/>
      <c r="BE894" s="5"/>
      <c r="BG894" s="40"/>
      <c r="BH894" s="5"/>
      <c r="BJ894" s="40"/>
      <c r="BK894" s="5"/>
      <c r="BM894" s="40"/>
      <c r="BN894" s="5"/>
      <c r="BP894" s="40"/>
      <c r="BQ894" s="5"/>
      <c r="BS894" s="40"/>
      <c r="BT894" s="5"/>
      <c r="BV894" s="40"/>
      <c r="BW894" s="5"/>
      <c r="BY894" s="40"/>
      <c r="BZ894" s="5"/>
      <c r="CB894" s="40"/>
      <c r="CC894" s="5"/>
      <c r="CE894" s="40"/>
      <c r="CF894" s="5"/>
      <c r="CH894" s="40"/>
      <c r="CI894" s="5"/>
      <c r="CK894" s="40"/>
      <c r="CL894" s="5"/>
      <c r="CN894" s="40"/>
      <c r="CO894" s="5"/>
      <c r="CQ894" s="40"/>
      <c r="CR894" s="5"/>
    </row>
    <row r="895">
      <c r="AO895" s="40"/>
      <c r="AP895" s="5"/>
      <c r="AR895" s="40"/>
      <c r="AS895" s="5"/>
      <c r="AU895" s="40"/>
      <c r="AV895" s="5"/>
      <c r="AX895" s="40"/>
      <c r="AY895" s="5"/>
      <c r="BA895" s="40"/>
      <c r="BB895" s="5"/>
      <c r="BD895" s="40"/>
      <c r="BE895" s="5"/>
      <c r="BG895" s="40"/>
      <c r="BH895" s="5"/>
      <c r="BJ895" s="40"/>
      <c r="BK895" s="5"/>
      <c r="BM895" s="40"/>
      <c r="BN895" s="5"/>
      <c r="BP895" s="40"/>
      <c r="BQ895" s="5"/>
      <c r="BS895" s="40"/>
      <c r="BT895" s="5"/>
      <c r="BV895" s="40"/>
      <c r="BW895" s="5"/>
      <c r="BY895" s="40"/>
      <c r="BZ895" s="5"/>
      <c r="CB895" s="40"/>
      <c r="CC895" s="5"/>
      <c r="CE895" s="40"/>
      <c r="CF895" s="5"/>
      <c r="CH895" s="40"/>
      <c r="CI895" s="5"/>
      <c r="CK895" s="40"/>
      <c r="CL895" s="5"/>
      <c r="CN895" s="40"/>
      <c r="CO895" s="5"/>
      <c r="CQ895" s="40"/>
      <c r="CR895" s="5"/>
    </row>
    <row r="896">
      <c r="AO896" s="40"/>
      <c r="AP896" s="5"/>
      <c r="AR896" s="40"/>
      <c r="AS896" s="5"/>
      <c r="AU896" s="40"/>
      <c r="AV896" s="5"/>
      <c r="AX896" s="40"/>
      <c r="AY896" s="5"/>
      <c r="BA896" s="40"/>
      <c r="BB896" s="5"/>
      <c r="BD896" s="40"/>
      <c r="BE896" s="5"/>
      <c r="BG896" s="40"/>
      <c r="BH896" s="5"/>
      <c r="BJ896" s="40"/>
      <c r="BK896" s="5"/>
      <c r="BM896" s="40"/>
      <c r="BN896" s="5"/>
      <c r="BP896" s="40"/>
      <c r="BQ896" s="5"/>
      <c r="BS896" s="40"/>
      <c r="BT896" s="5"/>
      <c r="BV896" s="40"/>
      <c r="BW896" s="5"/>
      <c r="BY896" s="40"/>
      <c r="BZ896" s="5"/>
      <c r="CB896" s="40"/>
      <c r="CC896" s="5"/>
      <c r="CE896" s="40"/>
      <c r="CF896" s="5"/>
      <c r="CH896" s="40"/>
      <c r="CI896" s="5"/>
      <c r="CK896" s="40"/>
      <c r="CL896" s="5"/>
      <c r="CN896" s="40"/>
      <c r="CO896" s="5"/>
      <c r="CQ896" s="40"/>
      <c r="CR896" s="5"/>
    </row>
    <row r="897">
      <c r="AO897" s="40"/>
      <c r="AP897" s="5"/>
      <c r="AR897" s="40"/>
      <c r="AS897" s="5"/>
      <c r="AU897" s="40"/>
      <c r="AV897" s="5"/>
      <c r="AX897" s="40"/>
      <c r="AY897" s="5"/>
      <c r="BA897" s="40"/>
      <c r="BB897" s="5"/>
      <c r="BD897" s="40"/>
      <c r="BE897" s="5"/>
      <c r="BG897" s="40"/>
      <c r="BH897" s="5"/>
      <c r="BJ897" s="40"/>
      <c r="BK897" s="5"/>
      <c r="BM897" s="40"/>
      <c r="BN897" s="5"/>
      <c r="BP897" s="40"/>
      <c r="BQ897" s="5"/>
      <c r="BS897" s="40"/>
      <c r="BT897" s="5"/>
      <c r="BV897" s="40"/>
      <c r="BW897" s="5"/>
      <c r="BY897" s="40"/>
      <c r="BZ897" s="5"/>
      <c r="CB897" s="40"/>
      <c r="CC897" s="5"/>
      <c r="CE897" s="40"/>
      <c r="CF897" s="5"/>
      <c r="CH897" s="40"/>
      <c r="CI897" s="5"/>
      <c r="CK897" s="40"/>
      <c r="CL897" s="5"/>
      <c r="CN897" s="40"/>
      <c r="CO897" s="5"/>
      <c r="CQ897" s="40"/>
      <c r="CR897" s="5"/>
    </row>
    <row r="898">
      <c r="AO898" s="40"/>
      <c r="AP898" s="5"/>
      <c r="AR898" s="40"/>
      <c r="AS898" s="5"/>
      <c r="AU898" s="40"/>
      <c r="AV898" s="5"/>
      <c r="AX898" s="40"/>
      <c r="AY898" s="5"/>
      <c r="BA898" s="40"/>
      <c r="BB898" s="5"/>
      <c r="BD898" s="40"/>
      <c r="BE898" s="5"/>
      <c r="BG898" s="40"/>
      <c r="BH898" s="5"/>
      <c r="BJ898" s="40"/>
      <c r="BK898" s="5"/>
      <c r="BM898" s="40"/>
      <c r="BN898" s="5"/>
      <c r="BP898" s="40"/>
      <c r="BQ898" s="5"/>
      <c r="BS898" s="40"/>
      <c r="BT898" s="5"/>
      <c r="BV898" s="40"/>
      <c r="BW898" s="5"/>
      <c r="BY898" s="40"/>
      <c r="BZ898" s="5"/>
      <c r="CB898" s="40"/>
      <c r="CC898" s="5"/>
      <c r="CE898" s="40"/>
      <c r="CF898" s="5"/>
      <c r="CH898" s="40"/>
      <c r="CI898" s="5"/>
      <c r="CK898" s="40"/>
      <c r="CL898" s="5"/>
      <c r="CN898" s="40"/>
      <c r="CO898" s="5"/>
      <c r="CQ898" s="40"/>
      <c r="CR898" s="5"/>
    </row>
    <row r="899">
      <c r="AO899" s="40"/>
      <c r="AP899" s="5"/>
      <c r="AR899" s="40"/>
      <c r="AS899" s="5"/>
      <c r="AU899" s="40"/>
      <c r="AV899" s="5"/>
      <c r="AX899" s="40"/>
      <c r="AY899" s="5"/>
      <c r="BA899" s="40"/>
      <c r="BB899" s="5"/>
      <c r="BD899" s="40"/>
      <c r="BE899" s="5"/>
      <c r="BG899" s="40"/>
      <c r="BH899" s="5"/>
      <c r="BJ899" s="40"/>
      <c r="BK899" s="5"/>
      <c r="BM899" s="40"/>
      <c r="BN899" s="5"/>
      <c r="BP899" s="40"/>
      <c r="BQ899" s="5"/>
      <c r="BS899" s="40"/>
      <c r="BT899" s="5"/>
      <c r="BV899" s="40"/>
      <c r="BW899" s="5"/>
      <c r="BY899" s="40"/>
      <c r="BZ899" s="5"/>
      <c r="CB899" s="40"/>
      <c r="CC899" s="5"/>
      <c r="CE899" s="40"/>
      <c r="CF899" s="5"/>
      <c r="CH899" s="40"/>
      <c r="CI899" s="5"/>
      <c r="CK899" s="40"/>
      <c r="CL899" s="5"/>
      <c r="CN899" s="40"/>
      <c r="CO899" s="5"/>
      <c r="CQ899" s="40"/>
      <c r="CR899" s="5"/>
    </row>
    <row r="900">
      <c r="AO900" s="40"/>
      <c r="AP900" s="5"/>
      <c r="AR900" s="40"/>
      <c r="AS900" s="5"/>
      <c r="AU900" s="40"/>
      <c r="AV900" s="5"/>
      <c r="AX900" s="40"/>
      <c r="AY900" s="5"/>
      <c r="BA900" s="40"/>
      <c r="BB900" s="5"/>
      <c r="BD900" s="40"/>
      <c r="BE900" s="5"/>
      <c r="BG900" s="40"/>
      <c r="BH900" s="5"/>
      <c r="BJ900" s="40"/>
      <c r="BK900" s="5"/>
      <c r="BM900" s="40"/>
      <c r="BN900" s="5"/>
      <c r="BP900" s="40"/>
      <c r="BQ900" s="5"/>
      <c r="BS900" s="40"/>
      <c r="BT900" s="5"/>
      <c r="BV900" s="40"/>
      <c r="BW900" s="5"/>
      <c r="BY900" s="40"/>
      <c r="BZ900" s="5"/>
      <c r="CB900" s="40"/>
      <c r="CC900" s="5"/>
      <c r="CE900" s="40"/>
      <c r="CF900" s="5"/>
      <c r="CH900" s="40"/>
      <c r="CI900" s="5"/>
      <c r="CK900" s="40"/>
      <c r="CL900" s="5"/>
      <c r="CN900" s="40"/>
      <c r="CO900" s="5"/>
      <c r="CQ900" s="40"/>
      <c r="CR900" s="5"/>
    </row>
    <row r="901">
      <c r="AO901" s="40"/>
      <c r="AP901" s="5"/>
      <c r="AR901" s="40"/>
      <c r="AS901" s="5"/>
      <c r="AU901" s="40"/>
      <c r="AV901" s="5"/>
      <c r="AX901" s="40"/>
      <c r="AY901" s="5"/>
      <c r="BA901" s="40"/>
      <c r="BB901" s="5"/>
      <c r="BD901" s="40"/>
      <c r="BE901" s="5"/>
      <c r="BG901" s="40"/>
      <c r="BH901" s="5"/>
      <c r="BJ901" s="40"/>
      <c r="BK901" s="5"/>
      <c r="BM901" s="40"/>
      <c r="BN901" s="5"/>
      <c r="BP901" s="40"/>
      <c r="BQ901" s="5"/>
      <c r="BS901" s="40"/>
      <c r="BT901" s="5"/>
      <c r="BV901" s="40"/>
      <c r="BW901" s="5"/>
      <c r="BY901" s="40"/>
      <c r="BZ901" s="5"/>
      <c r="CB901" s="40"/>
      <c r="CC901" s="5"/>
      <c r="CE901" s="40"/>
      <c r="CF901" s="5"/>
      <c r="CH901" s="40"/>
      <c r="CI901" s="5"/>
      <c r="CK901" s="40"/>
      <c r="CL901" s="5"/>
      <c r="CN901" s="40"/>
      <c r="CO901" s="5"/>
      <c r="CQ901" s="40"/>
      <c r="CR901" s="5"/>
    </row>
    <row r="902">
      <c r="AO902" s="40"/>
      <c r="AP902" s="5"/>
      <c r="AR902" s="40"/>
      <c r="AS902" s="5"/>
      <c r="AU902" s="40"/>
      <c r="AV902" s="5"/>
      <c r="AX902" s="40"/>
      <c r="AY902" s="5"/>
      <c r="BA902" s="40"/>
      <c r="BB902" s="5"/>
      <c r="BD902" s="40"/>
      <c r="BE902" s="5"/>
      <c r="BG902" s="40"/>
      <c r="BH902" s="5"/>
      <c r="BJ902" s="40"/>
      <c r="BK902" s="5"/>
      <c r="BM902" s="40"/>
      <c r="BN902" s="5"/>
      <c r="BP902" s="40"/>
      <c r="BQ902" s="5"/>
      <c r="BS902" s="40"/>
      <c r="BT902" s="5"/>
      <c r="BV902" s="40"/>
      <c r="BW902" s="5"/>
      <c r="BY902" s="40"/>
      <c r="BZ902" s="5"/>
      <c r="CB902" s="40"/>
      <c r="CC902" s="5"/>
      <c r="CE902" s="40"/>
      <c r="CF902" s="5"/>
      <c r="CH902" s="40"/>
      <c r="CI902" s="5"/>
      <c r="CK902" s="40"/>
      <c r="CL902" s="5"/>
      <c r="CN902" s="40"/>
      <c r="CO902" s="5"/>
      <c r="CQ902" s="40"/>
      <c r="CR902" s="5"/>
    </row>
    <row r="903">
      <c r="AO903" s="40"/>
      <c r="AP903" s="5"/>
      <c r="AR903" s="40"/>
      <c r="AS903" s="5"/>
      <c r="AU903" s="40"/>
      <c r="AV903" s="5"/>
      <c r="AX903" s="40"/>
      <c r="AY903" s="5"/>
      <c r="BA903" s="40"/>
      <c r="BB903" s="5"/>
      <c r="BD903" s="40"/>
      <c r="BE903" s="5"/>
      <c r="BG903" s="40"/>
      <c r="BH903" s="5"/>
      <c r="BJ903" s="40"/>
      <c r="BK903" s="5"/>
      <c r="BM903" s="40"/>
      <c r="BN903" s="5"/>
      <c r="BP903" s="40"/>
      <c r="BQ903" s="5"/>
      <c r="BS903" s="40"/>
      <c r="BT903" s="5"/>
      <c r="BV903" s="40"/>
      <c r="BW903" s="5"/>
      <c r="BY903" s="40"/>
      <c r="BZ903" s="5"/>
      <c r="CB903" s="40"/>
      <c r="CC903" s="5"/>
      <c r="CE903" s="40"/>
      <c r="CF903" s="5"/>
      <c r="CH903" s="40"/>
      <c r="CI903" s="5"/>
      <c r="CK903" s="40"/>
      <c r="CL903" s="5"/>
      <c r="CN903" s="40"/>
      <c r="CO903" s="5"/>
      <c r="CQ903" s="40"/>
      <c r="CR903" s="5"/>
    </row>
    <row r="904">
      <c r="AO904" s="40"/>
      <c r="AP904" s="5"/>
      <c r="AR904" s="40"/>
      <c r="AS904" s="5"/>
      <c r="AU904" s="40"/>
      <c r="AV904" s="5"/>
      <c r="AX904" s="40"/>
      <c r="AY904" s="5"/>
      <c r="BA904" s="40"/>
      <c r="BB904" s="5"/>
      <c r="BD904" s="40"/>
      <c r="BE904" s="5"/>
      <c r="BG904" s="40"/>
      <c r="BH904" s="5"/>
      <c r="BJ904" s="40"/>
      <c r="BK904" s="5"/>
      <c r="BM904" s="40"/>
      <c r="BN904" s="5"/>
      <c r="BP904" s="40"/>
      <c r="BQ904" s="5"/>
      <c r="BS904" s="40"/>
      <c r="BT904" s="5"/>
      <c r="BV904" s="40"/>
      <c r="BW904" s="5"/>
      <c r="BY904" s="40"/>
      <c r="BZ904" s="5"/>
      <c r="CB904" s="40"/>
      <c r="CC904" s="5"/>
      <c r="CE904" s="40"/>
      <c r="CF904" s="5"/>
      <c r="CH904" s="40"/>
      <c r="CI904" s="5"/>
      <c r="CK904" s="40"/>
      <c r="CL904" s="5"/>
      <c r="CN904" s="40"/>
      <c r="CO904" s="5"/>
      <c r="CQ904" s="40"/>
      <c r="CR904" s="5"/>
    </row>
    <row r="905">
      <c r="AO905" s="40"/>
      <c r="AP905" s="5"/>
      <c r="AR905" s="40"/>
      <c r="AS905" s="5"/>
      <c r="AU905" s="40"/>
      <c r="AV905" s="5"/>
      <c r="AX905" s="40"/>
      <c r="AY905" s="5"/>
      <c r="BA905" s="40"/>
      <c r="BB905" s="5"/>
      <c r="BD905" s="40"/>
      <c r="BE905" s="5"/>
      <c r="BG905" s="40"/>
      <c r="BH905" s="5"/>
      <c r="BJ905" s="40"/>
      <c r="BK905" s="5"/>
      <c r="BM905" s="40"/>
      <c r="BN905" s="5"/>
      <c r="BP905" s="40"/>
      <c r="BQ905" s="5"/>
      <c r="BS905" s="40"/>
      <c r="BT905" s="5"/>
      <c r="BV905" s="40"/>
      <c r="BW905" s="5"/>
      <c r="BY905" s="40"/>
      <c r="BZ905" s="5"/>
      <c r="CB905" s="40"/>
      <c r="CC905" s="5"/>
      <c r="CE905" s="40"/>
      <c r="CF905" s="5"/>
      <c r="CH905" s="40"/>
      <c r="CI905" s="5"/>
      <c r="CK905" s="40"/>
      <c r="CL905" s="5"/>
      <c r="CN905" s="40"/>
      <c r="CO905" s="5"/>
      <c r="CQ905" s="40"/>
      <c r="CR905" s="5"/>
    </row>
    <row r="906">
      <c r="AO906" s="40"/>
      <c r="AP906" s="5"/>
      <c r="AR906" s="40"/>
      <c r="AS906" s="5"/>
      <c r="AU906" s="40"/>
      <c r="AV906" s="5"/>
      <c r="AX906" s="40"/>
      <c r="AY906" s="5"/>
      <c r="BA906" s="40"/>
      <c r="BB906" s="5"/>
      <c r="BD906" s="40"/>
      <c r="BE906" s="5"/>
      <c r="BG906" s="40"/>
      <c r="BH906" s="5"/>
      <c r="BJ906" s="40"/>
      <c r="BK906" s="5"/>
      <c r="BM906" s="40"/>
      <c r="BN906" s="5"/>
      <c r="BP906" s="40"/>
      <c r="BQ906" s="5"/>
      <c r="BS906" s="40"/>
      <c r="BT906" s="5"/>
      <c r="BV906" s="40"/>
      <c r="BW906" s="5"/>
      <c r="BY906" s="40"/>
      <c r="BZ906" s="5"/>
      <c r="CB906" s="40"/>
      <c r="CC906" s="5"/>
      <c r="CE906" s="40"/>
      <c r="CF906" s="5"/>
      <c r="CH906" s="40"/>
      <c r="CI906" s="5"/>
      <c r="CK906" s="40"/>
      <c r="CL906" s="5"/>
      <c r="CN906" s="40"/>
      <c r="CO906" s="5"/>
      <c r="CQ906" s="40"/>
      <c r="CR906" s="5"/>
    </row>
    <row r="907">
      <c r="AO907" s="40"/>
      <c r="AP907" s="5"/>
      <c r="AR907" s="40"/>
      <c r="AS907" s="5"/>
      <c r="AU907" s="40"/>
      <c r="AV907" s="5"/>
      <c r="AX907" s="40"/>
      <c r="AY907" s="5"/>
      <c r="BA907" s="40"/>
      <c r="BB907" s="5"/>
      <c r="BD907" s="40"/>
      <c r="BE907" s="5"/>
      <c r="BG907" s="40"/>
      <c r="BH907" s="5"/>
      <c r="BJ907" s="40"/>
      <c r="BK907" s="5"/>
      <c r="BM907" s="40"/>
      <c r="BN907" s="5"/>
      <c r="BP907" s="40"/>
      <c r="BQ907" s="5"/>
      <c r="BS907" s="40"/>
      <c r="BT907" s="5"/>
      <c r="BV907" s="40"/>
      <c r="BW907" s="5"/>
      <c r="BY907" s="40"/>
      <c r="BZ907" s="5"/>
      <c r="CB907" s="40"/>
      <c r="CC907" s="5"/>
      <c r="CE907" s="40"/>
      <c r="CF907" s="5"/>
      <c r="CH907" s="40"/>
      <c r="CI907" s="5"/>
      <c r="CK907" s="40"/>
      <c r="CL907" s="5"/>
      <c r="CN907" s="40"/>
      <c r="CO907" s="5"/>
      <c r="CQ907" s="40"/>
      <c r="CR907" s="5"/>
    </row>
    <row r="908">
      <c r="AO908" s="40"/>
      <c r="AP908" s="5"/>
      <c r="AR908" s="40"/>
      <c r="AS908" s="5"/>
      <c r="AU908" s="40"/>
      <c r="AV908" s="5"/>
      <c r="AX908" s="40"/>
      <c r="AY908" s="5"/>
      <c r="BA908" s="40"/>
      <c r="BB908" s="5"/>
      <c r="BD908" s="40"/>
      <c r="BE908" s="5"/>
      <c r="BG908" s="40"/>
      <c r="BH908" s="5"/>
      <c r="BJ908" s="40"/>
      <c r="BK908" s="5"/>
      <c r="BM908" s="40"/>
      <c r="BN908" s="5"/>
      <c r="BP908" s="40"/>
      <c r="BQ908" s="5"/>
      <c r="BS908" s="40"/>
      <c r="BT908" s="5"/>
      <c r="BV908" s="40"/>
      <c r="BW908" s="5"/>
      <c r="BY908" s="40"/>
      <c r="BZ908" s="5"/>
      <c r="CB908" s="40"/>
      <c r="CC908" s="5"/>
      <c r="CE908" s="40"/>
      <c r="CF908" s="5"/>
      <c r="CH908" s="40"/>
      <c r="CI908" s="5"/>
      <c r="CK908" s="40"/>
      <c r="CL908" s="5"/>
      <c r="CN908" s="40"/>
      <c r="CO908" s="5"/>
      <c r="CQ908" s="40"/>
      <c r="CR908" s="5"/>
    </row>
    <row r="909">
      <c r="AO909" s="40"/>
      <c r="AP909" s="5"/>
      <c r="AR909" s="40"/>
      <c r="AS909" s="5"/>
      <c r="AU909" s="40"/>
      <c r="AV909" s="5"/>
      <c r="AX909" s="40"/>
      <c r="AY909" s="5"/>
      <c r="BA909" s="40"/>
      <c r="BB909" s="5"/>
      <c r="BD909" s="40"/>
      <c r="BE909" s="5"/>
      <c r="BG909" s="40"/>
      <c r="BH909" s="5"/>
      <c r="BJ909" s="40"/>
      <c r="BK909" s="5"/>
      <c r="BM909" s="40"/>
      <c r="BN909" s="5"/>
      <c r="BP909" s="40"/>
      <c r="BQ909" s="5"/>
      <c r="BS909" s="40"/>
      <c r="BT909" s="5"/>
      <c r="BV909" s="40"/>
      <c r="BW909" s="5"/>
      <c r="BY909" s="40"/>
      <c r="BZ909" s="5"/>
      <c r="CB909" s="40"/>
      <c r="CC909" s="5"/>
      <c r="CE909" s="40"/>
      <c r="CF909" s="5"/>
      <c r="CH909" s="40"/>
      <c r="CI909" s="5"/>
      <c r="CK909" s="40"/>
      <c r="CL909" s="5"/>
      <c r="CN909" s="40"/>
      <c r="CO909" s="5"/>
      <c r="CQ909" s="40"/>
      <c r="CR909" s="5"/>
    </row>
    <row r="910">
      <c r="AO910" s="40"/>
      <c r="AP910" s="5"/>
      <c r="AR910" s="40"/>
      <c r="AS910" s="5"/>
      <c r="AU910" s="40"/>
      <c r="AV910" s="5"/>
      <c r="AX910" s="40"/>
      <c r="AY910" s="5"/>
      <c r="BA910" s="40"/>
      <c r="BB910" s="5"/>
      <c r="BD910" s="40"/>
      <c r="BE910" s="5"/>
      <c r="BG910" s="40"/>
      <c r="BH910" s="5"/>
      <c r="BJ910" s="40"/>
      <c r="BK910" s="5"/>
      <c r="BM910" s="40"/>
      <c r="BN910" s="5"/>
      <c r="BP910" s="40"/>
      <c r="BQ910" s="5"/>
      <c r="BS910" s="40"/>
      <c r="BT910" s="5"/>
      <c r="BV910" s="40"/>
      <c r="BW910" s="5"/>
      <c r="BY910" s="40"/>
      <c r="BZ910" s="5"/>
      <c r="CB910" s="40"/>
      <c r="CC910" s="5"/>
      <c r="CE910" s="40"/>
      <c r="CF910" s="5"/>
      <c r="CH910" s="40"/>
      <c r="CI910" s="5"/>
      <c r="CK910" s="40"/>
      <c r="CL910" s="5"/>
      <c r="CN910" s="40"/>
      <c r="CO910" s="5"/>
      <c r="CQ910" s="40"/>
      <c r="CR910" s="5"/>
    </row>
    <row r="911">
      <c r="AO911" s="40"/>
      <c r="AP911" s="5"/>
      <c r="AR911" s="40"/>
      <c r="AS911" s="5"/>
      <c r="AU911" s="40"/>
      <c r="AV911" s="5"/>
      <c r="AX911" s="40"/>
      <c r="AY911" s="5"/>
      <c r="BA911" s="40"/>
      <c r="BB911" s="5"/>
      <c r="BD911" s="40"/>
      <c r="BE911" s="5"/>
      <c r="BG911" s="40"/>
      <c r="BH911" s="5"/>
      <c r="BJ911" s="40"/>
      <c r="BK911" s="5"/>
      <c r="BM911" s="40"/>
      <c r="BN911" s="5"/>
      <c r="BP911" s="40"/>
      <c r="BQ911" s="5"/>
      <c r="BS911" s="40"/>
      <c r="BT911" s="5"/>
      <c r="BV911" s="40"/>
      <c r="BW911" s="5"/>
      <c r="BY911" s="40"/>
      <c r="BZ911" s="5"/>
      <c r="CB911" s="40"/>
      <c r="CC911" s="5"/>
      <c r="CE911" s="40"/>
      <c r="CF911" s="5"/>
      <c r="CH911" s="40"/>
      <c r="CI911" s="5"/>
      <c r="CK911" s="40"/>
      <c r="CL911" s="5"/>
      <c r="CN911" s="40"/>
      <c r="CO911" s="5"/>
      <c r="CQ911" s="40"/>
      <c r="CR911" s="5"/>
    </row>
    <row r="912">
      <c r="AO912" s="40"/>
      <c r="AP912" s="5"/>
      <c r="AR912" s="40"/>
      <c r="AS912" s="5"/>
      <c r="AU912" s="40"/>
      <c r="AV912" s="5"/>
      <c r="AX912" s="40"/>
      <c r="AY912" s="5"/>
      <c r="BA912" s="40"/>
      <c r="BB912" s="5"/>
      <c r="BD912" s="40"/>
      <c r="BE912" s="5"/>
      <c r="BG912" s="40"/>
      <c r="BH912" s="5"/>
      <c r="BJ912" s="40"/>
      <c r="BK912" s="5"/>
      <c r="BM912" s="40"/>
      <c r="BN912" s="5"/>
      <c r="BP912" s="40"/>
      <c r="BQ912" s="5"/>
      <c r="BS912" s="40"/>
      <c r="BT912" s="5"/>
      <c r="BV912" s="40"/>
      <c r="BW912" s="5"/>
      <c r="BY912" s="40"/>
      <c r="BZ912" s="5"/>
      <c r="CB912" s="40"/>
      <c r="CC912" s="5"/>
      <c r="CE912" s="40"/>
      <c r="CF912" s="5"/>
      <c r="CH912" s="40"/>
      <c r="CI912" s="5"/>
      <c r="CK912" s="40"/>
      <c r="CL912" s="5"/>
      <c r="CN912" s="40"/>
      <c r="CO912" s="5"/>
      <c r="CQ912" s="40"/>
      <c r="CR912" s="5"/>
    </row>
  </sheetData>
  <mergeCells count="35">
    <mergeCell ref="Z9:AB9"/>
    <mergeCell ref="AC9:AE9"/>
    <mergeCell ref="AF9:AH9"/>
    <mergeCell ref="AI9:AK9"/>
    <mergeCell ref="AL9:AN9"/>
    <mergeCell ref="AO9:AQ9"/>
    <mergeCell ref="AR9:AT9"/>
    <mergeCell ref="AU9:AW9"/>
    <mergeCell ref="AX9:AZ9"/>
    <mergeCell ref="BA9:BC9"/>
    <mergeCell ref="BD9:BF9"/>
    <mergeCell ref="BG9:BI9"/>
    <mergeCell ref="BJ9:BL9"/>
    <mergeCell ref="BM9:BO9"/>
    <mergeCell ref="CK9:CM9"/>
    <mergeCell ref="CN9:CP9"/>
    <mergeCell ref="CQ9:CS9"/>
    <mergeCell ref="BP9:BR9"/>
    <mergeCell ref="BS9:BU9"/>
    <mergeCell ref="BV9:BX9"/>
    <mergeCell ref="BY9:CA9"/>
    <mergeCell ref="CB9:CD9"/>
    <mergeCell ref="CE9:CG9"/>
    <mergeCell ref="CH9:CJ9"/>
    <mergeCell ref="B16:C16"/>
    <mergeCell ref="B17:C17"/>
    <mergeCell ref="A19:B19"/>
    <mergeCell ref="A45:C45"/>
    <mergeCell ref="E9:G9"/>
    <mergeCell ref="H9:J9"/>
    <mergeCell ref="K9:M9"/>
    <mergeCell ref="N9:P9"/>
    <mergeCell ref="Q9:S9"/>
    <mergeCell ref="T9:V9"/>
    <mergeCell ref="W9:Y9"/>
  </mergeCells>
  <conditionalFormatting sqref="A1:DD1000">
    <cfRule type="cellIs" dxfId="0" priority="1" operator="equal">
      <formula>"Topic"</formula>
    </cfRule>
  </conditionalFormatting>
  <conditionalFormatting sqref="F13">
    <cfRule type="colorScale" priority="2">
      <colorScale>
        <cfvo type="min"/>
        <cfvo type="max"/>
        <color rgb="FF57BB8A"/>
        <color rgb="FFFFFFFF"/>
      </colorScale>
    </cfRule>
  </conditionalFormatting>
  <dataValidations>
    <dataValidation type="list" allowBlank="1" sqref="G11:G61 J11:J61 M11:M61 P11:P61 S11:S61 V11:V61 Y11:Y61 AB11:AB61 AE11:AE61 AH11:AH61 AK11:AK61 AN11:AN61 AQ11:AQ61 AT11:AT61 AW11:AW61 AZ11:AZ61 BC11:BC61 BF11:BF61 BI11:BI61 BL11:BL61 BO11:BO61 BR11:BR61 BU11:BU61 BX11:BX61 CA11:CA61 CD11:CD61 CG11:CG61 CJ11:CJ61 CM11:CM61 CP11:CP61 CS11:DF61">
      <formula1>$E$3:$E$7</formula1>
    </dataValidation>
    <dataValidation type="list" allowBlank="1" sqref="A26:A40">
      <formula1>$A$20:$A$23</formula1>
    </dataValidation>
  </dataValidations>
  <hyperlinks>
    <hyperlink r:id="rId1" ref="B18"/>
  </hyperlinks>
  <drawing r:id="rId2"/>
</worksheet>
</file>